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Rachel Knutson\LEG SESSION 2019\E0039-2 (2019) - I-1631 Clean Air Clean Energy\"/>
    </mc:Choice>
  </mc:AlternateContent>
  <bookViews>
    <workbookView xWindow="0" yWindow="0" windowWidth="22125" windowHeight="7770" tabRatio="687" firstSheet="16" activeTab="20"/>
  </bookViews>
  <sheets>
    <sheet name="Cover" sheetId="32" r:id="rId1"/>
    <sheet name="Dashboard" sheetId="1" r:id="rId2"/>
    <sheet name="parameters" sheetId="2" r:id="rId3"/>
    <sheet name="elasticities" sheetId="19" r:id="rId4"/>
    <sheet name="ramps" sheetId="14" r:id="rId5"/>
    <sheet name="price scenario A" sheetId="43" r:id="rId6"/>
    <sheet name="price scenario B" sheetId="45" r:id="rId7"/>
    <sheet name="price scenario C" sheetId="46" r:id="rId8"/>
    <sheet name="consumption scenario A" sheetId="44" r:id="rId9"/>
    <sheet name="consumption scenario B" sheetId="47" r:id="rId10"/>
    <sheet name="consumption scenario C" sheetId="48" r:id="rId11"/>
    <sheet name="Baseline Price" sheetId="8" r:id="rId12"/>
    <sheet name="Baseline Consumption" sheetId="16" r:id="rId13"/>
    <sheet name="Baseline Emissions" sheetId="11" r:id="rId14"/>
    <sheet name="Baseline expend" sheetId="38" r:id="rId15"/>
    <sheet name="Price Change" sheetId="15" r:id="rId16"/>
    <sheet name="Adjusted price" sheetId="36" r:id="rId17"/>
    <sheet name="Adjusted Consumption" sheetId="17" r:id="rId18"/>
    <sheet name="Adjusted Emissions" sheetId="18" r:id="rId19"/>
    <sheet name="Adjusted expend" sheetId="35" r:id="rId20"/>
    <sheet name="Revenue" sheetId="10" r:id="rId21"/>
    <sheet name="Sources" sheetId="22" r:id="rId22"/>
    <sheet name="Versions" sheetId="33" r:id="rId23"/>
    <sheet name="units" sheetId="49" r:id="rId24"/>
    <sheet name="lookup" sheetId="42" r:id="rId25"/>
  </sheets>
  <externalReferences>
    <externalReference r:id="rId26"/>
    <externalReference r:id="rId27"/>
  </externalReferences>
  <definedNames>
    <definedName name="acreftTOgal">units!$E$71</definedName>
    <definedName name="acreftTOm3">units!$E$72</definedName>
    <definedName name="acreinTOgal">units!$E$73</definedName>
    <definedName name="acreTOft2">units!$E$49</definedName>
    <definedName name="acreTOha">units!$E$50</definedName>
    <definedName name="acreTOkm2" localSheetId="23">units!$E$51</definedName>
    <definedName name="acreTOkm2">[1]units!$E$51</definedName>
    <definedName name="acreTOm2">units!$E$52</definedName>
    <definedName name="acreTOmi2">units!$E$53</definedName>
    <definedName name="atmTObar">units!$E$97</definedName>
    <definedName name="atmTOpsi">units!$E$98</definedName>
    <definedName name="B">Dashboard!$C$22</definedName>
    <definedName name="barTOPa">units!$E$99</definedName>
    <definedName name="barTOpsi">units!$E$100</definedName>
    <definedName name="bblTOgal" localSheetId="23">units!$E$74</definedName>
    <definedName name="bblTOgal">[1]units!$E$74</definedName>
    <definedName name="bblTOL" localSheetId="23">units!$E$75</definedName>
    <definedName name="bblTOL">[1]units!$E$75</definedName>
    <definedName name="Btu.ft3TOMJ.m3">units!$E$205</definedName>
    <definedName name="Btu.hphTOmmBtu.MWh">units!$E$173</definedName>
    <definedName name="Btu.lbTOMJ.kg">units!$E$196</definedName>
    <definedName name="Btu.lbTOmmBtu.ton" localSheetId="23">units!$E$197</definedName>
    <definedName name="Btu.lbTOmmBtu.ton">[1]units!$E$196</definedName>
    <definedName name="BtuTOcal">units!$E$104</definedName>
    <definedName name="BtuTOJ" localSheetId="23">units!$E$105</definedName>
    <definedName name="BtuTOJ">[1]units!$E$105</definedName>
    <definedName name="BtuTOkJ" localSheetId="23">units!$E$106</definedName>
    <definedName name="BtuTOkJ">[1]units!$E$106</definedName>
    <definedName name="BtuTOkWh" localSheetId="23">units!$E$107</definedName>
    <definedName name="BtuTOkWh">[1]units!$E$107</definedName>
    <definedName name="BtuTOMJ" localSheetId="23">units!$E$108</definedName>
    <definedName name="BtuTOMJ">[1]units!$E$108</definedName>
    <definedName name="BtuTOWh">units!$E$109</definedName>
    <definedName name="calTOBtu">units!$E$110</definedName>
    <definedName name="calTOJ">units!$E$111</definedName>
    <definedName name="CB_84cb1b1a69b04681ae0b7e9e26a3bb2a" localSheetId="1" hidden="1">Dashboard!$T$52</definedName>
    <definedName name="CB_Block_00000000000000000000000000000000" localSheetId="1" hidden="1">"'7.0.0.0"</definedName>
    <definedName name="CB_Block_00000000000000000000000000000001" localSheetId="1" hidden="1">"'634427117382815997"</definedName>
    <definedName name="CB_Block_00000000000000000000000000000003" localSheetId="1" hidden="1">"'11.1.1077.0"</definedName>
    <definedName name="CB_BlockExt_00000000000000000000000000000003" localSheetId="1" hidden="1">"'11.1.1.3.00"</definedName>
    <definedName name="CBCR_a900dff9e613449ca88a0980e73bb26e" localSheetId="1" hidden="1">Dashboard!#REF!</definedName>
    <definedName name="CBx_Sheet_Guid" localSheetId="1" hidden="1">"'d149a177-c7e1-4cfe-8295-a3b9dbef0e6e"</definedName>
    <definedName name="CBx_SheetRef" localSheetId="1" hidden="1">#REF!</definedName>
    <definedName name="CBx_StorageType" localSheetId="1" hidden="1">2</definedName>
    <definedName name="cmTOin">units!$E$6</definedName>
    <definedName name="CO2.C" localSheetId="23">[2]ref!$D$5</definedName>
    <definedName name="CO2.C">[1]ref!$D$5</definedName>
    <definedName name="dayTOmin" localSheetId="23">units!$E$31</definedName>
    <definedName name="dayTOmin">[1]units!$E$31</definedName>
    <definedName name="dayTOyr">units!$E$32</definedName>
    <definedName name="EJTOTWh">units!$E$112</definedName>
    <definedName name="F.C" localSheetId="23">[2]ref!$D$13</definedName>
    <definedName name="F.C">[1]ref!$D$13</definedName>
    <definedName name="freezeF" localSheetId="23">[2]ref!$D$14</definedName>
    <definedName name="freezeF">[1]ref!$D$14</definedName>
    <definedName name="ft2TOm2">units!$E$54</definedName>
    <definedName name="ft2TOyd2">units!$E$55</definedName>
    <definedName name="ft3TOgal">units!$E$76</definedName>
    <definedName name="ft3TOL">units!$E$77</definedName>
    <definedName name="ft3TOm3" localSheetId="23">units!$E$78</definedName>
    <definedName name="ft3TOm3">[1]units!$E$78</definedName>
    <definedName name="ftTOm">units!$E$7</definedName>
    <definedName name="g.hphTOlb.MWh">units!$E$181</definedName>
    <definedName name="g.kWhTOlb.MWh">units!$E$182</definedName>
    <definedName name="galTOacreft">units!$E$79</definedName>
    <definedName name="galTOacrein">units!$E$80</definedName>
    <definedName name="galTObbl">units!$E$81</definedName>
    <definedName name="galTOL" localSheetId="23">units!$E$82</definedName>
    <definedName name="galTOL">[1]units!$E$82</definedName>
    <definedName name="galTOliter" localSheetId="23">units!$E$82</definedName>
    <definedName name="galTOliter">[1]units!$E$82</definedName>
    <definedName name="galTOm3">units!$E$83</definedName>
    <definedName name="gasconstant" localSheetId="23">[2]ref!$D$34</definedName>
    <definedName name="gasconstant">[1]ref!$D$34</definedName>
    <definedName name="gasolineHHV" localSheetId="23">[2]ref!$D$118</definedName>
    <definedName name="gasolineHHV">[1]ref!$D$118</definedName>
    <definedName name="GJ.hrTOMW" localSheetId="23">units!$E$155</definedName>
    <definedName name="GJ.hrTOMW">[1]units!$E$154</definedName>
    <definedName name="GJTOmmBtu" localSheetId="23">units!$E$115</definedName>
    <definedName name="GJTOmmBtu">[1]units!$E$115</definedName>
    <definedName name="GJTOMWh">units!$E$114</definedName>
    <definedName name="GJTOtherm" localSheetId="23">units!$E$116</definedName>
    <definedName name="GJTOtherm">[1]units!$E$116</definedName>
    <definedName name="gpmTOliter.s">units!$E$168</definedName>
    <definedName name="gTOlb">units!$E$15</definedName>
    <definedName name="GWTOkW">units!$E$156</definedName>
    <definedName name="GWTOquad.yr">units!$E$157</definedName>
    <definedName name="GWTOTWh.yr">units!$E$158</definedName>
    <definedName name="haTOacre" localSheetId="23">units!$E$56</definedName>
    <definedName name="haTOacre">[1]units!$E$56</definedName>
    <definedName name="haTOkm2" localSheetId="23">units!$E$57</definedName>
    <definedName name="haTOkm2">[1]units!$E$57</definedName>
    <definedName name="hpTOkW">units!$E$159</definedName>
    <definedName name="hrTOday">units!$E$33</definedName>
    <definedName name="hrTOmin" localSheetId="23">units!$E$34</definedName>
    <definedName name="hrTOmin">[1]units!$E$34</definedName>
    <definedName name="hrTOs" localSheetId="23">units!$E$35</definedName>
    <definedName name="hrTOs">[1]units!$E$35</definedName>
    <definedName name="hrTOyr" localSheetId="23">units!$E$36</definedName>
    <definedName name="hrTOyr">[1]units!$E$36</definedName>
    <definedName name="inTOcm">units!$E$8</definedName>
    <definedName name="inTOmm">units!$E$9</definedName>
    <definedName name="JTOBtu">units!$E$117</definedName>
    <definedName name="JTOcal">units!$E$118</definedName>
    <definedName name="JTOWh">units!$E$119</definedName>
    <definedName name="K0degC" localSheetId="23">[2]ref!$D$35</definedName>
    <definedName name="K0degC">[1]ref!$D$35</definedName>
    <definedName name="K15degC" localSheetId="23">[2]ref!$D$36</definedName>
    <definedName name="K15degC">[1]ref!$D$36</definedName>
    <definedName name="K60degF" localSheetId="23">[2]ref!$D$37</definedName>
    <definedName name="K60degF">[1]ref!$D$37</definedName>
    <definedName name="kcalTOMJ">units!$E$120</definedName>
    <definedName name="kg.GJTOlb.MWh">units!$E$183</definedName>
    <definedName name="kgTOg">units!$E$16</definedName>
    <definedName name="kgTOlb">units!$E$17</definedName>
    <definedName name="kJ.kWhTOmmBtu.MWh">units!$E$174</definedName>
    <definedName name="kJTOBtu" localSheetId="23">units!$E$121</definedName>
    <definedName name="kJTOBtu">[1]units!$E$121</definedName>
    <definedName name="km.lTOmi.gal">units!$E$209</definedName>
    <definedName name="km2TOacre">units!$E$58</definedName>
    <definedName name="km2TOha">units!$E$59</definedName>
    <definedName name="km2TOm2">units!$E$60</definedName>
    <definedName name="km2TOmi2">units!$E$61</definedName>
    <definedName name="kmTOmi" localSheetId="23">units!$E$10</definedName>
    <definedName name="kmTOmi">[1]units!$E$10</definedName>
    <definedName name="kWh.tonTOMJ.kg">units!$E$198</definedName>
    <definedName name="kWhTOBtu">units!$E$122</definedName>
    <definedName name="kWhTOMJ">units!$E$123</definedName>
    <definedName name="kWTOhp">units!$E$160</definedName>
    <definedName name="L.sTOgpm" localSheetId="23">units!$E$169</definedName>
    <definedName name="L.sTOgpm">[1]units!$E$168</definedName>
    <definedName name="lb.mmBtuTOMg.mmBtu">units!$E$184</definedName>
    <definedName name="lb.mmBtuTOng.J">units!$E$185</definedName>
    <definedName name="lb.mmBtuTOTg.quad">units!$E$186</definedName>
    <definedName name="lb.MWhTOg.hph">units!$E$187</definedName>
    <definedName name="lb.MWhTOg.kWh">units!$E$188</definedName>
    <definedName name="lb.MWhTOkg.GJ">units!$E$189</definedName>
    <definedName name="lb.MWhTOton.GWh">units!$E$190</definedName>
    <definedName name="lbTOg">units!$E$18</definedName>
    <definedName name="lbTOkg" localSheetId="23">units!$E$19</definedName>
    <definedName name="lbTOkg">[1]units!$E$19</definedName>
    <definedName name="lbTOMg">units!$E$20</definedName>
    <definedName name="lbTON">units!$E$94</definedName>
    <definedName name="lbTOoz" localSheetId="23">units!$E$24</definedName>
    <definedName name="lbTOoz">[1]units!$E$24</definedName>
    <definedName name="lbTOton">units!$E$21</definedName>
    <definedName name="lookupBoolean">lookup!$B$4:$B$5</definedName>
    <definedName name="LTOft3">units!$E$84</definedName>
    <definedName name="LTOgal" localSheetId="23">units!$E$85</definedName>
    <definedName name="LTOgal">[1]units!$E$85</definedName>
    <definedName name="LTOm3" localSheetId="23">units!$E$86</definedName>
    <definedName name="LTOm3">[1]units!$E$86</definedName>
    <definedName name="m2TOacre">units!$E$62</definedName>
    <definedName name="m2TOft2">units!$E$63</definedName>
    <definedName name="m2TOha">units!$E$64</definedName>
    <definedName name="m2TOkm2">units!$E$65</definedName>
    <definedName name="m3.dayTOgpm">units!$E$170</definedName>
    <definedName name="m3TOacreft">units!$E$87</definedName>
    <definedName name="m3TOft3">units!$E$88</definedName>
    <definedName name="m3TOgal">units!$E$89</definedName>
    <definedName name="m3TOliter">units!$E$90</definedName>
    <definedName name="massC" localSheetId="23">[2]ref!$D$18</definedName>
    <definedName name="massC">[1]ref!$D$18</definedName>
    <definedName name="massCH4" localSheetId="23">[2]ref!$D$26</definedName>
    <definedName name="massCH4">[1]ref!$D$26</definedName>
    <definedName name="massCO2" localSheetId="23">[2]ref!$D$28</definedName>
    <definedName name="massCO2">[1]ref!$D$28</definedName>
    <definedName name="massH" localSheetId="23">[2]ref!$D$19</definedName>
    <definedName name="massH">[1]ref!$D$19</definedName>
    <definedName name="massN" localSheetId="23">[2]ref!$D$20</definedName>
    <definedName name="massN">[1]ref!$D$20</definedName>
    <definedName name="massN2O" localSheetId="23">[2]ref!$D$29</definedName>
    <definedName name="massN2O">[1]ref!$D$29</definedName>
    <definedName name="massO" localSheetId="23">[2]ref!$D$21</definedName>
    <definedName name="massO">[1]ref!$D$21</definedName>
    <definedName name="massS" localSheetId="23">[2]ref!$D$22</definedName>
    <definedName name="massS">[1]ref!$D$22</definedName>
    <definedName name="Mg.hayrTOton.acreyr">units!$E$212</definedName>
    <definedName name="MgTOkg">units!$E$22</definedName>
    <definedName name="MgTOton" localSheetId="23">units!$E$23</definedName>
    <definedName name="MgTOton">[1]units!$E$23</definedName>
    <definedName name="mi2TOacre">units!$E$66</definedName>
    <definedName name="mi2TOkm2">units!$E$68</definedName>
    <definedName name="minTOday">units!$E$37</definedName>
    <definedName name="miTOkm">units!$E$11</definedName>
    <definedName name="MJ.hrTOkW">units!$E$161</definedName>
    <definedName name="MJ.kgTOBtu.lb" localSheetId="23">units!$E$199</definedName>
    <definedName name="MJ.kgTOBtu.lb">[1]units!$E$198</definedName>
    <definedName name="MJ.kgTOkWh.ton">units!$E$200</definedName>
    <definedName name="MJ.kgTOmmBtu.ton">units!$E$201</definedName>
    <definedName name="MJ.kWhTOmmBtu.MWh">units!$E$175</definedName>
    <definedName name="MJ.m3TOBtu.ft3">units!$E$206</definedName>
    <definedName name="MJTOBtu">units!$E$124</definedName>
    <definedName name="MJTOkcal" localSheetId="23">units!$E$126</definedName>
    <definedName name="MJTOkcal">[1]units!$E$126</definedName>
    <definedName name="MJTOkWh" localSheetId="23">units!$E$125</definedName>
    <definedName name="MJTOkWh">[1]units!$E$125</definedName>
    <definedName name="MJTOMWh">units!$E$127</definedName>
    <definedName name="MJTOtherm" localSheetId="23">units!$E$128</definedName>
    <definedName name="MJTOtherm">[1]units!$E$128</definedName>
    <definedName name="mmBtu.MWhTOBtu.hph">units!$E$176</definedName>
    <definedName name="mmBtu.MWhTOkJ.kWh">units!$E$177</definedName>
    <definedName name="mmBtu.MWhTOMJ.kWh">units!$E$178</definedName>
    <definedName name="mmBtu.tonTOBtu.lb">units!$E$202</definedName>
    <definedName name="mmBtuTOkWh">units!$E$129</definedName>
    <definedName name="mmBtuTOMJ" localSheetId="23">units!$E$130</definedName>
    <definedName name="mmBtuTOMJ">[1]units!$E$129</definedName>
    <definedName name="mmBtuTOMWh">units!$E$131</definedName>
    <definedName name="mmBtuTOtherm" localSheetId="23">units!$E$132</definedName>
    <definedName name="mmBtuTOtherm">[1]units!$E$131</definedName>
    <definedName name="mmBtuTOTJ">units!$E$133</definedName>
    <definedName name="mmTOin">units!$E$12</definedName>
    <definedName name="molVol15degC" localSheetId="23">[2]ref!$D$39</definedName>
    <definedName name="molVol15degC">[1]ref!$D$39</definedName>
    <definedName name="molVol60degF" localSheetId="23">[2]ref!$D$40</definedName>
    <definedName name="molVol60degF">[1]ref!$D$40</definedName>
    <definedName name="moTOday">units!$E$38</definedName>
    <definedName name="moTOyr">units!$E$39</definedName>
    <definedName name="MtoeTOGWh">units!$E$134</definedName>
    <definedName name="MtoeTOmmBtu">units!$E$135</definedName>
    <definedName name="MtoeTOTJ">units!$E$136</definedName>
    <definedName name="MWaTOMWh">units!$E$137</definedName>
    <definedName name="MWhTOGJ" localSheetId="23">units!$E$138</definedName>
    <definedName name="MWhTOGJ">[1]units!$E$137</definedName>
    <definedName name="MWhTOmmBtu">units!$E$139</definedName>
    <definedName name="MWhTOMWa">units!$E$140</definedName>
    <definedName name="MWhTOTJ">units!$E$141</definedName>
    <definedName name="MWTOGJ.hr">units!$E$162</definedName>
    <definedName name="MWTOkW">units!$E$163</definedName>
    <definedName name="ng.JTOlb.mmBtu">units!$E$191</definedName>
    <definedName name="ozTOkg">units!$E$25</definedName>
    <definedName name="Property_Tax_Offset">Dashboard!$C$12</definedName>
    <definedName name="psiTOPa">units!$E$101</definedName>
    <definedName name="quad.yrTOGW">units!$E$164</definedName>
    <definedName name="quadTOEJ" localSheetId="23">units!$E$142</definedName>
    <definedName name="quadTOEJ">[1]units!$E$141</definedName>
    <definedName name="quadTOTWh" localSheetId="23">units!$E$143</definedName>
    <definedName name="quadTOTWh">[1]units!$E$142</definedName>
    <definedName name="Regional_baseline">Dashboard!$C$22</definedName>
    <definedName name="sTOday">units!$E$40</definedName>
    <definedName name="sTOhr">units!$E$41</definedName>
    <definedName name="sTOyr">units!$E$42</definedName>
    <definedName name="tableBoolean">lookup!$B$4:$B$5</definedName>
    <definedName name="Tg.quadTOlb.mmBtu">units!$E$192</definedName>
    <definedName name="thermTOBtu" localSheetId="23">units!$E$144</definedName>
    <definedName name="thermTOBtu">[1]units!$E$143</definedName>
    <definedName name="thermTOGJ">units!$E$145</definedName>
    <definedName name="thermTOkWh">units!$E$146</definedName>
    <definedName name="thermTOMJ" localSheetId="23">units!$E$147</definedName>
    <definedName name="thermTOMJ">[1]units!$E$146</definedName>
    <definedName name="thermTOTJ">units!$E$148</definedName>
    <definedName name="ton.GWhTOlb.MWh">units!$E$193</definedName>
    <definedName name="tonTOkg" localSheetId="23">units!$E$27</definedName>
    <definedName name="tonTOkg">[1]units!$E$27</definedName>
    <definedName name="tonTOlb">units!$E$26</definedName>
    <definedName name="tonTOMg" localSheetId="23">units!$E$28</definedName>
    <definedName name="tonTOMg">[1]units!$E$28</definedName>
    <definedName name="TWh.yrTOGW">units!$E$165</definedName>
    <definedName name="TWhTOEJ" localSheetId="23">units!$E$149</definedName>
    <definedName name="TWhTOEJ">[1]units!$E$148</definedName>
    <definedName name="TWhTOquad">units!$E$150</definedName>
    <definedName name="WhTOBtu">units!$E$151</definedName>
    <definedName name="WhTOJ" localSheetId="23">units!$E$152</definedName>
    <definedName name="WhTOJ">[1]units!$E$151</definedName>
    <definedName name="yd2TOft2">units!$E$67</definedName>
    <definedName name="yd3TOm3">units!$E$91</definedName>
    <definedName name="yrTOday" localSheetId="23">units!$E$43</definedName>
    <definedName name="yrTOday">[1]units!$E$43</definedName>
    <definedName name="yrTOhr" localSheetId="23">units!$E$44</definedName>
    <definedName name="yrTOhr">[1]units!$E$44</definedName>
    <definedName name="yrTOmo" localSheetId="23">units!$E$45</definedName>
    <definedName name="yrTOmo">[1]units!$E$45</definedName>
    <definedName name="yrTOs">units!$E$46</definedName>
  </definedNames>
  <calcPr calcId="162913"/>
</workbook>
</file>

<file path=xl/calcChain.xml><?xml version="1.0" encoding="utf-8"?>
<calcChain xmlns="http://schemas.openxmlformats.org/spreadsheetml/2006/main">
  <c r="Z122" i="10" l="1"/>
  <c r="Y122" i="10"/>
  <c r="X122" i="10"/>
  <c r="W122" i="10"/>
  <c r="V122" i="10"/>
  <c r="U122" i="10"/>
  <c r="T122" i="10"/>
  <c r="S122" i="10"/>
  <c r="R122" i="10"/>
  <c r="Q122" i="10"/>
  <c r="P122" i="10"/>
  <c r="O122" i="10"/>
  <c r="S113" i="11" l="1"/>
  <c r="B119" i="11" l="1"/>
  <c r="P113" i="11" s="1"/>
  <c r="B118" i="11"/>
  <c r="G26" i="2"/>
  <c r="C26" i="2"/>
  <c r="C114" i="11"/>
  <c r="D114" i="11"/>
  <c r="E114" i="11"/>
  <c r="F114" i="11"/>
  <c r="G114" i="11"/>
  <c r="H114" i="11"/>
  <c r="I114" i="11"/>
  <c r="J114" i="11"/>
  <c r="K114" i="11"/>
  <c r="L114" i="11"/>
  <c r="M114" i="11"/>
  <c r="N114" i="11"/>
  <c r="O114" i="11"/>
  <c r="P114" i="11"/>
  <c r="Q114" i="11"/>
  <c r="R114" i="11"/>
  <c r="S114" i="11"/>
  <c r="H113" i="11" l="1"/>
  <c r="I113" i="11"/>
  <c r="P115" i="11"/>
  <c r="P116" i="11" s="1"/>
  <c r="P117" i="11" s="1"/>
  <c r="H115" i="11"/>
  <c r="H116" i="11" s="1"/>
  <c r="H117" i="11" s="1"/>
  <c r="M113" i="11"/>
  <c r="L113" i="11"/>
  <c r="L115" i="11" s="1"/>
  <c r="L116" i="11" s="1"/>
  <c r="L117" i="11" s="1"/>
  <c r="Q113" i="11"/>
  <c r="D113" i="11"/>
  <c r="D115" i="11" s="1"/>
  <c r="D116" i="11" s="1"/>
  <c r="D117" i="11" s="1"/>
  <c r="B113" i="11"/>
  <c r="S115" i="11"/>
  <c r="S116" i="11" s="1"/>
  <c r="S117" i="11" s="1"/>
  <c r="O113" i="11"/>
  <c r="O115" i="11" s="1"/>
  <c r="O116" i="11" s="1"/>
  <c r="O117" i="11" s="1"/>
  <c r="K113" i="11"/>
  <c r="K115" i="11" s="1"/>
  <c r="K116" i="11" s="1"/>
  <c r="K117" i="11" s="1"/>
  <c r="G113" i="11"/>
  <c r="G115" i="11" s="1"/>
  <c r="G116" i="11" s="1"/>
  <c r="G117" i="11" s="1"/>
  <c r="C113" i="11"/>
  <c r="C115" i="11" s="1"/>
  <c r="C116" i="11" s="1"/>
  <c r="C117" i="11" s="1"/>
  <c r="Q115" i="11"/>
  <c r="Q116" i="11" s="1"/>
  <c r="Q117" i="11" s="1"/>
  <c r="M115" i="11"/>
  <c r="M116" i="11" s="1"/>
  <c r="M117" i="11" s="1"/>
  <c r="I115" i="11"/>
  <c r="I116" i="11" s="1"/>
  <c r="I117" i="11" s="1"/>
  <c r="R113" i="11"/>
  <c r="R115" i="11" s="1"/>
  <c r="R116" i="11" s="1"/>
  <c r="R117" i="11" s="1"/>
  <c r="N113" i="11"/>
  <c r="N115" i="11" s="1"/>
  <c r="N116" i="11" s="1"/>
  <c r="N117" i="11" s="1"/>
  <c r="J113" i="11"/>
  <c r="J115" i="11" s="1"/>
  <c r="J116" i="11" s="1"/>
  <c r="J117" i="11" s="1"/>
  <c r="F113" i="11"/>
  <c r="F115" i="11" s="1"/>
  <c r="F116" i="11" s="1"/>
  <c r="F117" i="11" s="1"/>
  <c r="E113" i="11"/>
  <c r="E115" i="11" s="1"/>
  <c r="E116" i="11" s="1"/>
  <c r="E117" i="11" s="1"/>
  <c r="B114" i="11" l="1"/>
  <c r="B115" i="11" s="1"/>
  <c r="B105" i="11"/>
  <c r="P57" i="44" l="1"/>
  <c r="G34" i="2" l="1"/>
  <c r="F107" i="49" l="1"/>
  <c r="B57" i="44" l="1"/>
  <c r="I17" i="19" l="1"/>
  <c r="I14" i="19"/>
  <c r="J17" i="19"/>
  <c r="J14" i="19"/>
  <c r="AG108" i="14"/>
  <c r="AH108" i="14"/>
  <c r="AI108" i="14"/>
  <c r="AJ108" i="14"/>
  <c r="AK108" i="14"/>
  <c r="AL108" i="14"/>
  <c r="AF108" i="14"/>
  <c r="AB108" i="14"/>
  <c r="AC108" i="14"/>
  <c r="AD108" i="14"/>
  <c r="AE108" i="14"/>
  <c r="AA108" i="14"/>
  <c r="W108" i="14"/>
  <c r="X108" i="14"/>
  <c r="Y108" i="14"/>
  <c r="Z108" i="14"/>
  <c r="V108" i="14"/>
  <c r="R108" i="14"/>
  <c r="S108" i="14"/>
  <c r="T108" i="14"/>
  <c r="U108" i="14"/>
  <c r="M108" i="14"/>
  <c r="N108" i="14"/>
  <c r="O108" i="14"/>
  <c r="P108" i="14"/>
  <c r="Q108" i="14"/>
  <c r="L108" i="14"/>
  <c r="AU45" i="44" l="1"/>
  <c r="AU73" i="44" l="1"/>
  <c r="M57" i="44" l="1"/>
  <c r="N57" i="44"/>
  <c r="O57" i="44"/>
  <c r="Q57" i="44"/>
  <c r="R57" i="44"/>
  <c r="S57" i="44"/>
  <c r="T57" i="44"/>
  <c r="U57" i="44"/>
  <c r="V57" i="44"/>
  <c r="W57" i="44"/>
  <c r="X57" i="44"/>
  <c r="Y57" i="44"/>
  <c r="Z57" i="44"/>
  <c r="AA57" i="44"/>
  <c r="AB57" i="44"/>
  <c r="AC57" i="44"/>
  <c r="AD57" i="44"/>
  <c r="AE57" i="44"/>
  <c r="AF57" i="44"/>
  <c r="AG57" i="44"/>
  <c r="AH57" i="44"/>
  <c r="AI57" i="44"/>
  <c r="AJ57" i="44"/>
  <c r="AK57" i="44"/>
  <c r="AU13" i="44"/>
  <c r="AU44" i="44"/>
  <c r="AU24" i="44"/>
  <c r="Q73" i="44" l="1"/>
  <c r="N45" i="44"/>
  <c r="O45" i="44"/>
  <c r="P45"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M45" i="44"/>
  <c r="N44" i="44"/>
  <c r="O44" i="44"/>
  <c r="P44" i="44"/>
  <c r="Q44" i="44"/>
  <c r="Q58" i="44" s="1"/>
  <c r="R44" i="44"/>
  <c r="S44" i="44"/>
  <c r="T44" i="44"/>
  <c r="T58" i="44" s="1"/>
  <c r="U44" i="44"/>
  <c r="U58" i="44" s="1"/>
  <c r="V44" i="44"/>
  <c r="W44" i="44"/>
  <c r="X44" i="44"/>
  <c r="Y44" i="44"/>
  <c r="Y58" i="44" s="1"/>
  <c r="Z44" i="44"/>
  <c r="AA44" i="44"/>
  <c r="AB44" i="44"/>
  <c r="AC44" i="44"/>
  <c r="AC58" i="44" s="1"/>
  <c r="AD44" i="44"/>
  <c r="AE44" i="44"/>
  <c r="AF44" i="44"/>
  <c r="AG44" i="44"/>
  <c r="AG58" i="44" s="1"/>
  <c r="AH44" i="44"/>
  <c r="AI44" i="44"/>
  <c r="AJ44" i="44"/>
  <c r="AK44" i="44"/>
  <c r="AK58" i="44" s="1"/>
  <c r="AL44" i="44"/>
  <c r="AM44" i="44"/>
  <c r="AN44" i="44"/>
  <c r="AO44" i="44"/>
  <c r="AP44" i="44"/>
  <c r="AQ44" i="44"/>
  <c r="AR44" i="44"/>
  <c r="AS44" i="44"/>
  <c r="AT44" i="44"/>
  <c r="M44" i="44"/>
  <c r="N24" i="44"/>
  <c r="O24" i="44"/>
  <c r="O58" i="44" s="1"/>
  <c r="P24" i="44"/>
  <c r="Q24" i="44"/>
  <c r="R24" i="44"/>
  <c r="S24" i="44"/>
  <c r="S58" i="44" s="1"/>
  <c r="T24" i="44"/>
  <c r="U24" i="44"/>
  <c r="V24" i="44"/>
  <c r="W24" i="44"/>
  <c r="W58" i="44" s="1"/>
  <c r="X24" i="44"/>
  <c r="Y24" i="44"/>
  <c r="Z24" i="44"/>
  <c r="AA24" i="44"/>
  <c r="AA58" i="44" s="1"/>
  <c r="AB24" i="44"/>
  <c r="AC24" i="44"/>
  <c r="AD24" i="44"/>
  <c r="AE24" i="44"/>
  <c r="AF24" i="44"/>
  <c r="AG24" i="44"/>
  <c r="AH24" i="44"/>
  <c r="AI24" i="44"/>
  <c r="AJ24" i="44"/>
  <c r="AK24" i="44"/>
  <c r="AL24" i="44"/>
  <c r="AM24" i="44"/>
  <c r="AN24" i="44"/>
  <c r="AO24" i="44"/>
  <c r="AP24" i="44"/>
  <c r="AQ24" i="44"/>
  <c r="AR24" i="44"/>
  <c r="AS24" i="44"/>
  <c r="AT24" i="44"/>
  <c r="N13" i="44"/>
  <c r="N58" i="44" s="1"/>
  <c r="O13" i="44"/>
  <c r="P13" i="44"/>
  <c r="Q13" i="44"/>
  <c r="R13" i="44"/>
  <c r="S13" i="44"/>
  <c r="T13" i="44"/>
  <c r="U13" i="44"/>
  <c r="V13" i="44"/>
  <c r="W13" i="44"/>
  <c r="X13" i="44"/>
  <c r="Y13" i="44"/>
  <c r="Z13" i="44"/>
  <c r="AA13" i="44"/>
  <c r="AB13" i="44"/>
  <c r="AC13" i="44"/>
  <c r="AD13" i="44"/>
  <c r="AE13" i="44"/>
  <c r="AF13" i="44"/>
  <c r="AG13" i="44"/>
  <c r="AH13" i="44"/>
  <c r="AI13" i="44"/>
  <c r="AJ13" i="44"/>
  <c r="AK13" i="44"/>
  <c r="AL13" i="44"/>
  <c r="AM13" i="44"/>
  <c r="AN13" i="44"/>
  <c r="AO13" i="44"/>
  <c r="AP13" i="44"/>
  <c r="AQ13" i="44"/>
  <c r="AR13" i="44"/>
  <c r="AS13" i="44"/>
  <c r="AT13" i="44"/>
  <c r="M24" i="44"/>
  <c r="M13" i="44"/>
  <c r="J19" i="19"/>
  <c r="J20" i="19"/>
  <c r="R58" i="44" l="1"/>
  <c r="AJ58" i="44"/>
  <c r="AF58" i="44"/>
  <c r="AB58" i="44"/>
  <c r="X58" i="44"/>
  <c r="P58" i="44"/>
  <c r="M58" i="44"/>
  <c r="AI58" i="44"/>
  <c r="AE58" i="44"/>
  <c r="AH58" i="44"/>
  <c r="AD58" i="44"/>
  <c r="Z58" i="44"/>
  <c r="V58" i="44"/>
  <c r="N137" i="2"/>
  <c r="N138" i="2"/>
  <c r="N140" i="2"/>
  <c r="N136" i="2"/>
  <c r="N144" i="2"/>
  <c r="N145" i="2"/>
  <c r="N143" i="2"/>
  <c r="A86" i="18" l="1"/>
  <c r="A87" i="18"/>
  <c r="A88" i="18"/>
  <c r="A89" i="18"/>
  <c r="A85" i="18"/>
  <c r="B132" i="11"/>
  <c r="J34" i="19"/>
  <c r="I34" i="19"/>
  <c r="N107" i="10" s="1"/>
  <c r="P91" i="10"/>
  <c r="Q91" i="10"/>
  <c r="R91" i="10" s="1"/>
  <c r="S91" i="10" s="1"/>
  <c r="T91" i="10" s="1"/>
  <c r="U91" i="10" s="1"/>
  <c r="V91" i="10" s="1"/>
  <c r="O91" i="10"/>
  <c r="R124" i="11"/>
  <c r="P124" i="11" s="1"/>
  <c r="P90" i="10"/>
  <c r="Q90" i="10"/>
  <c r="R90" i="10"/>
  <c r="S90" i="10"/>
  <c r="T90" i="10"/>
  <c r="U90" i="10"/>
  <c r="V90" i="10"/>
  <c r="W90" i="10"/>
  <c r="O90" i="10"/>
  <c r="L110" i="11"/>
  <c r="G40" i="2"/>
  <c r="G46" i="2"/>
  <c r="B109" i="11"/>
  <c r="F102" i="2"/>
  <c r="F100" i="2"/>
  <c r="C125" i="2"/>
  <c r="M146" i="2"/>
  <c r="M139" i="2"/>
  <c r="C126" i="2"/>
  <c r="I19" i="19"/>
  <c r="A48" i="36"/>
  <c r="A49" i="36"/>
  <c r="A50" i="36"/>
  <c r="A47" i="36"/>
  <c r="C145" i="11"/>
  <c r="D145" i="11"/>
  <c r="E145" i="11"/>
  <c r="B145" i="11"/>
  <c r="C135" i="11"/>
  <c r="D135" i="11"/>
  <c r="E135" i="11"/>
  <c r="B135" i="11"/>
  <c r="C137" i="11"/>
  <c r="C144" i="11" s="1"/>
  <c r="D137" i="11"/>
  <c r="D144" i="11" s="1"/>
  <c r="E137" i="11"/>
  <c r="E144" i="11" s="1"/>
  <c r="B137" i="11"/>
  <c r="B144" i="11" s="1"/>
  <c r="C143" i="11"/>
  <c r="D143" i="11"/>
  <c r="E143" i="11"/>
  <c r="B143" i="11"/>
  <c r="C132" i="11"/>
  <c r="D132" i="11"/>
  <c r="E132" i="11"/>
  <c r="C131" i="11"/>
  <c r="D131" i="11"/>
  <c r="E131" i="11"/>
  <c r="B131" i="11"/>
  <c r="C126" i="11"/>
  <c r="C133" i="11" s="1"/>
  <c r="D126" i="11"/>
  <c r="D133" i="11" s="1"/>
  <c r="E126" i="11"/>
  <c r="E133" i="11" s="1"/>
  <c r="B126" i="11"/>
  <c r="B133" i="11" s="1"/>
  <c r="C25" i="2"/>
  <c r="C27" i="2"/>
  <c r="B110" i="11"/>
  <c r="L13" i="48"/>
  <c r="K13" i="48"/>
  <c r="J13" i="48"/>
  <c r="I13" i="48"/>
  <c r="H13" i="48"/>
  <c r="G13" i="48"/>
  <c r="F13" i="48"/>
  <c r="E13" i="48"/>
  <c r="D13" i="48"/>
  <c r="C13" i="48"/>
  <c r="B13" i="48"/>
  <c r="L24" i="48"/>
  <c r="K24" i="48"/>
  <c r="J24" i="48"/>
  <c r="I24" i="48"/>
  <c r="H24" i="48"/>
  <c r="G24" i="48"/>
  <c r="F24" i="48"/>
  <c r="E24" i="48"/>
  <c r="D24" i="48"/>
  <c r="C24" i="48"/>
  <c r="B24" i="48"/>
  <c r="L44" i="48"/>
  <c r="L57" i="48"/>
  <c r="K57" i="48"/>
  <c r="J57" i="48"/>
  <c r="I57" i="48"/>
  <c r="H57" i="48"/>
  <c r="G57" i="48"/>
  <c r="F57" i="48"/>
  <c r="E57" i="48"/>
  <c r="D57" i="48"/>
  <c r="C57" i="48"/>
  <c r="B57" i="48"/>
  <c r="C57" i="47"/>
  <c r="D57" i="47"/>
  <c r="E57" i="47"/>
  <c r="F57" i="47"/>
  <c r="G57" i="47"/>
  <c r="H57" i="47"/>
  <c r="I57" i="47"/>
  <c r="J57" i="47"/>
  <c r="K57" i="47"/>
  <c r="B57" i="47"/>
  <c r="D24" i="47"/>
  <c r="E24" i="47"/>
  <c r="F24" i="47"/>
  <c r="G24" i="47"/>
  <c r="H24" i="47"/>
  <c r="I24" i="47"/>
  <c r="J24" i="47"/>
  <c r="K24" i="47"/>
  <c r="C24" i="47"/>
  <c r="B24" i="47"/>
  <c r="C13" i="47"/>
  <c r="D13" i="47"/>
  <c r="E13" i="47"/>
  <c r="F13" i="47"/>
  <c r="G13" i="47"/>
  <c r="H13" i="47"/>
  <c r="I13" i="47"/>
  <c r="J13" i="47"/>
  <c r="K13" i="47"/>
  <c r="B13" i="47"/>
  <c r="L57" i="47"/>
  <c r="L44" i="47"/>
  <c r="L24" i="47"/>
  <c r="L13" i="47"/>
  <c r="L13" i="44"/>
  <c r="L24" i="44"/>
  <c r="M4" i="36"/>
  <c r="C102" i="16"/>
  <c r="B102" i="16"/>
  <c r="C57" i="44"/>
  <c r="D57" i="44"/>
  <c r="E57" i="44"/>
  <c r="F57" i="44"/>
  <c r="G57" i="44"/>
  <c r="H57" i="44"/>
  <c r="I57" i="44"/>
  <c r="J57" i="44"/>
  <c r="K57" i="44"/>
  <c r="L57" i="44"/>
  <c r="C44" i="44"/>
  <c r="D44" i="44"/>
  <c r="E44" i="44"/>
  <c r="F44" i="44"/>
  <c r="G44" i="44"/>
  <c r="H44" i="44"/>
  <c r="I44" i="44"/>
  <c r="J44" i="44"/>
  <c r="K44" i="44"/>
  <c r="L44" i="44"/>
  <c r="B44" i="44"/>
  <c r="C24" i="44"/>
  <c r="D24" i="44"/>
  <c r="E24" i="44"/>
  <c r="F24" i="44"/>
  <c r="G24" i="44"/>
  <c r="H24" i="44"/>
  <c r="I24" i="44"/>
  <c r="J24" i="44"/>
  <c r="K24" i="44"/>
  <c r="B24" i="44"/>
  <c r="C13" i="44"/>
  <c r="D13" i="44"/>
  <c r="E13" i="44"/>
  <c r="F13" i="44"/>
  <c r="G13" i="44"/>
  <c r="H13" i="44"/>
  <c r="I13" i="44"/>
  <c r="J13" i="44"/>
  <c r="K13" i="44"/>
  <c r="B13" i="44"/>
  <c r="AA73" i="44"/>
  <c r="AK73" i="44"/>
  <c r="C9" i="2"/>
  <c r="AK9" i="14" s="1"/>
  <c r="O102" i="14"/>
  <c r="P102" i="14" s="1"/>
  <c r="N103" i="14"/>
  <c r="O102" i="16"/>
  <c r="P102" i="16"/>
  <c r="Q102" i="16"/>
  <c r="R102" i="16"/>
  <c r="S102" i="16"/>
  <c r="T102" i="16"/>
  <c r="U102" i="16"/>
  <c r="V102" i="16"/>
  <c r="W102" i="16"/>
  <c r="X102" i="16"/>
  <c r="Y102" i="16"/>
  <c r="Z102" i="16"/>
  <c r="AA102" i="16"/>
  <c r="AB102" i="16"/>
  <c r="AC102" i="16"/>
  <c r="AD102" i="16"/>
  <c r="AE102" i="16"/>
  <c r="AF102" i="16"/>
  <c r="AG102" i="16"/>
  <c r="AH102" i="16"/>
  <c r="AI102" i="16"/>
  <c r="AJ102" i="16"/>
  <c r="AK102" i="16"/>
  <c r="N102" i="16"/>
  <c r="H102" i="16"/>
  <c r="M102" i="16"/>
  <c r="L102" i="16"/>
  <c r="K102" i="16"/>
  <c r="J102" i="16"/>
  <c r="I102" i="16"/>
  <c r="G102" i="16"/>
  <c r="F102" i="16"/>
  <c r="E102" i="16"/>
  <c r="D102" i="16"/>
  <c r="L45" i="44"/>
  <c r="C13" i="2"/>
  <c r="C31" i="48"/>
  <c r="D31" i="48"/>
  <c r="D44" i="48" s="1"/>
  <c r="E31" i="48"/>
  <c r="F31" i="48"/>
  <c r="F44" i="48" s="1"/>
  <c r="G31" i="48"/>
  <c r="H31" i="48"/>
  <c r="H44" i="48" s="1"/>
  <c r="I31" i="48"/>
  <c r="J31" i="48"/>
  <c r="K31" i="48"/>
  <c r="B31" i="48"/>
  <c r="B44" i="48" s="1"/>
  <c r="C31" i="47"/>
  <c r="D31" i="47"/>
  <c r="D44" i="47" s="1"/>
  <c r="E31" i="47"/>
  <c r="F31" i="47"/>
  <c r="G31" i="47"/>
  <c r="H31" i="47"/>
  <c r="I31" i="47"/>
  <c r="J31" i="47"/>
  <c r="J44" i="47" s="1"/>
  <c r="K31" i="47"/>
  <c r="B31" i="47"/>
  <c r="B44" i="47" s="1"/>
  <c r="C35" i="48"/>
  <c r="D35" i="48"/>
  <c r="E35" i="48"/>
  <c r="E44" i="48" s="1"/>
  <c r="F35" i="48"/>
  <c r="G35" i="48"/>
  <c r="H35" i="48"/>
  <c r="I35" i="48"/>
  <c r="I44" i="48" s="1"/>
  <c r="J35" i="48"/>
  <c r="J44" i="48"/>
  <c r="K35" i="48"/>
  <c r="B35" i="48"/>
  <c r="C35" i="47"/>
  <c r="C44" i="47" s="1"/>
  <c r="D35" i="47"/>
  <c r="E35" i="47"/>
  <c r="F35" i="47"/>
  <c r="F44" i="47" s="1"/>
  <c r="G35" i="47"/>
  <c r="G44" i="47" s="1"/>
  <c r="H35" i="47"/>
  <c r="H44" i="47"/>
  <c r="I35" i="47"/>
  <c r="J35" i="47"/>
  <c r="K35" i="47"/>
  <c r="K44" i="47" s="1"/>
  <c r="B35" i="47"/>
  <c r="C4" i="8"/>
  <c r="C2" i="36"/>
  <c r="C3" i="38"/>
  <c r="B3" i="46"/>
  <c r="B3" i="45"/>
  <c r="E76" i="1"/>
  <c r="I146" i="2"/>
  <c r="J146" i="2"/>
  <c r="K146" i="2"/>
  <c r="L146" i="2"/>
  <c r="H146" i="2"/>
  <c r="N142" i="2"/>
  <c r="L142" i="2"/>
  <c r="K142" i="2"/>
  <c r="J142" i="2"/>
  <c r="I142" i="2"/>
  <c r="H142" i="2"/>
  <c r="L139" i="2"/>
  <c r="K139" i="2"/>
  <c r="J139" i="2"/>
  <c r="I139" i="2"/>
  <c r="H139" i="2"/>
  <c r="N49" i="18"/>
  <c r="O49" i="18"/>
  <c r="P49" i="18"/>
  <c r="Q49" i="18"/>
  <c r="R49" i="18"/>
  <c r="S49" i="18"/>
  <c r="T49" i="18"/>
  <c r="U49" i="18"/>
  <c r="V49" i="18"/>
  <c r="W49" i="18"/>
  <c r="X49" i="18"/>
  <c r="Y49" i="18"/>
  <c r="Z49" i="18"/>
  <c r="AA49" i="18"/>
  <c r="AB49" i="18"/>
  <c r="AC49" i="18"/>
  <c r="AD49" i="18"/>
  <c r="AE49" i="18"/>
  <c r="AF49" i="18"/>
  <c r="AG49" i="18"/>
  <c r="AH49" i="18"/>
  <c r="AI49" i="18"/>
  <c r="AJ49" i="18"/>
  <c r="AK49" i="18"/>
  <c r="L82" i="16"/>
  <c r="M82" i="16"/>
  <c r="N82" i="16" s="1"/>
  <c r="O82" i="16" s="1"/>
  <c r="P82" i="16" s="1"/>
  <c r="Q82" i="16" s="1"/>
  <c r="R82" i="16" s="1"/>
  <c r="S82" i="16" s="1"/>
  <c r="T82" i="16" s="1"/>
  <c r="C80" i="16"/>
  <c r="D80" i="16"/>
  <c r="E80" i="16"/>
  <c r="F80" i="16"/>
  <c r="G80" i="16"/>
  <c r="H80" i="16"/>
  <c r="I80" i="16"/>
  <c r="B80" i="16"/>
  <c r="L84" i="16"/>
  <c r="B2" i="43"/>
  <c r="K6" i="36"/>
  <c r="K5" i="38" s="1"/>
  <c r="L6" i="36"/>
  <c r="C105" i="11"/>
  <c r="D105" i="11"/>
  <c r="E105" i="11"/>
  <c r="F105" i="11"/>
  <c r="G105" i="11"/>
  <c r="H105" i="11"/>
  <c r="I105" i="11"/>
  <c r="J105" i="11"/>
  <c r="K105" i="11"/>
  <c r="L105" i="11"/>
  <c r="M105" i="11"/>
  <c r="N105" i="11"/>
  <c r="O105" i="11"/>
  <c r="P105" i="11"/>
  <c r="Q105" i="11"/>
  <c r="R105" i="11"/>
  <c r="S105" i="11"/>
  <c r="T105" i="11"/>
  <c r="U105" i="11"/>
  <c r="V105" i="11"/>
  <c r="C45" i="44"/>
  <c r="D45" i="44"/>
  <c r="E45" i="44"/>
  <c r="F45" i="44"/>
  <c r="G45" i="44"/>
  <c r="H45" i="44"/>
  <c r="I45" i="44"/>
  <c r="J45" i="44"/>
  <c r="K45" i="44"/>
  <c r="B45" i="44"/>
  <c r="C49" i="11"/>
  <c r="D49" i="11"/>
  <c r="E49" i="11"/>
  <c r="F49" i="11"/>
  <c r="G49" i="11"/>
  <c r="H49" i="11"/>
  <c r="I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AJ49" i="11"/>
  <c r="AK49" i="11"/>
  <c r="B49" i="11"/>
  <c r="C49" i="16"/>
  <c r="D49" i="16"/>
  <c r="E49" i="16"/>
  <c r="F49" i="16"/>
  <c r="G49" i="16"/>
  <c r="H49" i="16"/>
  <c r="I49" i="16"/>
  <c r="J49" i="16"/>
  <c r="K49" i="16"/>
  <c r="L49" i="16"/>
  <c r="M49" i="16"/>
  <c r="N49" i="16"/>
  <c r="O49" i="16"/>
  <c r="P49" i="16"/>
  <c r="Q49" i="16"/>
  <c r="R49" i="16"/>
  <c r="S49" i="16"/>
  <c r="T49" i="16"/>
  <c r="U49" i="16"/>
  <c r="V49" i="16"/>
  <c r="W49" i="16"/>
  <c r="X49" i="16"/>
  <c r="Y49" i="16"/>
  <c r="Z49" i="16"/>
  <c r="AA49" i="16"/>
  <c r="AB49" i="16"/>
  <c r="AC49" i="16"/>
  <c r="AD49" i="16"/>
  <c r="AE49" i="16"/>
  <c r="AF49" i="16"/>
  <c r="AG49" i="16"/>
  <c r="AH49" i="16"/>
  <c r="AI49" i="16"/>
  <c r="AJ49" i="16"/>
  <c r="AK49" i="16"/>
  <c r="B49" i="16"/>
  <c r="F82" i="1"/>
  <c r="AA99" i="14" s="1"/>
  <c r="AA100" i="14" s="1"/>
  <c r="O103" i="14"/>
  <c r="M103" i="14"/>
  <c r="L103" i="14"/>
  <c r="C40" i="32"/>
  <c r="C39" i="32"/>
  <c r="C38" i="32"/>
  <c r="C37" i="32"/>
  <c r="C36" i="32"/>
  <c r="C34" i="32"/>
  <c r="C35" i="32"/>
  <c r="C33" i="32"/>
  <c r="C32" i="32"/>
  <c r="C31" i="32"/>
  <c r="C30" i="32"/>
  <c r="C29" i="32"/>
  <c r="C28" i="32"/>
  <c r="C27" i="32"/>
  <c r="C20" i="32"/>
  <c r="C19" i="32"/>
  <c r="C18" i="32"/>
  <c r="C17" i="32"/>
  <c r="F65" i="1"/>
  <c r="X13" i="14" s="1"/>
  <c r="C10" i="2"/>
  <c r="C11" i="2"/>
  <c r="C12" i="2"/>
  <c r="C39" i="2"/>
  <c r="G37" i="2" s="1"/>
  <c r="F64" i="1"/>
  <c r="M12" i="14" s="1"/>
  <c r="C33" i="2"/>
  <c r="F77" i="1"/>
  <c r="AJ92" i="17" s="1"/>
  <c r="F76" i="1"/>
  <c r="F71" i="1"/>
  <c r="F70" i="1"/>
  <c r="L91" i="14" s="1"/>
  <c r="L94" i="14" s="1"/>
  <c r="F59" i="1"/>
  <c r="O86" i="14" s="1"/>
  <c r="F58" i="1"/>
  <c r="P85" i="14" s="1"/>
  <c r="F57" i="1"/>
  <c r="AE84" i="14" s="1"/>
  <c r="F56" i="1"/>
  <c r="V83" i="14" s="1"/>
  <c r="F55" i="1"/>
  <c r="AB82" i="14" s="1"/>
  <c r="F54" i="1"/>
  <c r="AB81" i="14" s="1"/>
  <c r="F53" i="1"/>
  <c r="AL80" i="14" s="1"/>
  <c r="F48" i="1"/>
  <c r="F47" i="1"/>
  <c r="N75" i="14" s="1"/>
  <c r="F46" i="1"/>
  <c r="AJ74" i="14" s="1"/>
  <c r="F44" i="1"/>
  <c r="AL72" i="14" s="1"/>
  <c r="F43" i="1"/>
  <c r="AA71" i="14" s="1"/>
  <c r="F42" i="1"/>
  <c r="AJ70" i="14" s="1"/>
  <c r="F41" i="1"/>
  <c r="P69" i="14" s="1"/>
  <c r="F39" i="1"/>
  <c r="AE67" i="14" s="1"/>
  <c r="F38" i="1"/>
  <c r="X66" i="14" s="1"/>
  <c r="F36" i="1"/>
  <c r="AA64" i="14" s="1"/>
  <c r="F35" i="1"/>
  <c r="X63" i="14" s="1"/>
  <c r="C97" i="2"/>
  <c r="C98" i="2"/>
  <c r="C105" i="2"/>
  <c r="C106" i="2"/>
  <c r="C107" i="2"/>
  <c r="C24" i="2"/>
  <c r="Y24" i="14" s="1"/>
  <c r="C23" i="2"/>
  <c r="Y21" i="14" s="1"/>
  <c r="AK106" i="11"/>
  <c r="AK107" i="11" s="1"/>
  <c r="AK108" i="11" s="1"/>
  <c r="AJ106" i="11"/>
  <c r="AJ107" i="11" s="1"/>
  <c r="AJ108" i="11" s="1"/>
  <c r="AI106" i="11"/>
  <c r="AI107" i="11" s="1"/>
  <c r="AI108" i="11" s="1"/>
  <c r="AH106" i="11"/>
  <c r="AH107" i="11" s="1"/>
  <c r="AH108" i="11" s="1"/>
  <c r="AG106" i="11"/>
  <c r="AG107" i="11" s="1"/>
  <c r="AG108" i="11" s="1"/>
  <c r="AF106" i="11"/>
  <c r="AF107" i="11" s="1"/>
  <c r="AF108" i="11" s="1"/>
  <c r="AE106" i="11"/>
  <c r="AE107" i="11" s="1"/>
  <c r="AE108" i="11" s="1"/>
  <c r="AD106" i="11"/>
  <c r="AD107" i="11" s="1"/>
  <c r="AD108" i="11" s="1"/>
  <c r="AC106" i="11"/>
  <c r="AC107" i="11" s="1"/>
  <c r="AC108" i="11" s="1"/>
  <c r="AB106" i="11"/>
  <c r="AB107" i="11" s="1"/>
  <c r="AB108" i="11" s="1"/>
  <c r="AA106" i="11"/>
  <c r="AA107" i="11" s="1"/>
  <c r="AA108" i="11" s="1"/>
  <c r="Z106" i="11"/>
  <c r="Z107" i="11" s="1"/>
  <c r="Z108" i="11" s="1"/>
  <c r="Y106" i="11"/>
  <c r="Y107" i="11" s="1"/>
  <c r="Y108" i="11" s="1"/>
  <c r="X106" i="11"/>
  <c r="X107" i="11" s="1"/>
  <c r="X108" i="11" s="1"/>
  <c r="W106" i="11"/>
  <c r="W107" i="11" s="1"/>
  <c r="W108" i="11" s="1"/>
  <c r="E23" i="49"/>
  <c r="E56" i="49"/>
  <c r="E10" i="49"/>
  <c r="E209" i="49" s="1"/>
  <c r="E106" i="49"/>
  <c r="E205" i="49" s="1"/>
  <c r="E206" i="49" s="1"/>
  <c r="E202" i="49"/>
  <c r="E197" i="49" s="1"/>
  <c r="E123" i="49"/>
  <c r="E125" i="49"/>
  <c r="E127" i="49" s="1"/>
  <c r="E193" i="49"/>
  <c r="E190" i="49" s="1"/>
  <c r="E17" i="49"/>
  <c r="E117" i="49"/>
  <c r="E160" i="49"/>
  <c r="E20" i="49"/>
  <c r="E184" i="49" s="1"/>
  <c r="E177" i="49"/>
  <c r="E174" i="49" s="1"/>
  <c r="E173" i="49"/>
  <c r="E176" i="49"/>
  <c r="E169" i="49"/>
  <c r="E170" i="49" s="1"/>
  <c r="E36" i="49"/>
  <c r="E165" i="49" s="1"/>
  <c r="E158" i="49" s="1"/>
  <c r="E131" i="49"/>
  <c r="E139" i="49" s="1"/>
  <c r="E150" i="49" s="1"/>
  <c r="E143" i="49" s="1"/>
  <c r="E155" i="49"/>
  <c r="E162" i="49" s="1"/>
  <c r="E109" i="49"/>
  <c r="E151" i="49" s="1"/>
  <c r="E149" i="49"/>
  <c r="E112" i="49" s="1"/>
  <c r="E146" i="49"/>
  <c r="E137" i="49"/>
  <c r="E130" i="49"/>
  <c r="E133" i="49" s="1"/>
  <c r="E120" i="49"/>
  <c r="E126" i="49" s="1"/>
  <c r="E124" i="49"/>
  <c r="E122" i="49"/>
  <c r="E119" i="49"/>
  <c r="E118" i="49"/>
  <c r="E113" i="49"/>
  <c r="E110" i="49"/>
  <c r="E108" i="49"/>
  <c r="E90" i="49"/>
  <c r="E89" i="49"/>
  <c r="E88" i="49"/>
  <c r="E87" i="49"/>
  <c r="E85" i="49"/>
  <c r="E81" i="49"/>
  <c r="E80" i="49"/>
  <c r="E79" i="49"/>
  <c r="E75" i="49"/>
  <c r="E66" i="49"/>
  <c r="E63" i="49"/>
  <c r="E62" i="49"/>
  <c r="E59" i="49"/>
  <c r="E58" i="49"/>
  <c r="E55" i="49"/>
  <c r="E46" i="49"/>
  <c r="E42" i="49" s="1"/>
  <c r="E41" i="49"/>
  <c r="E39" i="49"/>
  <c r="E38" i="49"/>
  <c r="E37" i="49"/>
  <c r="E32" i="49"/>
  <c r="E27" i="49"/>
  <c r="E25" i="49"/>
  <c r="E21" i="49"/>
  <c r="E18" i="49"/>
  <c r="E12" i="49"/>
  <c r="E8" i="49"/>
  <c r="E6" i="49" s="1"/>
  <c r="J13" i="19"/>
  <c r="I13" i="19"/>
  <c r="I20" i="19"/>
  <c r="J18" i="19"/>
  <c r="I18" i="19"/>
  <c r="J8" i="19"/>
  <c r="I8" i="19"/>
  <c r="J22" i="19"/>
  <c r="I22" i="19"/>
  <c r="J23" i="19"/>
  <c r="I23" i="19"/>
  <c r="J24" i="19"/>
  <c r="I24" i="19"/>
  <c r="J15" i="19"/>
  <c r="I15" i="19"/>
  <c r="J16" i="19"/>
  <c r="I16" i="19"/>
  <c r="J6" i="19"/>
  <c r="I6" i="19"/>
  <c r="J11" i="19"/>
  <c r="I11" i="19"/>
  <c r="J9" i="19"/>
  <c r="I9" i="19"/>
  <c r="J10" i="19"/>
  <c r="I10" i="19"/>
  <c r="A38" i="36"/>
  <c r="A42" i="35" s="1"/>
  <c r="A42" i="38" s="1"/>
  <c r="A37" i="36"/>
  <c r="A41" i="35" s="1"/>
  <c r="A41" i="38" s="1"/>
  <c r="A36" i="36"/>
  <c r="A40" i="35" s="1"/>
  <c r="A40" i="38" s="1"/>
  <c r="A35" i="36"/>
  <c r="A39" i="35" s="1"/>
  <c r="A39" i="38" s="1"/>
  <c r="A34" i="36"/>
  <c r="A38" i="35" s="1"/>
  <c r="A38" i="38" s="1"/>
  <c r="A33" i="36"/>
  <c r="A37" i="35" s="1"/>
  <c r="A37" i="38" s="1"/>
  <c r="A32" i="36"/>
  <c r="A36" i="35" s="1"/>
  <c r="A36" i="38" s="1"/>
  <c r="A31" i="36"/>
  <c r="A35" i="35" s="1"/>
  <c r="A35" i="38" s="1"/>
  <c r="A30" i="36"/>
  <c r="A34" i="35" s="1"/>
  <c r="A28" i="36"/>
  <c r="A31" i="35" s="1"/>
  <c r="A31" i="38" s="1"/>
  <c r="A27" i="36"/>
  <c r="A30" i="35" s="1"/>
  <c r="A30" i="38" s="1"/>
  <c r="A26" i="36"/>
  <c r="A29" i="35" s="1"/>
  <c r="A29" i="38" s="1"/>
  <c r="A25" i="36"/>
  <c r="A28" i="35" s="1"/>
  <c r="A28" i="38" s="1"/>
  <c r="A24" i="36"/>
  <c r="A27" i="35" s="1"/>
  <c r="A27" i="38" s="1"/>
  <c r="A23" i="36"/>
  <c r="A25" i="35" s="1"/>
  <c r="A25" i="38" s="1"/>
  <c r="A22" i="36"/>
  <c r="A24" i="35" s="1"/>
  <c r="A24" i="38" s="1"/>
  <c r="A21" i="36"/>
  <c r="A22" i="35" s="1"/>
  <c r="A22" i="38" s="1"/>
  <c r="A20" i="36"/>
  <c r="A21" i="35" s="1"/>
  <c r="A18" i="36"/>
  <c r="A18" i="35" s="1"/>
  <c r="A18" i="38" s="1"/>
  <c r="A17" i="36"/>
  <c r="A17" i="35" s="1"/>
  <c r="A17" i="38" s="1"/>
  <c r="A16" i="36"/>
  <c r="A16" i="35" s="1"/>
  <c r="A16" i="38" s="1"/>
  <c r="A15" i="36"/>
  <c r="A15" i="35" s="1"/>
  <c r="A15" i="38" s="1"/>
  <c r="A14" i="36"/>
  <c r="A14" i="35" s="1"/>
  <c r="A14" i="38" s="1"/>
  <c r="A13" i="36"/>
  <c r="A13" i="35" s="1"/>
  <c r="A11" i="36"/>
  <c r="A10" i="35"/>
  <c r="A10" i="38" s="1"/>
  <c r="A10" i="36"/>
  <c r="A9" i="35" s="1"/>
  <c r="A9" i="38" s="1"/>
  <c r="A9" i="36"/>
  <c r="A8" i="35" s="1"/>
  <c r="A8" i="38" s="1"/>
  <c r="A8" i="36"/>
  <c r="A7" i="35" s="1"/>
  <c r="A7" i="38" s="1"/>
  <c r="A7" i="36"/>
  <c r="A6" i="35" s="1"/>
  <c r="AK6" i="36"/>
  <c r="AJ6" i="36"/>
  <c r="AI6" i="36"/>
  <c r="AH6" i="36"/>
  <c r="AG6" i="36"/>
  <c r="AG52" i="36" s="1"/>
  <c r="AG5" i="35"/>
  <c r="AF6" i="36"/>
  <c r="AE6" i="36"/>
  <c r="AD6" i="36"/>
  <c r="AC6" i="36"/>
  <c r="AB6" i="36"/>
  <c r="AA6" i="36"/>
  <c r="Z6" i="36"/>
  <c r="Y6" i="36"/>
  <c r="X6" i="36"/>
  <c r="W6" i="36"/>
  <c r="V6" i="36"/>
  <c r="U6" i="36"/>
  <c r="T6" i="36"/>
  <c r="S6" i="36"/>
  <c r="R6" i="36"/>
  <c r="Q6" i="36"/>
  <c r="Q5" i="38" s="1"/>
  <c r="P6" i="36"/>
  <c r="O6" i="36"/>
  <c r="N6" i="36"/>
  <c r="M6" i="36"/>
  <c r="M5" i="35" s="1"/>
  <c r="K5" i="35"/>
  <c r="J6" i="36"/>
  <c r="J5" i="35" s="1"/>
  <c r="I6" i="36"/>
  <c r="I5" i="35" s="1"/>
  <c r="H6" i="36"/>
  <c r="H5" i="35" s="1"/>
  <c r="G6" i="36"/>
  <c r="G5" i="38" s="1"/>
  <c r="F6" i="36"/>
  <c r="F5" i="35" s="1"/>
  <c r="E6" i="36"/>
  <c r="E5" i="35" s="1"/>
  <c r="D6" i="36"/>
  <c r="D5" i="35" s="1"/>
  <c r="C6" i="36"/>
  <c r="C5" i="35" s="1"/>
  <c r="B6" i="36"/>
  <c r="B5" i="35" s="1"/>
  <c r="A6" i="36"/>
  <c r="A5" i="35" s="1"/>
  <c r="A5" i="38" s="1"/>
  <c r="C67" i="2"/>
  <c r="C74" i="2"/>
  <c r="C71" i="2"/>
  <c r="C63" i="2"/>
  <c r="A32" i="38"/>
  <c r="A26" i="38"/>
  <c r="A23" i="38"/>
  <c r="A19" i="38"/>
  <c r="A11" i="38"/>
  <c r="A40" i="8"/>
  <c r="A30" i="8"/>
  <c r="A20" i="8"/>
  <c r="A13" i="8"/>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7" i="14"/>
  <c r="AL115" i="14"/>
  <c r="AK115" i="14"/>
  <c r="AJ115" i="14"/>
  <c r="AI115" i="14"/>
  <c r="AH115" i="14"/>
  <c r="AG115" i="14"/>
  <c r="AF115" i="14"/>
  <c r="AE115" i="14"/>
  <c r="AD115" i="14"/>
  <c r="AC115" i="14"/>
  <c r="AB115" i="14"/>
  <c r="AA115" i="14"/>
  <c r="Z115" i="14"/>
  <c r="Y115" i="14"/>
  <c r="X115" i="14"/>
  <c r="W115" i="14"/>
  <c r="V115" i="14"/>
  <c r="U115" i="14"/>
  <c r="T115" i="14"/>
  <c r="S115" i="14"/>
  <c r="R115" i="14"/>
  <c r="Q115" i="14"/>
  <c r="P115" i="14"/>
  <c r="O115" i="14"/>
  <c r="N115" i="14"/>
  <c r="M115" i="14"/>
  <c r="L115" i="14"/>
  <c r="K115" i="14"/>
  <c r="J115" i="14"/>
  <c r="AL114" i="14"/>
  <c r="AK114" i="14"/>
  <c r="AJ114" i="14"/>
  <c r="AI114" i="14"/>
  <c r="AH114" i="14"/>
  <c r="AG114" i="14"/>
  <c r="AF114" i="14"/>
  <c r="AE114" i="14"/>
  <c r="AD114" i="14"/>
  <c r="AC114" i="14"/>
  <c r="AB114" i="14"/>
  <c r="AA114" i="14"/>
  <c r="Z114" i="14"/>
  <c r="Y114" i="14"/>
  <c r="X114" i="14"/>
  <c r="W114" i="14"/>
  <c r="V114" i="14"/>
  <c r="U114" i="14"/>
  <c r="T114" i="14"/>
  <c r="S114" i="14"/>
  <c r="R114" i="14"/>
  <c r="Q114" i="14"/>
  <c r="P114" i="14"/>
  <c r="O114" i="14"/>
  <c r="N114" i="14"/>
  <c r="M114" i="14"/>
  <c r="L114" i="14"/>
  <c r="K114" i="14"/>
  <c r="J114" i="14"/>
  <c r="AL113" i="14"/>
  <c r="AK113" i="14"/>
  <c r="AJ113" i="14"/>
  <c r="AI113" i="14"/>
  <c r="AH113" i="14"/>
  <c r="AG113" i="14"/>
  <c r="AF113" i="14"/>
  <c r="AE113" i="14"/>
  <c r="AD113" i="14"/>
  <c r="AC113" i="14"/>
  <c r="AB113" i="14"/>
  <c r="AA113" i="14"/>
  <c r="Z113" i="14"/>
  <c r="Y113" i="14"/>
  <c r="X113" i="14"/>
  <c r="W113" i="14"/>
  <c r="V113" i="14"/>
  <c r="U113" i="14"/>
  <c r="T113" i="14"/>
  <c r="S113" i="14"/>
  <c r="R113" i="14"/>
  <c r="Q113" i="14"/>
  <c r="P113" i="14"/>
  <c r="O113" i="14"/>
  <c r="N113" i="14"/>
  <c r="M113" i="14"/>
  <c r="L113" i="14"/>
  <c r="K113" i="14"/>
  <c r="J113" i="14"/>
  <c r="C123" i="2"/>
  <c r="C128" i="2" s="1"/>
  <c r="C57" i="2"/>
  <c r="C72" i="2" s="1"/>
  <c r="C64" i="2"/>
  <c r="C58" i="2"/>
  <c r="C44" i="2"/>
  <c r="D18" i="1"/>
  <c r="C20" i="2"/>
  <c r="E77" i="1"/>
  <c r="C18" i="1"/>
  <c r="W11" i="14"/>
  <c r="V11" i="14"/>
  <c r="Y11" i="14"/>
  <c r="AL11" i="14"/>
  <c r="AH11" i="14"/>
  <c r="AA11" i="14"/>
  <c r="AB11" i="14"/>
  <c r="AC11" i="14"/>
  <c r="X11" i="14"/>
  <c r="W92" i="10" s="1"/>
  <c r="AE11" i="14"/>
  <c r="AF11" i="14"/>
  <c r="AG11" i="14"/>
  <c r="AK11" i="14"/>
  <c r="AI11" i="14"/>
  <c r="AJ11" i="14"/>
  <c r="AD11" i="14"/>
  <c r="Z11" i="14"/>
  <c r="AI80" i="14"/>
  <c r="AG5" i="38"/>
  <c r="E196" i="49"/>
  <c r="E199" i="49"/>
  <c r="E201" i="49" s="1"/>
  <c r="E140" i="49"/>
  <c r="E181" i="49"/>
  <c r="E187" i="49" s="1"/>
  <c r="AA67" i="14"/>
  <c r="AJ68" i="11"/>
  <c r="F52" i="16"/>
  <c r="J52" i="16"/>
  <c r="J104" i="16" s="1"/>
  <c r="N52" i="16"/>
  <c r="R52" i="16"/>
  <c r="V52" i="16"/>
  <c r="Z52" i="16"/>
  <c r="Z103" i="16" s="1"/>
  <c r="AD52" i="16"/>
  <c r="AD104" i="16" s="1"/>
  <c r="AH52" i="16"/>
  <c r="B52" i="16"/>
  <c r="B52" i="11" s="1"/>
  <c r="C52" i="16"/>
  <c r="C104" i="16" s="1"/>
  <c r="G52" i="16"/>
  <c r="G104" i="16" s="1"/>
  <c r="K52" i="16"/>
  <c r="O52" i="16"/>
  <c r="S52" i="16"/>
  <c r="W52" i="16"/>
  <c r="W104" i="16" s="1"/>
  <c r="AA52" i="16"/>
  <c r="AA103" i="16" s="1"/>
  <c r="AE52" i="16"/>
  <c r="AI52" i="16"/>
  <c r="D52" i="16"/>
  <c r="D52" i="11" s="1"/>
  <c r="H52" i="16"/>
  <c r="L52" i="16"/>
  <c r="L104" i="16" s="1"/>
  <c r="P52" i="16"/>
  <c r="P103" i="16" s="1"/>
  <c r="T52" i="16"/>
  <c r="T104" i="16" s="1"/>
  <c r="X52" i="16"/>
  <c r="AB52" i="16"/>
  <c r="AF52" i="16"/>
  <c r="AF103" i="16" s="1"/>
  <c r="AJ52" i="16"/>
  <c r="E52" i="16"/>
  <c r="I52" i="16"/>
  <c r="M52" i="16"/>
  <c r="M52" i="11" s="1"/>
  <c r="Q52" i="16"/>
  <c r="U52" i="16"/>
  <c r="Y52" i="16"/>
  <c r="AC52" i="16"/>
  <c r="AC103" i="16" s="1"/>
  <c r="AG52" i="16"/>
  <c r="AK52" i="16"/>
  <c r="AK104" i="16" s="1"/>
  <c r="AD84" i="14"/>
  <c r="C68" i="2"/>
  <c r="C76" i="2" s="1"/>
  <c r="Q80" i="14"/>
  <c r="Y84" i="14"/>
  <c r="E129" i="49"/>
  <c r="E161" i="49"/>
  <c r="Q67" i="14"/>
  <c r="AH67" i="14"/>
  <c r="S84" i="14"/>
  <c r="Y80" i="14"/>
  <c r="M67" i="14"/>
  <c r="Z67" i="14"/>
  <c r="O67" i="14"/>
  <c r="U67" i="14"/>
  <c r="AI67" i="14"/>
  <c r="AF67" i="14"/>
  <c r="AL67" i="14"/>
  <c r="P67" i="14"/>
  <c r="R67" i="14"/>
  <c r="V67" i="14"/>
  <c r="AB67" i="14"/>
  <c r="AJ67" i="14"/>
  <c r="L67" i="14"/>
  <c r="N67" i="14"/>
  <c r="T67" i="14"/>
  <c r="W67" i="14"/>
  <c r="Y67" i="14"/>
  <c r="AC67" i="14"/>
  <c r="AG67" i="14"/>
  <c r="AK67" i="14"/>
  <c r="P81" i="14"/>
  <c r="AB85" i="14"/>
  <c r="AJ85" i="14"/>
  <c r="E212" i="49"/>
  <c r="P66" i="14"/>
  <c r="AH83" i="14"/>
  <c r="AD66" i="14"/>
  <c r="C18" i="2"/>
  <c r="AA83" i="14"/>
  <c r="AF66" i="14"/>
  <c r="I5" i="38"/>
  <c r="U25" i="8"/>
  <c r="N25" i="8"/>
  <c r="AD25" i="8"/>
  <c r="J27" i="8"/>
  <c r="Z27" i="8"/>
  <c r="G42" i="8"/>
  <c r="G53" i="8" s="1"/>
  <c r="F43" i="8"/>
  <c r="F52" i="8" s="1"/>
  <c r="AK25" i="8"/>
  <c r="AG27" i="8"/>
  <c r="J42" i="8"/>
  <c r="J53" i="8" s="1"/>
  <c r="F25" i="8"/>
  <c r="V25" i="8"/>
  <c r="B27" i="8"/>
  <c r="R27" i="8"/>
  <c r="AH27" i="8"/>
  <c r="H41" i="8"/>
  <c r="U42" i="8"/>
  <c r="E25" i="8"/>
  <c r="Q27" i="8"/>
  <c r="C41" i="8"/>
  <c r="H44" i="8"/>
  <c r="H50" i="8" s="1"/>
  <c r="M25" i="8"/>
  <c r="AC25" i="8"/>
  <c r="I27" i="8"/>
  <c r="Y27" i="8"/>
  <c r="B42" i="8"/>
  <c r="B53" i="8" s="1"/>
  <c r="AE42" i="8"/>
  <c r="Q42" i="8"/>
  <c r="B43" i="8"/>
  <c r="B52" i="8" s="1"/>
  <c r="H51" i="16"/>
  <c r="H51" i="11" s="1"/>
  <c r="AA42" i="8"/>
  <c r="D44" i="8"/>
  <c r="D50" i="8" s="1"/>
  <c r="G72" i="11"/>
  <c r="Z5" i="38"/>
  <c r="AJ63" i="14"/>
  <c r="S69" i="14"/>
  <c r="AC81" i="14"/>
  <c r="Q81" i="14"/>
  <c r="Z81" i="14"/>
  <c r="N81" i="14"/>
  <c r="W81" i="14"/>
  <c r="AK85" i="14"/>
  <c r="AG85" i="14"/>
  <c r="AC85" i="14"/>
  <c r="Y85" i="14"/>
  <c r="U85" i="14"/>
  <c r="Q85" i="14"/>
  <c r="M85" i="14"/>
  <c r="AL85" i="14"/>
  <c r="AH85" i="14"/>
  <c r="AD85" i="14"/>
  <c r="Z85" i="14"/>
  <c r="V85" i="14"/>
  <c r="R85" i="14"/>
  <c r="N85" i="14"/>
  <c r="L85" i="14"/>
  <c r="AI85" i="14"/>
  <c r="AE85" i="14"/>
  <c r="AA85" i="14"/>
  <c r="W85" i="14"/>
  <c r="S85" i="14"/>
  <c r="O85" i="14"/>
  <c r="C16" i="2"/>
  <c r="E191" i="49"/>
  <c r="E185" i="49"/>
  <c r="AC69" i="14"/>
  <c r="E178" i="49"/>
  <c r="E175" i="49" s="1"/>
  <c r="E138" i="49"/>
  <c r="E192" i="49"/>
  <c r="E186" i="49" s="1"/>
  <c r="E198" i="49"/>
  <c r="E200" i="49" s="1"/>
  <c r="AD91" i="14"/>
  <c r="AD94" i="14" s="1"/>
  <c r="AL91" i="14"/>
  <c r="AL94" i="14" s="1"/>
  <c r="E182" i="49"/>
  <c r="E188" i="49" s="1"/>
  <c r="W91" i="14"/>
  <c r="W94" i="14" s="1"/>
  <c r="AE91" i="14"/>
  <c r="AE94" i="14" s="1"/>
  <c r="B25" i="8"/>
  <c r="J25" i="8"/>
  <c r="R25" i="8"/>
  <c r="Z25" i="8"/>
  <c r="AH25" i="8"/>
  <c r="F27" i="8"/>
  <c r="N27" i="8"/>
  <c r="V27" i="8"/>
  <c r="AD27" i="8"/>
  <c r="G41" i="8"/>
  <c r="F42" i="8"/>
  <c r="F53" i="8" s="1"/>
  <c r="O42" i="8"/>
  <c r="Z42" i="8"/>
  <c r="AK42" i="8"/>
  <c r="B44" i="8"/>
  <c r="I25" i="8"/>
  <c r="Q25" i="8"/>
  <c r="Y25" i="8"/>
  <c r="AG25" i="8"/>
  <c r="E27" i="8"/>
  <c r="M27" i="8"/>
  <c r="U27" i="8"/>
  <c r="AC27" i="8"/>
  <c r="AK27" i="8"/>
  <c r="D41" i="8"/>
  <c r="C42" i="8"/>
  <c r="C53" i="8" s="1"/>
  <c r="K42" i="8"/>
  <c r="K53" i="8" s="1"/>
  <c r="V42" i="8"/>
  <c r="AG42" i="8"/>
  <c r="G43" i="8"/>
  <c r="G51" i="8" s="1"/>
  <c r="I44" i="8"/>
  <c r="I50" i="8" s="1"/>
  <c r="D25" i="8"/>
  <c r="H25" i="8"/>
  <c r="L25" i="8"/>
  <c r="P25" i="8"/>
  <c r="T25" i="8"/>
  <c r="X25" i="8"/>
  <c r="AB25" i="8"/>
  <c r="AF25" i="8"/>
  <c r="AJ25" i="8"/>
  <c r="D27" i="8"/>
  <c r="H27" i="8"/>
  <c r="L27" i="8"/>
  <c r="P27" i="8"/>
  <c r="T27" i="8"/>
  <c r="X27" i="8"/>
  <c r="AB27" i="8"/>
  <c r="AF27" i="8"/>
  <c r="AJ27" i="8"/>
  <c r="B41" i="8"/>
  <c r="F41" i="8"/>
  <c r="J41" i="8"/>
  <c r="E42" i="8"/>
  <c r="E53" i="8" s="1"/>
  <c r="I42" i="8"/>
  <c r="I53" i="8" s="1"/>
  <c r="N42" i="8"/>
  <c r="S42" i="8"/>
  <c r="Y42" i="8"/>
  <c r="AD42" i="8"/>
  <c r="AI42" i="8"/>
  <c r="E43" i="8"/>
  <c r="E51" i="8" s="1"/>
  <c r="J43" i="8"/>
  <c r="J52" i="8" s="1"/>
  <c r="F44" i="8"/>
  <c r="C39" i="16"/>
  <c r="C39" i="11" s="1"/>
  <c r="D51" i="16"/>
  <c r="D51" i="11" s="1"/>
  <c r="C68" i="11"/>
  <c r="G40" i="16"/>
  <c r="G40" i="11" s="1"/>
  <c r="C25" i="8"/>
  <c r="G25" i="8"/>
  <c r="K25" i="8"/>
  <c r="O25" i="8"/>
  <c r="S25" i="8"/>
  <c r="W25" i="8"/>
  <c r="AA25" i="8"/>
  <c r="AE25" i="8"/>
  <c r="AI25" i="8"/>
  <c r="C27" i="8"/>
  <c r="G27" i="8"/>
  <c r="K27" i="8"/>
  <c r="O27" i="8"/>
  <c r="S27" i="8"/>
  <c r="W27" i="8"/>
  <c r="AA27" i="8"/>
  <c r="AE27" i="8"/>
  <c r="AI27" i="8"/>
  <c r="E41" i="8"/>
  <c r="I41" i="8"/>
  <c r="D42" i="8"/>
  <c r="D53" i="8" s="1"/>
  <c r="H42" i="8"/>
  <c r="H53" i="8" s="1"/>
  <c r="M42" i="8"/>
  <c r="R42" i="8"/>
  <c r="W42" i="8"/>
  <c r="AC42" i="8"/>
  <c r="AH42" i="8"/>
  <c r="C43" i="8"/>
  <c r="C52" i="8" s="1"/>
  <c r="I43" i="8"/>
  <c r="I52" i="8" s="1"/>
  <c r="E44" i="8"/>
  <c r="J44" i="8"/>
  <c r="J70" i="11"/>
  <c r="E8" i="8"/>
  <c r="E8" i="36" s="1"/>
  <c r="B69" i="11"/>
  <c r="E72" i="11"/>
  <c r="H67" i="11"/>
  <c r="F57" i="16"/>
  <c r="F57" i="11" s="1"/>
  <c r="J58" i="16"/>
  <c r="J58" i="11" s="1"/>
  <c r="C69" i="11"/>
  <c r="F70" i="11"/>
  <c r="J71" i="11"/>
  <c r="G56" i="16"/>
  <c r="G56" i="11" s="1"/>
  <c r="J39" i="16"/>
  <c r="J39" i="11" s="1"/>
  <c r="D67" i="11"/>
  <c r="H69" i="11"/>
  <c r="C56" i="16"/>
  <c r="C56" i="11" s="1"/>
  <c r="I55" i="16"/>
  <c r="I55" i="11" s="1"/>
  <c r="B16" i="8"/>
  <c r="B16" i="36" s="1"/>
  <c r="I39" i="16"/>
  <c r="I39" i="11" s="1"/>
  <c r="B66" i="11"/>
  <c r="D70" i="11"/>
  <c r="F71" i="11"/>
  <c r="G66" i="11"/>
  <c r="I66" i="11"/>
  <c r="C59" i="16"/>
  <c r="C59" i="11" s="1"/>
  <c r="C40" i="16"/>
  <c r="C40" i="11" s="1"/>
  <c r="E53" i="16"/>
  <c r="E53" i="11" s="1"/>
  <c r="G58" i="16"/>
  <c r="G58" i="11" s="1"/>
  <c r="H53" i="16"/>
  <c r="H53" i="11" s="1"/>
  <c r="I60" i="16"/>
  <c r="E10" i="8"/>
  <c r="E10" i="36" s="1"/>
  <c r="F11" i="8"/>
  <c r="F11" i="36" s="1"/>
  <c r="F39" i="16"/>
  <c r="F39" i="11" s="1"/>
  <c r="B68" i="11"/>
  <c r="D72" i="11"/>
  <c r="E67" i="11"/>
  <c r="G70" i="11"/>
  <c r="I71" i="11"/>
  <c r="B42" i="16"/>
  <c r="B42" i="11" s="1"/>
  <c r="C41" i="16"/>
  <c r="C41" i="11" s="1"/>
  <c r="D40" i="16"/>
  <c r="D40" i="11" s="1"/>
  <c r="F51" i="16"/>
  <c r="F51" i="11" s="1"/>
  <c r="H55" i="16"/>
  <c r="H55" i="11" s="1"/>
  <c r="J57" i="16"/>
  <c r="J57" i="11" s="1"/>
  <c r="H9" i="8"/>
  <c r="H9" i="36" s="1"/>
  <c r="E16" i="8"/>
  <c r="E16" i="36" s="1"/>
  <c r="E39" i="16"/>
  <c r="E39" i="11" s="1"/>
  <c r="B72" i="11"/>
  <c r="C71" i="11"/>
  <c r="D71" i="11"/>
  <c r="E70" i="11"/>
  <c r="F66" i="11"/>
  <c r="H72" i="11"/>
  <c r="I70" i="11"/>
  <c r="J66" i="11"/>
  <c r="C54" i="16"/>
  <c r="C54" i="11" s="1"/>
  <c r="D57" i="16"/>
  <c r="D57" i="11" s="1"/>
  <c r="E57" i="16"/>
  <c r="E57" i="11" s="1"/>
  <c r="F55" i="16"/>
  <c r="F55" i="11" s="1"/>
  <c r="G51" i="16"/>
  <c r="G51" i="11" s="1"/>
  <c r="I57" i="16"/>
  <c r="I57" i="11" s="1"/>
  <c r="E60" i="16"/>
  <c r="G8" i="8"/>
  <c r="G8" i="36" s="1"/>
  <c r="D14" i="8"/>
  <c r="D14" i="36" s="1"/>
  <c r="L42" i="8"/>
  <c r="L48" i="36" s="1"/>
  <c r="P42" i="8"/>
  <c r="T42" i="8"/>
  <c r="X42" i="8"/>
  <c r="AB42" i="8"/>
  <c r="AF42" i="8"/>
  <c r="AJ42" i="8"/>
  <c r="D43" i="8"/>
  <c r="D52" i="8" s="1"/>
  <c r="H43" i="8"/>
  <c r="C44" i="8"/>
  <c r="G44" i="8"/>
  <c r="B39" i="16"/>
  <c r="B39" i="11" s="1"/>
  <c r="G39" i="16"/>
  <c r="G39" i="11" s="1"/>
  <c r="B70" i="11"/>
  <c r="C72" i="11"/>
  <c r="C67" i="11"/>
  <c r="D68" i="11"/>
  <c r="E68" i="11"/>
  <c r="F69" i="11"/>
  <c r="G68" i="11"/>
  <c r="H68" i="11"/>
  <c r="I68" i="11"/>
  <c r="J67" i="11"/>
  <c r="C58" i="16"/>
  <c r="C58" i="11" s="1"/>
  <c r="C51" i="16"/>
  <c r="C51" i="11" s="1"/>
  <c r="D55" i="16"/>
  <c r="D55" i="11" s="1"/>
  <c r="E58" i="16"/>
  <c r="E58" i="11" s="1"/>
  <c r="E42" i="16"/>
  <c r="E42" i="11" s="1"/>
  <c r="F42" i="16"/>
  <c r="F42" i="11" s="1"/>
  <c r="G41" i="16"/>
  <c r="G41" i="11" s="1"/>
  <c r="H41" i="16"/>
  <c r="H41" i="11" s="1"/>
  <c r="I40" i="16"/>
  <c r="I40" i="11" s="1"/>
  <c r="J42" i="16"/>
  <c r="J42" i="11" s="1"/>
  <c r="G9" i="8"/>
  <c r="G9" i="36" s="1"/>
  <c r="E11" i="8"/>
  <c r="E11" i="36" s="1"/>
  <c r="I14" i="8"/>
  <c r="I14" i="36" s="1"/>
  <c r="J60" i="16"/>
  <c r="I8" i="8"/>
  <c r="I8" i="36" s="1"/>
  <c r="I10" i="8"/>
  <c r="I10" i="36" s="1"/>
  <c r="H14" i="8"/>
  <c r="H14" i="36" s="1"/>
  <c r="H22" i="8"/>
  <c r="H22" i="36" s="1"/>
  <c r="N10" i="8"/>
  <c r="AC50" i="16"/>
  <c r="AC50" i="11" s="1"/>
  <c r="AA41" i="16"/>
  <c r="AA41" i="17" s="1"/>
  <c r="AA41" i="18" s="1"/>
  <c r="AF40" i="16"/>
  <c r="AF40" i="11" s="1"/>
  <c r="Q11" i="14"/>
  <c r="P92" i="10" s="1"/>
  <c r="AE92" i="14"/>
  <c r="AE95" i="14" s="1"/>
  <c r="P92" i="14"/>
  <c r="P95" i="14" s="1"/>
  <c r="AI92" i="14"/>
  <c r="AI95" i="14" s="1"/>
  <c r="Z92" i="14"/>
  <c r="Z95" i="14" s="1"/>
  <c r="V92" i="14"/>
  <c r="V95" i="14" s="1"/>
  <c r="O11" i="14"/>
  <c r="T11" i="14"/>
  <c r="P11" i="14"/>
  <c r="S11" i="14"/>
  <c r="R11" i="14"/>
  <c r="U11" i="14"/>
  <c r="AK92" i="14"/>
  <c r="AK95" i="14" s="1"/>
  <c r="E17" i="8"/>
  <c r="E17" i="36" s="1"/>
  <c r="J32" i="8"/>
  <c r="J32" i="36" s="1"/>
  <c r="P68" i="11"/>
  <c r="G28" i="8"/>
  <c r="G28" i="36" s="1"/>
  <c r="F59" i="16"/>
  <c r="F59" i="11" s="1"/>
  <c r="F50" i="16"/>
  <c r="F50" i="11" s="1"/>
  <c r="G54" i="16"/>
  <c r="G54" i="11" s="1"/>
  <c r="H56" i="16"/>
  <c r="H56" i="11" s="1"/>
  <c r="H40" i="16"/>
  <c r="H40" i="11" s="1"/>
  <c r="I51" i="16"/>
  <c r="I51" i="11" s="1"/>
  <c r="J53" i="16"/>
  <c r="J53" i="11" s="1"/>
  <c r="C60" i="16"/>
  <c r="C2" i="16"/>
  <c r="D23" i="1" s="1"/>
  <c r="G100" i="11" s="1"/>
  <c r="C9" i="8"/>
  <c r="C9" i="36" s="1"/>
  <c r="F10" i="8"/>
  <c r="F10" i="36" s="1"/>
  <c r="J11" i="8"/>
  <c r="J11" i="36" s="1"/>
  <c r="H15" i="8"/>
  <c r="H15" i="36" s="1"/>
  <c r="E18" i="8"/>
  <c r="E18" i="36" s="1"/>
  <c r="D35" i="8"/>
  <c r="D35" i="36" s="1"/>
  <c r="D39" i="16"/>
  <c r="D39" i="11" s="1"/>
  <c r="H39" i="16"/>
  <c r="H39" i="11" s="1"/>
  <c r="B71" i="11"/>
  <c r="B67" i="11"/>
  <c r="C70" i="11"/>
  <c r="C66" i="11"/>
  <c r="D69" i="11"/>
  <c r="E71" i="11"/>
  <c r="E66" i="11"/>
  <c r="F67" i="11"/>
  <c r="G69" i="11"/>
  <c r="H71" i="11"/>
  <c r="I72" i="11"/>
  <c r="I67" i="11"/>
  <c r="J69" i="11"/>
  <c r="B40" i="16"/>
  <c r="B40" i="11" s="1"/>
  <c r="C55" i="16"/>
  <c r="C55" i="11" s="1"/>
  <c r="C50" i="16"/>
  <c r="C50" i="11" s="1"/>
  <c r="D56" i="16"/>
  <c r="D56" i="11" s="1"/>
  <c r="D42" i="16"/>
  <c r="D42" i="11" s="1"/>
  <c r="E54" i="16"/>
  <c r="E54" i="11" s="1"/>
  <c r="E41" i="16"/>
  <c r="E41" i="11" s="1"/>
  <c r="F54" i="16"/>
  <c r="F54" i="11" s="1"/>
  <c r="G59" i="16"/>
  <c r="G59" i="11" s="1"/>
  <c r="H59" i="16"/>
  <c r="H59" i="11" s="1"/>
  <c r="H50" i="16"/>
  <c r="H50" i="11" s="1"/>
  <c r="I56" i="16"/>
  <c r="I56" i="11" s="1"/>
  <c r="I42" i="16"/>
  <c r="I42" i="11" s="1"/>
  <c r="J54" i="16"/>
  <c r="J54" i="11" s="1"/>
  <c r="J41" i="16"/>
  <c r="J41" i="11" s="1"/>
  <c r="F60" i="16"/>
  <c r="D8" i="8"/>
  <c r="D8" i="36" s="1"/>
  <c r="B9" i="8"/>
  <c r="B9" i="36" s="1"/>
  <c r="J9" i="8"/>
  <c r="J9" i="36" s="1"/>
  <c r="B11" i="8"/>
  <c r="B11" i="36" s="1"/>
  <c r="C14" i="8"/>
  <c r="C14" i="36" s="1"/>
  <c r="D15" i="8"/>
  <c r="D15" i="36" s="1"/>
  <c r="J16" i="8"/>
  <c r="J16" i="36" s="1"/>
  <c r="F23" i="8"/>
  <c r="F23" i="36" s="1"/>
  <c r="J36" i="8"/>
  <c r="J36" i="36" s="1"/>
  <c r="D59" i="16"/>
  <c r="D53" i="16"/>
  <c r="D53" i="11" s="1"/>
  <c r="D41" i="16"/>
  <c r="D41" i="11" s="1"/>
  <c r="E56" i="16"/>
  <c r="E56" i="11" s="1"/>
  <c r="E50" i="16"/>
  <c r="E50" i="11" s="1"/>
  <c r="F58" i="16"/>
  <c r="F58" i="11" s="1"/>
  <c r="F53" i="16"/>
  <c r="F53" i="11" s="1"/>
  <c r="F40" i="16"/>
  <c r="F40" i="11" s="1"/>
  <c r="G55" i="16"/>
  <c r="G55" i="11" s="1"/>
  <c r="G50" i="16"/>
  <c r="G50" i="11" s="1"/>
  <c r="H57" i="16"/>
  <c r="H57" i="11" s="1"/>
  <c r="I59" i="16"/>
  <c r="I59" i="11" s="1"/>
  <c r="I53" i="16"/>
  <c r="I53" i="11" s="1"/>
  <c r="I41" i="16"/>
  <c r="I41" i="11" s="1"/>
  <c r="J56" i="16"/>
  <c r="J56" i="11" s="1"/>
  <c r="J50" i="16"/>
  <c r="J50" i="11" s="1"/>
  <c r="G60" i="16"/>
  <c r="C8" i="8"/>
  <c r="C8" i="36" s="1"/>
  <c r="H8" i="8"/>
  <c r="H8" i="36" s="1"/>
  <c r="D9" i="8"/>
  <c r="D9" i="36" s="1"/>
  <c r="C10" i="8"/>
  <c r="C10" i="36" s="1"/>
  <c r="J10" i="8"/>
  <c r="J10" i="36" s="1"/>
  <c r="H11" i="8"/>
  <c r="H11" i="36" s="1"/>
  <c r="G14" i="8"/>
  <c r="G14" i="36" s="1"/>
  <c r="F15" i="8"/>
  <c r="F15" i="36" s="1"/>
  <c r="F16" i="8"/>
  <c r="F16" i="36" s="1"/>
  <c r="B21" i="8"/>
  <c r="B21" i="36" s="1"/>
  <c r="C31" i="8"/>
  <c r="C31" i="36" s="1"/>
  <c r="D38" i="8"/>
  <c r="D38" i="36" s="1"/>
  <c r="C15" i="8"/>
  <c r="C15" i="36" s="1"/>
  <c r="J15" i="8"/>
  <c r="J15" i="36" s="1"/>
  <c r="G16" i="8"/>
  <c r="G16" i="36" s="1"/>
  <c r="J18" i="8"/>
  <c r="J18" i="36" s="1"/>
  <c r="H26" i="8"/>
  <c r="H26" i="36" s="1"/>
  <c r="I33" i="8"/>
  <c r="I33" i="36" s="1"/>
  <c r="T18" i="8"/>
  <c r="C24" i="8"/>
  <c r="C24" i="36" s="1"/>
  <c r="I32" i="8"/>
  <c r="I32" i="36" s="1"/>
  <c r="J35" i="8"/>
  <c r="J35" i="36" s="1"/>
  <c r="U18" i="8"/>
  <c r="F17" i="8"/>
  <c r="F17" i="36" s="1"/>
  <c r="E22" i="8"/>
  <c r="E22" i="36" s="1"/>
  <c r="B26" i="8"/>
  <c r="B26" i="36" s="1"/>
  <c r="F31" i="8"/>
  <c r="F31" i="36" s="1"/>
  <c r="G34" i="8"/>
  <c r="G34" i="36" s="1"/>
  <c r="H37" i="8"/>
  <c r="H37" i="36" s="1"/>
  <c r="AD18" i="8"/>
  <c r="F9" i="8"/>
  <c r="F9" i="36" s="1"/>
  <c r="B10" i="8"/>
  <c r="B10" i="36" s="1"/>
  <c r="G10" i="8"/>
  <c r="G10" i="36" s="1"/>
  <c r="D11" i="8"/>
  <c r="D11" i="36" s="1"/>
  <c r="I11" i="8"/>
  <c r="I11" i="36" s="1"/>
  <c r="E14" i="8"/>
  <c r="E14" i="36" s="1"/>
  <c r="B15" i="8"/>
  <c r="B15" i="36" s="1"/>
  <c r="G15" i="8"/>
  <c r="G15" i="36" s="1"/>
  <c r="C16" i="8"/>
  <c r="C16" i="36" s="1"/>
  <c r="I16" i="8"/>
  <c r="I16" i="36" s="1"/>
  <c r="B18" i="8"/>
  <c r="B18" i="36" s="1"/>
  <c r="I21" i="8"/>
  <c r="I21" i="36" s="1"/>
  <c r="B24" i="8"/>
  <c r="B24" i="36" s="1"/>
  <c r="I26" i="8"/>
  <c r="I26" i="36" s="1"/>
  <c r="C32" i="8"/>
  <c r="C32" i="36" s="1"/>
  <c r="E34" i="8"/>
  <c r="E34" i="36" s="1"/>
  <c r="C36" i="8"/>
  <c r="C36" i="36" s="1"/>
  <c r="N18" i="8"/>
  <c r="AK18" i="8"/>
  <c r="W56" i="16"/>
  <c r="H21" i="8"/>
  <c r="H21" i="36" s="1"/>
  <c r="D23" i="8"/>
  <c r="D23" i="36" s="1"/>
  <c r="I24" i="8"/>
  <c r="I24" i="36" s="1"/>
  <c r="E28" i="8"/>
  <c r="E28" i="36" s="1"/>
  <c r="B32" i="8"/>
  <c r="B32" i="36" s="1"/>
  <c r="F33" i="8"/>
  <c r="F33" i="36" s="1"/>
  <c r="C35" i="8"/>
  <c r="C35" i="36" s="1"/>
  <c r="I36" i="8"/>
  <c r="I36" i="36" s="1"/>
  <c r="M18" i="8"/>
  <c r="Z18" i="8"/>
  <c r="M71" i="11"/>
  <c r="B17" i="8"/>
  <c r="B17" i="36" s="1"/>
  <c r="H17" i="8"/>
  <c r="H17" i="36" s="1"/>
  <c r="F18" i="8"/>
  <c r="F18" i="36" s="1"/>
  <c r="D21" i="8"/>
  <c r="D21" i="36" s="1"/>
  <c r="C22" i="8"/>
  <c r="C22" i="36" s="1"/>
  <c r="I22" i="8"/>
  <c r="I22" i="36" s="1"/>
  <c r="G23" i="8"/>
  <c r="G23" i="36" s="1"/>
  <c r="F24" i="8"/>
  <c r="F24" i="36" s="1"/>
  <c r="D26" i="8"/>
  <c r="D26" i="36" s="1"/>
  <c r="J26" i="8"/>
  <c r="J26" i="36" s="1"/>
  <c r="I28" i="8"/>
  <c r="I28" i="36" s="1"/>
  <c r="G31" i="8"/>
  <c r="G31" i="36" s="1"/>
  <c r="E32" i="8"/>
  <c r="E32" i="36" s="1"/>
  <c r="D33" i="8"/>
  <c r="D33" i="36" s="1"/>
  <c r="J33" i="8"/>
  <c r="J33" i="36" s="1"/>
  <c r="H34" i="8"/>
  <c r="H34" i="36" s="1"/>
  <c r="G35" i="8"/>
  <c r="G35" i="36" s="1"/>
  <c r="E36" i="8"/>
  <c r="E36" i="36" s="1"/>
  <c r="B37" i="8"/>
  <c r="B37" i="36" s="1"/>
  <c r="G38" i="8"/>
  <c r="G38" i="36" s="1"/>
  <c r="P18" i="8"/>
  <c r="X18" i="8"/>
  <c r="AF18" i="8"/>
  <c r="AC56" i="16"/>
  <c r="AC56" i="11" s="1"/>
  <c r="K69" i="11"/>
  <c r="S69" i="11"/>
  <c r="D17" i="8"/>
  <c r="D17" i="36" s="1"/>
  <c r="J17" i="8"/>
  <c r="J17" i="36" s="1"/>
  <c r="G18" i="8"/>
  <c r="G18" i="36" s="1"/>
  <c r="F21" i="8"/>
  <c r="F21" i="36" s="1"/>
  <c r="D22" i="8"/>
  <c r="D22" i="36" s="1"/>
  <c r="B23" i="8"/>
  <c r="B23" i="36" s="1"/>
  <c r="J23" i="8"/>
  <c r="J23" i="36" s="1"/>
  <c r="G24" i="8"/>
  <c r="G24" i="36" s="1"/>
  <c r="E26" i="8"/>
  <c r="E26" i="36" s="1"/>
  <c r="D28" i="8"/>
  <c r="D28" i="36" s="1"/>
  <c r="B31" i="8"/>
  <c r="B31" i="36" s="1"/>
  <c r="H31" i="8"/>
  <c r="H31" i="36" s="1"/>
  <c r="G32" i="8"/>
  <c r="G32" i="36" s="1"/>
  <c r="E33" i="8"/>
  <c r="E33" i="36" s="1"/>
  <c r="C34" i="8"/>
  <c r="C34" i="36" s="1"/>
  <c r="B35" i="8"/>
  <c r="B35" i="36" s="1"/>
  <c r="H35" i="8"/>
  <c r="H35" i="36" s="1"/>
  <c r="F36" i="8"/>
  <c r="F36" i="36" s="1"/>
  <c r="E37" i="8"/>
  <c r="E37" i="36" s="1"/>
  <c r="H38" i="8"/>
  <c r="H38" i="36" s="1"/>
  <c r="R18" i="8"/>
  <c r="Y18" i="8"/>
  <c r="AH18" i="8"/>
  <c r="AK69" i="11"/>
  <c r="K58" i="16"/>
  <c r="K58" i="11" s="1"/>
  <c r="AC18" i="8"/>
  <c r="AJ18" i="8"/>
  <c r="AH56" i="16"/>
  <c r="AH56" i="17" s="1"/>
  <c r="AH56" i="18" s="1"/>
  <c r="O69" i="11"/>
  <c r="R68" i="11"/>
  <c r="V70" i="11"/>
  <c r="I37" i="8"/>
  <c r="I37" i="36" s="1"/>
  <c r="L18" i="8"/>
  <c r="Q18" i="8"/>
  <c r="V18" i="8"/>
  <c r="AB18" i="8"/>
  <c r="AG18" i="8"/>
  <c r="M56" i="16"/>
  <c r="K50" i="16"/>
  <c r="K50" i="11" s="1"/>
  <c r="K67" i="11"/>
  <c r="L72" i="11"/>
  <c r="Q67" i="11"/>
  <c r="Z66" i="11"/>
  <c r="W71" i="11"/>
  <c r="AB68" i="11"/>
  <c r="D66" i="11"/>
  <c r="E69" i="11"/>
  <c r="F72" i="11"/>
  <c r="F68" i="11"/>
  <c r="G71" i="11"/>
  <c r="G67" i="11"/>
  <c r="H70" i="11"/>
  <c r="H66" i="11"/>
  <c r="I69" i="11"/>
  <c r="J72" i="11"/>
  <c r="J68" i="11"/>
  <c r="B41" i="16"/>
  <c r="B41" i="11" s="1"/>
  <c r="C57" i="16"/>
  <c r="C57" i="11" s="1"/>
  <c r="C53" i="16"/>
  <c r="C53" i="11" s="1"/>
  <c r="C42" i="16"/>
  <c r="C42" i="11" s="1"/>
  <c r="D58" i="16"/>
  <c r="D58" i="11" s="1"/>
  <c r="D54" i="16"/>
  <c r="D54" i="11" s="1"/>
  <c r="D50" i="16"/>
  <c r="D50" i="11" s="1"/>
  <c r="E59" i="16"/>
  <c r="E59" i="11" s="1"/>
  <c r="E55" i="16"/>
  <c r="E55" i="11" s="1"/>
  <c r="E51" i="16"/>
  <c r="E51" i="11" s="1"/>
  <c r="E40" i="16"/>
  <c r="E40" i="11" s="1"/>
  <c r="F56" i="16"/>
  <c r="F56" i="11" s="1"/>
  <c r="F41" i="16"/>
  <c r="F41" i="11" s="1"/>
  <c r="G57" i="16"/>
  <c r="G57" i="11" s="1"/>
  <c r="G53" i="16"/>
  <c r="G53" i="11" s="1"/>
  <c r="G42" i="16"/>
  <c r="G42" i="11" s="1"/>
  <c r="H58" i="16"/>
  <c r="H58" i="11" s="1"/>
  <c r="H54" i="16"/>
  <c r="H54" i="11" s="1"/>
  <c r="H42" i="16"/>
  <c r="H42" i="11" s="1"/>
  <c r="I58" i="16"/>
  <c r="I58" i="11" s="1"/>
  <c r="I54" i="16"/>
  <c r="I54" i="11" s="1"/>
  <c r="I50" i="16"/>
  <c r="I50" i="11" s="1"/>
  <c r="J59" i="16"/>
  <c r="J59" i="11" s="1"/>
  <c r="J55" i="16"/>
  <c r="J55" i="11" s="1"/>
  <c r="J51" i="16"/>
  <c r="J51" i="11" s="1"/>
  <c r="J40" i="16"/>
  <c r="J40" i="11" s="1"/>
  <c r="D60" i="16"/>
  <c r="H60" i="16"/>
  <c r="B8" i="8"/>
  <c r="B8" i="36" s="1"/>
  <c r="F8" i="8"/>
  <c r="F8" i="36" s="1"/>
  <c r="J8" i="8"/>
  <c r="J8" i="36" s="1"/>
  <c r="E9" i="8"/>
  <c r="E9" i="36" s="1"/>
  <c r="I9" i="8"/>
  <c r="I9" i="36" s="1"/>
  <c r="D10" i="8"/>
  <c r="D10" i="36" s="1"/>
  <c r="H10" i="8"/>
  <c r="H10" i="36" s="1"/>
  <c r="C11" i="8"/>
  <c r="C11" i="36" s="1"/>
  <c r="G11" i="8"/>
  <c r="G11" i="36" s="1"/>
  <c r="B14" i="8"/>
  <c r="B14" i="36" s="1"/>
  <c r="F14" i="8"/>
  <c r="F14" i="36" s="1"/>
  <c r="J14" i="8"/>
  <c r="J14" i="36" s="1"/>
  <c r="E15" i="8"/>
  <c r="E15" i="36" s="1"/>
  <c r="I15" i="8"/>
  <c r="I15" i="36" s="1"/>
  <c r="D16" i="8"/>
  <c r="D16" i="36" s="1"/>
  <c r="H16" i="8"/>
  <c r="H16" i="36" s="1"/>
  <c r="C17" i="8"/>
  <c r="C17" i="36" s="1"/>
  <c r="G17" i="8"/>
  <c r="G17" i="36" s="1"/>
  <c r="C18" i="8"/>
  <c r="C18" i="36" s="1"/>
  <c r="I18" i="8"/>
  <c r="I18" i="36" s="1"/>
  <c r="E21" i="8"/>
  <c r="E21" i="36" s="1"/>
  <c r="J21" i="8"/>
  <c r="J21" i="36" s="1"/>
  <c r="G22" i="8"/>
  <c r="G22" i="36" s="1"/>
  <c r="C23" i="8"/>
  <c r="C23" i="36" s="1"/>
  <c r="H23" i="8"/>
  <c r="H23" i="36" s="1"/>
  <c r="E24" i="8"/>
  <c r="E24" i="36" s="1"/>
  <c r="J24" i="8"/>
  <c r="J24" i="36" s="1"/>
  <c r="F26" i="8"/>
  <c r="F26" i="36" s="1"/>
  <c r="C28" i="8"/>
  <c r="C28" i="36" s="1"/>
  <c r="H28" i="8"/>
  <c r="H28" i="36" s="1"/>
  <c r="D31" i="8"/>
  <c r="D31" i="36" s="1"/>
  <c r="J31" i="8"/>
  <c r="J31" i="36" s="1"/>
  <c r="F32" i="8"/>
  <c r="F32" i="36" s="1"/>
  <c r="B33" i="8"/>
  <c r="B33" i="36" s="1"/>
  <c r="H33" i="8"/>
  <c r="H33" i="36" s="1"/>
  <c r="D34" i="8"/>
  <c r="D34" i="36" s="1"/>
  <c r="I34" i="8"/>
  <c r="I34" i="36" s="1"/>
  <c r="F35" i="8"/>
  <c r="F35" i="36" s="1"/>
  <c r="B36" i="8"/>
  <c r="B36" i="36" s="1"/>
  <c r="G36" i="8"/>
  <c r="G36" i="36" s="1"/>
  <c r="D37" i="8"/>
  <c r="D37" i="36" s="1"/>
  <c r="C38" i="8"/>
  <c r="C38" i="36" s="1"/>
  <c r="K18" i="8"/>
  <c r="O18" i="8"/>
  <c r="S18" i="8"/>
  <c r="W18" i="8"/>
  <c r="AA18" i="8"/>
  <c r="AE18" i="8"/>
  <c r="AI18" i="8"/>
  <c r="R56" i="16"/>
  <c r="R56" i="17" s="1"/>
  <c r="R56" i="18" s="1"/>
  <c r="K55" i="16"/>
  <c r="K55" i="11" s="1"/>
  <c r="K71" i="11"/>
  <c r="N70" i="11"/>
  <c r="X72" i="11"/>
  <c r="AA67" i="11"/>
  <c r="Y66" i="16"/>
  <c r="Y108" i="16" s="1"/>
  <c r="AK71" i="11"/>
  <c r="AK71" i="18" s="1"/>
  <c r="AJ70" i="11"/>
  <c r="AD66" i="11"/>
  <c r="AA69" i="11"/>
  <c r="Z68" i="11"/>
  <c r="Y67" i="11"/>
  <c r="V66" i="11"/>
  <c r="V72" i="11"/>
  <c r="U71" i="11"/>
  <c r="U71" i="18" s="1"/>
  <c r="R70" i="11"/>
  <c r="Q69" i="11"/>
  <c r="P70" i="11"/>
  <c r="O71" i="11"/>
  <c r="N72" i="11"/>
  <c r="L66" i="11"/>
  <c r="K15" i="8"/>
  <c r="K53" i="16"/>
  <c r="K57" i="16"/>
  <c r="K57" i="11" s="1"/>
  <c r="AI56" i="16"/>
  <c r="AI56" i="17" s="1"/>
  <c r="AI56" i="18" s="1"/>
  <c r="AD56" i="16"/>
  <c r="AD56" i="17" s="1"/>
  <c r="AD56" i="18" s="1"/>
  <c r="Y56" i="16"/>
  <c r="Y56" i="11" s="1"/>
  <c r="S56" i="16"/>
  <c r="S56" i="17" s="1"/>
  <c r="S56" i="18" s="1"/>
  <c r="N56" i="16"/>
  <c r="N56" i="17" s="1"/>
  <c r="N56" i="18" s="1"/>
  <c r="AK28" i="8"/>
  <c r="M69" i="1" s="1"/>
  <c r="AJ28" i="8"/>
  <c r="AI28" i="8"/>
  <c r="AH28" i="8"/>
  <c r="AG28" i="8"/>
  <c r="AF28" i="8"/>
  <c r="AE28" i="8"/>
  <c r="AD28" i="8"/>
  <c r="AC28" i="8"/>
  <c r="AB28" i="8"/>
  <c r="AA28" i="8"/>
  <c r="Z28" i="8"/>
  <c r="Y28" i="8"/>
  <c r="X28" i="8"/>
  <c r="W28" i="8"/>
  <c r="V28" i="8"/>
  <c r="U28" i="8"/>
  <c r="T28" i="8"/>
  <c r="S28" i="8"/>
  <c r="R28" i="8"/>
  <c r="Q28" i="8"/>
  <c r="J69" i="1" s="1"/>
  <c r="P28" i="8"/>
  <c r="O28" i="8"/>
  <c r="N28" i="8"/>
  <c r="M28" i="8"/>
  <c r="L28" i="8"/>
  <c r="K28" i="8"/>
  <c r="I38" i="8"/>
  <c r="I38" i="36" s="1"/>
  <c r="E38" i="8"/>
  <c r="E38" i="36" s="1"/>
  <c r="J37" i="8"/>
  <c r="J37" i="36" s="1"/>
  <c r="F37" i="8"/>
  <c r="F37" i="36" s="1"/>
  <c r="AK67" i="11"/>
  <c r="AC67" i="11"/>
  <c r="AB66" i="11"/>
  <c r="AB72" i="11"/>
  <c r="Y71" i="11"/>
  <c r="X70" i="11"/>
  <c r="X70" i="18" s="1"/>
  <c r="W69" i="11"/>
  <c r="T68" i="11"/>
  <c r="S67" i="11"/>
  <c r="R66" i="11"/>
  <c r="P66" i="11"/>
  <c r="O67" i="11"/>
  <c r="N68" i="11"/>
  <c r="M69" i="11"/>
  <c r="L70" i="11"/>
  <c r="K14" i="8"/>
  <c r="K17" i="8"/>
  <c r="K31" i="8"/>
  <c r="K59" i="16"/>
  <c r="K59" i="17" s="1"/>
  <c r="K60" i="10" s="1"/>
  <c r="AG56" i="16"/>
  <c r="AG56" i="17" s="1"/>
  <c r="AG56" i="18" s="1"/>
  <c r="AA56" i="16"/>
  <c r="AA56" i="17" s="1"/>
  <c r="AA56" i="18" s="1"/>
  <c r="V56" i="16"/>
  <c r="V56" i="17" s="1"/>
  <c r="V56" i="18" s="1"/>
  <c r="Q56" i="16"/>
  <c r="Q56" i="11" s="1"/>
  <c r="K56" i="16"/>
  <c r="K56" i="17" s="1"/>
  <c r="AK11" i="8"/>
  <c r="M67" i="1" s="1"/>
  <c r="AJ11" i="8"/>
  <c r="AI11" i="8"/>
  <c r="AH11" i="8"/>
  <c r="AG11" i="8"/>
  <c r="AF11" i="8"/>
  <c r="AE11" i="8"/>
  <c r="AD11" i="8"/>
  <c r="AC11" i="8"/>
  <c r="AB11" i="8"/>
  <c r="AA11" i="8"/>
  <c r="Z11" i="8"/>
  <c r="Y11" i="8"/>
  <c r="X11" i="8"/>
  <c r="W11" i="8"/>
  <c r="V11" i="8"/>
  <c r="U11" i="8"/>
  <c r="T11" i="8"/>
  <c r="S11" i="8"/>
  <c r="R11" i="8"/>
  <c r="Q11" i="8"/>
  <c r="J67" i="1" s="1"/>
  <c r="P11" i="8"/>
  <c r="O11" i="8"/>
  <c r="N11" i="8"/>
  <c r="M11" i="8"/>
  <c r="L11" i="8"/>
  <c r="K11" i="8"/>
  <c r="AF72" i="11"/>
  <c r="AD72" i="11"/>
  <c r="AC71" i="11"/>
  <c r="Z70" i="11"/>
  <c r="Y69" i="11"/>
  <c r="X68" i="11"/>
  <c r="U67" i="11"/>
  <c r="T66" i="11"/>
  <c r="T72" i="11"/>
  <c r="Q71" i="11"/>
  <c r="P72" i="11"/>
  <c r="N66" i="11"/>
  <c r="M67" i="11"/>
  <c r="L68" i="11"/>
  <c r="K66" i="11"/>
  <c r="K68" i="11"/>
  <c r="K70" i="11"/>
  <c r="K72" i="11"/>
  <c r="K51" i="16"/>
  <c r="K51" i="11" s="1"/>
  <c r="AE56" i="16"/>
  <c r="AE56" i="17" s="1"/>
  <c r="AE56" i="18" s="1"/>
  <c r="Z56" i="16"/>
  <c r="Z56" i="17" s="1"/>
  <c r="Z56" i="18" s="1"/>
  <c r="U56" i="16"/>
  <c r="U56" i="17" s="1"/>
  <c r="U56" i="18" s="1"/>
  <c r="O56" i="16"/>
  <c r="O56" i="11" s="1"/>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K38" i="36" s="1"/>
  <c r="J38" i="8"/>
  <c r="J38" i="36" s="1"/>
  <c r="F38" i="8"/>
  <c r="F38" i="36" s="1"/>
  <c r="B38" i="8"/>
  <c r="B38" i="36" s="1"/>
  <c r="G37" i="8"/>
  <c r="G37" i="36" s="1"/>
  <c r="C37" i="8"/>
  <c r="C37" i="36" s="1"/>
  <c r="H36" i="8"/>
  <c r="H36" i="36" s="1"/>
  <c r="D36" i="8"/>
  <c r="D36" i="36" s="1"/>
  <c r="I35" i="8"/>
  <c r="I35" i="36" s="1"/>
  <c r="E35" i="8"/>
  <c r="E35" i="36" s="1"/>
  <c r="J34" i="8"/>
  <c r="J34" i="36" s="1"/>
  <c r="F34" i="8"/>
  <c r="F34" i="36" s="1"/>
  <c r="B34" i="8"/>
  <c r="B34" i="36" s="1"/>
  <c r="G33" i="8"/>
  <c r="G33" i="36" s="1"/>
  <c r="C33" i="8"/>
  <c r="C33" i="36" s="1"/>
  <c r="H32" i="8"/>
  <c r="H32" i="36" s="1"/>
  <c r="D32" i="8"/>
  <c r="D32" i="36" s="1"/>
  <c r="I31" i="8"/>
  <c r="I31" i="36" s="1"/>
  <c r="E31" i="8"/>
  <c r="E31" i="36" s="1"/>
  <c r="J28" i="8"/>
  <c r="J28" i="36" s="1"/>
  <c r="F28" i="8"/>
  <c r="F28" i="36" s="1"/>
  <c r="B28" i="8"/>
  <c r="B28" i="36" s="1"/>
  <c r="G26" i="8"/>
  <c r="G26" i="36" s="1"/>
  <c r="C26" i="8"/>
  <c r="C26" i="36" s="1"/>
  <c r="H24" i="8"/>
  <c r="H24" i="36" s="1"/>
  <c r="D24" i="8"/>
  <c r="D24" i="36" s="1"/>
  <c r="I23" i="8"/>
  <c r="I23" i="36" s="1"/>
  <c r="E23" i="8"/>
  <c r="E23" i="36" s="1"/>
  <c r="J22" i="8"/>
  <c r="J22" i="36" s="1"/>
  <c r="F22" i="8"/>
  <c r="F22" i="36" s="1"/>
  <c r="B22" i="8"/>
  <c r="B22" i="36" s="1"/>
  <c r="G21" i="8"/>
  <c r="G21" i="36" s="1"/>
  <c r="C21" i="8"/>
  <c r="C21" i="36" s="1"/>
  <c r="H18" i="8"/>
  <c r="H18" i="36" s="1"/>
  <c r="D18" i="8"/>
  <c r="D18" i="36" s="1"/>
  <c r="I17" i="8"/>
  <c r="I17" i="36" s="1"/>
  <c r="L56" i="16"/>
  <c r="P56" i="16"/>
  <c r="P56" i="17" s="1"/>
  <c r="P56" i="18" s="1"/>
  <c r="T56" i="16"/>
  <c r="T56" i="11" s="1"/>
  <c r="X56" i="16"/>
  <c r="X56" i="17" s="1"/>
  <c r="X56" i="18" s="1"/>
  <c r="AB56" i="16"/>
  <c r="AF56" i="16"/>
  <c r="AF56" i="11" s="1"/>
  <c r="AJ56" i="16"/>
  <c r="K37" i="8"/>
  <c r="K36" i="8"/>
  <c r="K40" i="38" s="1"/>
  <c r="K34" i="8"/>
  <c r="K32" i="8"/>
  <c r="K16" i="8"/>
  <c r="K10" i="8"/>
  <c r="K8" i="8"/>
  <c r="L71" i="11"/>
  <c r="L69" i="11"/>
  <c r="L67" i="11"/>
  <c r="M72" i="11"/>
  <c r="M70" i="11"/>
  <c r="M68" i="11"/>
  <c r="M66" i="11"/>
  <c r="N71" i="11"/>
  <c r="N69" i="11"/>
  <c r="N67" i="11"/>
  <c r="O72" i="11"/>
  <c r="O70" i="11"/>
  <c r="O68" i="11"/>
  <c r="O66" i="11"/>
  <c r="P71" i="11"/>
  <c r="P69" i="11"/>
  <c r="P67" i="11"/>
  <c r="Q72" i="11"/>
  <c r="Q70" i="11"/>
  <c r="R72" i="11"/>
  <c r="S71" i="11"/>
  <c r="T70" i="11"/>
  <c r="U69" i="11"/>
  <c r="V68" i="11"/>
  <c r="W67" i="11"/>
  <c r="X66" i="11"/>
  <c r="X66" i="18" s="1"/>
  <c r="Z72" i="11"/>
  <c r="AA71" i="11"/>
  <c r="AB70" i="11"/>
  <c r="AD70" i="11"/>
  <c r="AD70" i="18" s="1"/>
  <c r="AE71" i="11"/>
  <c r="AG71" i="11"/>
  <c r="Q68" i="11"/>
  <c r="Q66" i="11"/>
  <c r="R71" i="11"/>
  <c r="R69" i="11"/>
  <c r="R67" i="11"/>
  <c r="S72" i="11"/>
  <c r="S70" i="11"/>
  <c r="S68" i="11"/>
  <c r="S66" i="11"/>
  <c r="T71" i="11"/>
  <c r="T69" i="11"/>
  <c r="T67" i="11"/>
  <c r="U72" i="11"/>
  <c r="U70" i="11"/>
  <c r="U68" i="11"/>
  <c r="U66" i="11"/>
  <c r="V71" i="11"/>
  <c r="V69" i="11"/>
  <c r="V67" i="11"/>
  <c r="V67" i="18" s="1"/>
  <c r="W72" i="11"/>
  <c r="W70" i="11"/>
  <c r="W68" i="11"/>
  <c r="W66" i="11"/>
  <c r="X71" i="11"/>
  <c r="X71" i="18" s="1"/>
  <c r="X69" i="11"/>
  <c r="X67" i="11"/>
  <c r="Y72" i="11"/>
  <c r="Y70" i="11"/>
  <c r="Y68" i="11"/>
  <c r="Y66" i="11"/>
  <c r="Z71" i="11"/>
  <c r="Z69" i="11"/>
  <c r="Z67" i="11"/>
  <c r="AA72" i="11"/>
  <c r="AA70" i="11"/>
  <c r="AA68" i="11"/>
  <c r="AA66" i="11"/>
  <c r="AB71" i="11"/>
  <c r="AB69" i="11"/>
  <c r="AB67" i="11"/>
  <c r="AB67" i="18" s="1"/>
  <c r="AC72" i="11"/>
  <c r="AE69" i="11"/>
  <c r="AF70" i="11"/>
  <c r="AG67" i="11"/>
  <c r="AF68" i="11"/>
  <c r="AG69" i="11"/>
  <c r="AH66" i="11"/>
  <c r="K9" i="8"/>
  <c r="AC69" i="11"/>
  <c r="AD68" i="11"/>
  <c r="AE67" i="11"/>
  <c r="AF66" i="11"/>
  <c r="AH72" i="11"/>
  <c r="AI69" i="11"/>
  <c r="AH70" i="11"/>
  <c r="AI71" i="11"/>
  <c r="AJ72" i="11"/>
  <c r="AH68" i="11"/>
  <c r="AI67" i="11"/>
  <c r="AJ66" i="11"/>
  <c r="L10" i="8"/>
  <c r="N55" i="16"/>
  <c r="N55" i="11" s="1"/>
  <c r="N53" i="16"/>
  <c r="N53" i="11" s="1"/>
  <c r="N16" i="8"/>
  <c r="T59" i="16"/>
  <c r="T59" i="17" s="1"/>
  <c r="T60" i="10" s="1"/>
  <c r="T50" i="16"/>
  <c r="M9" i="8"/>
  <c r="P51" i="16"/>
  <c r="P51" i="11" s="1"/>
  <c r="Q15" i="8"/>
  <c r="AC70" i="11"/>
  <c r="AC68" i="11"/>
  <c r="AC66" i="11"/>
  <c r="AD71" i="11"/>
  <c r="AD69" i="11"/>
  <c r="AD67" i="11"/>
  <c r="AE72" i="11"/>
  <c r="AE70" i="11"/>
  <c r="AE68" i="11"/>
  <c r="AE66" i="11"/>
  <c r="AF71" i="11"/>
  <c r="AF71" i="18" s="1"/>
  <c r="AF69" i="11"/>
  <c r="AF67" i="11"/>
  <c r="AG72" i="11"/>
  <c r="AG70" i="11"/>
  <c r="AG68" i="11"/>
  <c r="AG66" i="11"/>
  <c r="AH71" i="11"/>
  <c r="AH71" i="18" s="1"/>
  <c r="AH69" i="11"/>
  <c r="AH67" i="11"/>
  <c r="AI72" i="11"/>
  <c r="AI70" i="11"/>
  <c r="AI68" i="11"/>
  <c r="AI66" i="11"/>
  <c r="AJ71" i="11"/>
  <c r="AJ69" i="11"/>
  <c r="AJ67" i="11"/>
  <c r="AK72" i="11"/>
  <c r="AK70" i="11"/>
  <c r="AK68" i="11"/>
  <c r="AK66" i="11"/>
  <c r="R59" i="16"/>
  <c r="R59" i="17" s="1"/>
  <c r="M55" i="16"/>
  <c r="M55" i="11" s="1"/>
  <c r="M53" i="16"/>
  <c r="M53" i="11" s="1"/>
  <c r="M15" i="8"/>
  <c r="O57" i="16"/>
  <c r="O57" i="11" s="1"/>
  <c r="O51" i="16"/>
  <c r="O51" i="11" s="1"/>
  <c r="Q9" i="8"/>
  <c r="T8" i="8"/>
  <c r="L57" i="16"/>
  <c r="L57" i="11" s="1"/>
  <c r="L50" i="16"/>
  <c r="L50" i="11" s="1"/>
  <c r="L14" i="8"/>
  <c r="L8" i="8"/>
  <c r="M50" i="16"/>
  <c r="M50" i="11" s="1"/>
  <c r="N59" i="16"/>
  <c r="N59" i="11" s="1"/>
  <c r="N50" i="16"/>
  <c r="N50" i="11" s="1"/>
  <c r="N8" i="8"/>
  <c r="O53" i="16"/>
  <c r="O53" i="11" s="1"/>
  <c r="O17" i="8"/>
  <c r="O10" i="8"/>
  <c r="P53" i="16"/>
  <c r="P53" i="11" s="1"/>
  <c r="Q57" i="16"/>
  <c r="Q57" i="11" s="1"/>
  <c r="S57" i="16"/>
  <c r="W8" i="8"/>
  <c r="L59" i="16"/>
  <c r="L59" i="17" s="1"/>
  <c r="L60" i="10" s="1"/>
  <c r="Q16" i="8"/>
  <c r="Q10" i="8"/>
  <c r="J66" i="1" s="1"/>
  <c r="Q8" i="8"/>
  <c r="R15" i="8"/>
  <c r="S53" i="16"/>
  <c r="S53" i="11" s="1"/>
  <c r="U8" i="8"/>
  <c r="Y10" i="8"/>
  <c r="L58" i="16"/>
  <c r="L58" i="11" s="1"/>
  <c r="L53" i="16"/>
  <c r="L53" i="11" s="1"/>
  <c r="L16" i="8"/>
  <c r="M57" i="16"/>
  <c r="M57" i="11" s="1"/>
  <c r="M51" i="16"/>
  <c r="M51" i="11" s="1"/>
  <c r="P50" i="16"/>
  <c r="P50" i="11" s="1"/>
  <c r="Q51" i="16"/>
  <c r="Q51" i="11" s="1"/>
  <c r="U10" i="8"/>
  <c r="V55" i="16"/>
  <c r="V55" i="11" s="1"/>
  <c r="V53" i="16"/>
  <c r="V53" i="11" s="1"/>
  <c r="V17" i="8"/>
  <c r="AA14" i="8"/>
  <c r="AB9" i="8"/>
  <c r="L51" i="16"/>
  <c r="L51" i="11" s="1"/>
  <c r="L15" i="8"/>
  <c r="M59" i="16"/>
  <c r="M16" i="8"/>
  <c r="M10" i="8"/>
  <c r="M8" i="8"/>
  <c r="O14" i="8"/>
  <c r="P59" i="16"/>
  <c r="P59" i="17" s="1"/>
  <c r="P60" i="10" s="1"/>
  <c r="Q59" i="16"/>
  <c r="Q59" i="17" s="1"/>
  <c r="R51" i="16"/>
  <c r="R51" i="11" s="1"/>
  <c r="S9" i="8"/>
  <c r="T16" i="8"/>
  <c r="U16" i="8"/>
  <c r="W17" i="8"/>
  <c r="L55" i="16"/>
  <c r="L17" i="8"/>
  <c r="L9" i="8"/>
  <c r="M58" i="16"/>
  <c r="M58" i="11" s="1"/>
  <c r="M17" i="8"/>
  <c r="M14" i="8"/>
  <c r="N57" i="16"/>
  <c r="N57" i="11" s="1"/>
  <c r="N51" i="16"/>
  <c r="N51" i="11" s="1"/>
  <c r="N15" i="8"/>
  <c r="O55" i="16"/>
  <c r="O16" i="8"/>
  <c r="P58" i="16"/>
  <c r="P58" i="11" s="1"/>
  <c r="P15" i="8"/>
  <c r="P10" i="8"/>
  <c r="Q55" i="16"/>
  <c r="Q55" i="11" s="1"/>
  <c r="Q53" i="16"/>
  <c r="Q53" i="11" s="1"/>
  <c r="Q50" i="16"/>
  <c r="Q50" i="11" s="1"/>
  <c r="R57" i="16"/>
  <c r="R57" i="11" s="1"/>
  <c r="R16" i="8"/>
  <c r="R10" i="8"/>
  <c r="S55" i="16"/>
  <c r="S55" i="11" s="1"/>
  <c r="T14" i="8"/>
  <c r="U57" i="16"/>
  <c r="U15" i="8"/>
  <c r="W55" i="16"/>
  <c r="W51" i="16"/>
  <c r="W51" i="11" s="1"/>
  <c r="X15" i="8"/>
  <c r="X10" i="8"/>
  <c r="Y15" i="8"/>
  <c r="Z17" i="8"/>
  <c r="AC9" i="8"/>
  <c r="AC58" i="16"/>
  <c r="AC58" i="11" s="1"/>
  <c r="N9" i="8"/>
  <c r="O59" i="16"/>
  <c r="O9" i="8"/>
  <c r="P57" i="16"/>
  <c r="P16" i="8"/>
  <c r="P14" i="8"/>
  <c r="P8" i="8"/>
  <c r="R55" i="16"/>
  <c r="R55" i="11" s="1"/>
  <c r="R53" i="16"/>
  <c r="R50" i="16"/>
  <c r="U51" i="16"/>
  <c r="U51" i="11" s="1"/>
  <c r="W14" i="8"/>
  <c r="X55" i="16"/>
  <c r="X55" i="11" s="1"/>
  <c r="X50" i="16"/>
  <c r="X50" i="11" s="1"/>
  <c r="Y59" i="16"/>
  <c r="Y59" i="17" s="1"/>
  <c r="AA16" i="8"/>
  <c r="N58" i="16"/>
  <c r="N58" i="11" s="1"/>
  <c r="N17" i="8"/>
  <c r="N14" i="8"/>
  <c r="O58" i="16"/>
  <c r="O58" i="11" s="1"/>
  <c r="O50" i="16"/>
  <c r="O50" i="11" s="1"/>
  <c r="O15" i="8"/>
  <c r="O8" i="8"/>
  <c r="P55" i="16"/>
  <c r="P55" i="11" s="1"/>
  <c r="P17" i="8"/>
  <c r="P9" i="8"/>
  <c r="Q58" i="16"/>
  <c r="Q17" i="8"/>
  <c r="Q14" i="8"/>
  <c r="R58" i="16"/>
  <c r="R58" i="11" s="1"/>
  <c r="R17" i="8"/>
  <c r="R8" i="8"/>
  <c r="S17" i="8"/>
  <c r="S10" i="8"/>
  <c r="T58" i="16"/>
  <c r="T58" i="11" s="1"/>
  <c r="T51" i="16"/>
  <c r="T51" i="11" s="1"/>
  <c r="T15" i="8"/>
  <c r="U55" i="16"/>
  <c r="U55" i="11" s="1"/>
  <c r="U53" i="16"/>
  <c r="U53" i="11" s="1"/>
  <c r="U50" i="16"/>
  <c r="U50" i="11" s="1"/>
  <c r="V14" i="8"/>
  <c r="W58" i="16"/>
  <c r="W58" i="11" s="1"/>
  <c r="W16" i="8"/>
  <c r="Y8" i="8"/>
  <c r="AA55" i="16"/>
  <c r="AA55" i="11" s="1"/>
  <c r="AA51" i="16"/>
  <c r="AA51" i="11" s="1"/>
  <c r="AA8" i="8"/>
  <c r="AB50" i="16"/>
  <c r="AD59" i="16"/>
  <c r="AG59" i="16"/>
  <c r="AG59" i="11" s="1"/>
  <c r="Q39" i="16"/>
  <c r="Q39" i="11" s="1"/>
  <c r="Q22" i="8"/>
  <c r="R9" i="8"/>
  <c r="S59" i="16"/>
  <c r="S59" i="17" s="1"/>
  <c r="S60" i="10" s="1"/>
  <c r="S51" i="16"/>
  <c r="S51" i="11" s="1"/>
  <c r="S16" i="8"/>
  <c r="S14" i="8"/>
  <c r="T57" i="16"/>
  <c r="T57" i="11" s="1"/>
  <c r="T53" i="16"/>
  <c r="T10" i="8"/>
  <c r="U59" i="16"/>
  <c r="U59" i="11" s="1"/>
  <c r="U9" i="8"/>
  <c r="V59" i="16"/>
  <c r="V59" i="11" s="1"/>
  <c r="V15" i="8"/>
  <c r="V10" i="8"/>
  <c r="V8" i="8"/>
  <c r="W50" i="16"/>
  <c r="W50" i="11" s="1"/>
  <c r="W15" i="8"/>
  <c r="X58" i="16"/>
  <c r="X58" i="11" s="1"/>
  <c r="Y55" i="16"/>
  <c r="Y55" i="11" s="1"/>
  <c r="Y53" i="16"/>
  <c r="Y53" i="11" s="1"/>
  <c r="Y14" i="8"/>
  <c r="Z58" i="16"/>
  <c r="Z58" i="11" s="1"/>
  <c r="Z50" i="16"/>
  <c r="Z50" i="11" s="1"/>
  <c r="Z9" i="8"/>
  <c r="AA59" i="16"/>
  <c r="AA59" i="11" s="1"/>
  <c r="AA9" i="8"/>
  <c r="AB57" i="16"/>
  <c r="AB57" i="11" s="1"/>
  <c r="AB53" i="16"/>
  <c r="AB53" i="11" s="1"/>
  <c r="AB17" i="8"/>
  <c r="AB8" i="8"/>
  <c r="AC17" i="8"/>
  <c r="AD15" i="8"/>
  <c r="AD9" i="8"/>
  <c r="AE59" i="16"/>
  <c r="AE50" i="16"/>
  <c r="AE9" i="8"/>
  <c r="AF55" i="16"/>
  <c r="AF55" i="11" s="1"/>
  <c r="AF50" i="16"/>
  <c r="AF50" i="11" s="1"/>
  <c r="AG9" i="8"/>
  <c r="M39" i="16"/>
  <c r="M39" i="11" s="1"/>
  <c r="M24" i="8"/>
  <c r="R14" i="8"/>
  <c r="S58" i="16"/>
  <c r="S58" i="11" s="1"/>
  <c r="S50" i="16"/>
  <c r="S50" i="11" s="1"/>
  <c r="S15" i="8"/>
  <c r="S8" i="8"/>
  <c r="T55" i="16"/>
  <c r="T55" i="11" s="1"/>
  <c r="T17" i="8"/>
  <c r="T9" i="8"/>
  <c r="U58" i="16"/>
  <c r="U58" i="11" s="1"/>
  <c r="U17" i="8"/>
  <c r="U14" i="8"/>
  <c r="V58" i="16"/>
  <c r="V58" i="11" s="1"/>
  <c r="V50" i="16"/>
  <c r="V50" i="11" s="1"/>
  <c r="V9" i="8"/>
  <c r="W59" i="16"/>
  <c r="W59" i="17" s="1"/>
  <c r="W59" i="18" s="1"/>
  <c r="W9" i="8"/>
  <c r="X57" i="16"/>
  <c r="X57" i="11" s="1"/>
  <c r="X53" i="16"/>
  <c r="X53" i="11" s="1"/>
  <c r="X17" i="8"/>
  <c r="X8" i="8"/>
  <c r="Y17" i="8"/>
  <c r="Z55" i="16"/>
  <c r="Z55" i="11" s="1"/>
  <c r="Z53" i="16"/>
  <c r="Z53" i="11" s="1"/>
  <c r="Z14" i="8"/>
  <c r="AA58" i="16"/>
  <c r="AA58" i="11" s="1"/>
  <c r="AA17" i="8"/>
  <c r="AB55" i="16"/>
  <c r="AB15" i="8"/>
  <c r="AB10" i="8"/>
  <c r="AC59" i="16"/>
  <c r="AC59" i="11" s="1"/>
  <c r="AC15" i="8"/>
  <c r="AC10" i="8"/>
  <c r="AC8" i="8"/>
  <c r="AD51" i="16"/>
  <c r="AD51" i="11" s="1"/>
  <c r="AE55" i="16"/>
  <c r="AE55" i="11" s="1"/>
  <c r="AE53" i="16"/>
  <c r="AE53" i="11" s="1"/>
  <c r="W21" i="8"/>
  <c r="Y26" i="8"/>
  <c r="X9" i="8"/>
  <c r="Y58" i="16"/>
  <c r="Y58" i="11" s="1"/>
  <c r="Y50" i="16"/>
  <c r="Y50" i="11" s="1"/>
  <c r="Y9" i="8"/>
  <c r="Z59" i="16"/>
  <c r="Z59" i="17" s="1"/>
  <c r="Z15" i="8"/>
  <c r="Z10" i="8"/>
  <c r="Z8" i="8"/>
  <c r="AA50" i="16"/>
  <c r="AA50" i="11" s="1"/>
  <c r="AA15" i="8"/>
  <c r="AB58" i="16"/>
  <c r="AB58" i="11" s="1"/>
  <c r="AC55" i="16"/>
  <c r="AC55" i="11" s="1"/>
  <c r="AC53" i="16"/>
  <c r="AC53" i="11" s="1"/>
  <c r="AC14" i="8"/>
  <c r="AD57" i="16"/>
  <c r="AD57" i="11" s="1"/>
  <c r="AD16" i="8"/>
  <c r="AD10" i="8"/>
  <c r="AD8" i="8"/>
  <c r="AF58" i="16"/>
  <c r="AF58" i="11" s="1"/>
  <c r="AG55" i="16"/>
  <c r="AG55" i="11" s="1"/>
  <c r="AG51" i="16"/>
  <c r="AK15" i="8"/>
  <c r="U40" i="16"/>
  <c r="V40" i="16"/>
  <c r="V40" i="11" s="1"/>
  <c r="V23" i="8"/>
  <c r="V57" i="16"/>
  <c r="V51" i="16"/>
  <c r="V51" i="11" s="1"/>
  <c r="V16" i="8"/>
  <c r="W57" i="16"/>
  <c r="W57" i="11" s="1"/>
  <c r="W53" i="16"/>
  <c r="W53" i="11" s="1"/>
  <c r="W10" i="8"/>
  <c r="X59" i="16"/>
  <c r="X59" i="17" s="1"/>
  <c r="X59" i="18" s="1"/>
  <c r="X51" i="16"/>
  <c r="X51" i="11" s="1"/>
  <c r="X16" i="8"/>
  <c r="X14" i="8"/>
  <c r="Y57" i="16"/>
  <c r="Y57" i="11" s="1"/>
  <c r="Y51" i="16"/>
  <c r="Y51" i="11" s="1"/>
  <c r="Y16" i="8"/>
  <c r="Z57" i="16"/>
  <c r="Z57" i="11" s="1"/>
  <c r="Z51" i="16"/>
  <c r="Z51" i="11" s="1"/>
  <c r="Z16" i="8"/>
  <c r="AA57" i="16"/>
  <c r="AA53" i="16"/>
  <c r="AA53" i="11" s="1"/>
  <c r="AA10" i="8"/>
  <c r="AB59" i="16"/>
  <c r="AB59" i="17" s="1"/>
  <c r="AB60" i="10" s="1"/>
  <c r="AB51" i="16"/>
  <c r="AB51" i="11" s="1"/>
  <c r="AB16" i="8"/>
  <c r="AB14" i="8"/>
  <c r="AC57" i="16"/>
  <c r="AC57" i="11" s="1"/>
  <c r="AC51" i="16"/>
  <c r="AC51" i="11" s="1"/>
  <c r="AC16" i="8"/>
  <c r="AD55" i="16"/>
  <c r="AD55" i="11" s="1"/>
  <c r="AD53" i="16"/>
  <c r="AD53" i="11" s="1"/>
  <c r="AD50" i="16"/>
  <c r="AD50" i="11" s="1"/>
  <c r="AE57" i="16"/>
  <c r="AE57" i="11" s="1"/>
  <c r="AE51" i="16"/>
  <c r="AE51" i="11" s="1"/>
  <c r="AG17" i="8"/>
  <c r="AH57" i="16"/>
  <c r="AH57" i="11" s="1"/>
  <c r="AI59" i="16"/>
  <c r="AJ14" i="8"/>
  <c r="K41" i="16"/>
  <c r="K41" i="17" s="1"/>
  <c r="L42" i="16"/>
  <c r="M21" i="8"/>
  <c r="P26" i="8"/>
  <c r="P23" i="8"/>
  <c r="S40" i="16"/>
  <c r="S40" i="11" s="1"/>
  <c r="S22" i="8"/>
  <c r="W39" i="16"/>
  <c r="W24" i="8"/>
  <c r="AG10" i="8"/>
  <c r="AI57" i="16"/>
  <c r="AI57" i="11" s="1"/>
  <c r="AI17" i="8"/>
  <c r="AI9" i="8"/>
  <c r="AJ53" i="16"/>
  <c r="AJ53" i="11" s="1"/>
  <c r="AJ17" i="8"/>
  <c r="AK16" i="8"/>
  <c r="AK14" i="8"/>
  <c r="K26" i="8"/>
  <c r="K23" i="8"/>
  <c r="L41" i="16"/>
  <c r="L41" i="17" s="1"/>
  <c r="M40" i="16"/>
  <c r="M40" i="11" s="1"/>
  <c r="N42" i="16"/>
  <c r="N42" i="11" s="1"/>
  <c r="S21" i="8"/>
  <c r="Z39" i="16"/>
  <c r="Z39" i="11" s="1"/>
  <c r="Z22" i="8"/>
  <c r="AE15" i="8"/>
  <c r="AF9" i="8"/>
  <c r="AG14" i="8"/>
  <c r="AH16" i="8"/>
  <c r="AI51" i="16"/>
  <c r="AI51" i="11" s="1"/>
  <c r="AJ51" i="16"/>
  <c r="AJ51" i="11" s="1"/>
  <c r="AJ8" i="8"/>
  <c r="N39" i="16"/>
  <c r="N39" i="11" s="1"/>
  <c r="N24" i="8"/>
  <c r="Y21" i="8"/>
  <c r="AD58" i="16"/>
  <c r="AD58" i="11" s="1"/>
  <c r="AD17" i="8"/>
  <c r="AD14" i="8"/>
  <c r="AE58" i="16"/>
  <c r="AE58" i="11" s="1"/>
  <c r="AE16" i="8"/>
  <c r="AE10" i="8"/>
  <c r="AE8" i="8"/>
  <c r="AF15" i="8"/>
  <c r="AF10" i="8"/>
  <c r="M66" i="1" s="1"/>
  <c r="AG58" i="16"/>
  <c r="AG58" i="11" s="1"/>
  <c r="AG16" i="8"/>
  <c r="AH58" i="16"/>
  <c r="AH58" i="11" s="1"/>
  <c r="AH17" i="8"/>
  <c r="AH9" i="8"/>
  <c r="AI58" i="16"/>
  <c r="AI58" i="11" s="1"/>
  <c r="AI14" i="8"/>
  <c r="AJ58" i="16"/>
  <c r="AJ58" i="11" s="1"/>
  <c r="AJ9" i="8"/>
  <c r="AK17" i="8"/>
  <c r="AK8" i="8"/>
  <c r="M23" i="8"/>
  <c r="N41" i="16"/>
  <c r="N41" i="17" s="1"/>
  <c r="N41" i="18" s="1"/>
  <c r="N21" i="8"/>
  <c r="O21" i="8"/>
  <c r="R42" i="16"/>
  <c r="R42" i="17" s="1"/>
  <c r="R42" i="18" s="1"/>
  <c r="T22" i="8"/>
  <c r="U23" i="8"/>
  <c r="V39" i="16"/>
  <c r="V39" i="11" s="1"/>
  <c r="X39" i="16"/>
  <c r="X39" i="11" s="1"/>
  <c r="Y42" i="16"/>
  <c r="Y42" i="17" s="1"/>
  <c r="Y42" i="18" s="1"/>
  <c r="AC40" i="16"/>
  <c r="AC40" i="11" s="1"/>
  <c r="AD42" i="16"/>
  <c r="AD42" i="17" s="1"/>
  <c r="AD42" i="18" s="1"/>
  <c r="AH26" i="8"/>
  <c r="AB24" i="8"/>
  <c r="AC26" i="8"/>
  <c r="AD39" i="16"/>
  <c r="AD39" i="11" s="1"/>
  <c r="AD22" i="8"/>
  <c r="AF23" i="8"/>
  <c r="AG10" i="16"/>
  <c r="Z41" i="16"/>
  <c r="AB21" i="8"/>
  <c r="AC22" i="8"/>
  <c r="AH41" i="16"/>
  <c r="AH41" i="11" s="1"/>
  <c r="AE17" i="8"/>
  <c r="AE14" i="8"/>
  <c r="AF57" i="16"/>
  <c r="AF57" i="11" s="1"/>
  <c r="AF53" i="16"/>
  <c r="AF17" i="8"/>
  <c r="AF8" i="8"/>
  <c r="AG50" i="16"/>
  <c r="AG50" i="11" s="1"/>
  <c r="AG15" i="8"/>
  <c r="AH59" i="16"/>
  <c r="AH59" i="17" s="1"/>
  <c r="AH59" i="18" s="1"/>
  <c r="AH51" i="16"/>
  <c r="AH51" i="11" s="1"/>
  <c r="AI10" i="8"/>
  <c r="AJ57" i="16"/>
  <c r="AJ57" i="11" s="1"/>
  <c r="AJ16" i="8"/>
  <c r="L39" i="16"/>
  <c r="L39" i="11" s="1"/>
  <c r="L22" i="8"/>
  <c r="O40" i="16"/>
  <c r="O40" i="11" s="1"/>
  <c r="O22" i="8"/>
  <c r="P22" i="8"/>
  <c r="R21" i="8"/>
  <c r="S24" i="8"/>
  <c r="T26" i="8"/>
  <c r="T23" i="8"/>
  <c r="U39" i="16"/>
  <c r="U39" i="11" s="1"/>
  <c r="W26" i="8"/>
  <c r="X40" i="16"/>
  <c r="X40" i="11" s="1"/>
  <c r="X23" i="8"/>
  <c r="Y39" i="16"/>
  <c r="Y39" i="11" s="1"/>
  <c r="Y24" i="8"/>
  <c r="Z40" i="16"/>
  <c r="AB42" i="16"/>
  <c r="AB42" i="17" s="1"/>
  <c r="AB42" i="18" s="1"/>
  <c r="AE39" i="16"/>
  <c r="AE24" i="8"/>
  <c r="AF22" i="8"/>
  <c r="AJ31" i="16"/>
  <c r="AJ31" i="11" s="1"/>
  <c r="AF39" i="16"/>
  <c r="AF39" i="11" s="1"/>
  <c r="AI22" i="8"/>
  <c r="AH14" i="8"/>
  <c r="AI16" i="8"/>
  <c r="AJ59" i="16"/>
  <c r="AJ50" i="16"/>
  <c r="AJ50" i="11" s="1"/>
  <c r="AJ15" i="8"/>
  <c r="AK9" i="8"/>
  <c r="K40" i="16"/>
  <c r="K21" i="8"/>
  <c r="M42" i="16"/>
  <c r="M42" i="17" s="1"/>
  <c r="O41" i="16"/>
  <c r="O41" i="17" s="1"/>
  <c r="O41" i="18" s="1"/>
  <c r="O24" i="8"/>
  <c r="P41" i="16"/>
  <c r="P41" i="11" s="1"/>
  <c r="Q41" i="16"/>
  <c r="Q41" i="17" s="1"/>
  <c r="Q41" i="18" s="1"/>
  <c r="R39" i="16"/>
  <c r="R39" i="11" s="1"/>
  <c r="R24" i="8"/>
  <c r="S26" i="8"/>
  <c r="V42" i="16"/>
  <c r="V42" i="17" s="1"/>
  <c r="V42" i="18" s="1"/>
  <c r="W41" i="16"/>
  <c r="W41" i="17" s="1"/>
  <c r="W41" i="18" s="1"/>
  <c r="W22" i="8"/>
  <c r="X22" i="8"/>
  <c r="AB40" i="16"/>
  <c r="AB40" i="11" s="1"/>
  <c r="AE41" i="16"/>
  <c r="AE41" i="17" s="1"/>
  <c r="AE41" i="18" s="1"/>
  <c r="AF26" i="8"/>
  <c r="AF24" i="8"/>
  <c r="M68" i="1" s="1"/>
  <c r="AF21" i="8"/>
  <c r="AI26" i="8"/>
  <c r="AK42" i="16"/>
  <c r="AK42" i="11" s="1"/>
  <c r="AI9" i="16"/>
  <c r="AI9" i="11" s="1"/>
  <c r="AD21" i="16"/>
  <c r="AD21" i="11" s="1"/>
  <c r="AG42" i="16"/>
  <c r="AJ37" i="16"/>
  <c r="AG45" i="16"/>
  <c r="AG45" i="11" s="1"/>
  <c r="AA34" i="16"/>
  <c r="AA34" i="11" s="1"/>
  <c r="AI42" i="16"/>
  <c r="AI42" i="17" s="1"/>
  <c r="AI42" i="18" s="1"/>
  <c r="AI21" i="8"/>
  <c r="AJ8" i="16"/>
  <c r="AJ8" i="11" s="1"/>
  <c r="AE36" i="16"/>
  <c r="AF59" i="16"/>
  <c r="AF51" i="16"/>
  <c r="AF51" i="11" s="1"/>
  <c r="AF16" i="8"/>
  <c r="AF14" i="8"/>
  <c r="AG57" i="16"/>
  <c r="AG57" i="11" s="1"/>
  <c r="AG53" i="16"/>
  <c r="AG8" i="8"/>
  <c r="AH55" i="16"/>
  <c r="AH55" i="11" s="1"/>
  <c r="AH53" i="16"/>
  <c r="AH53" i="11" s="1"/>
  <c r="AH50" i="16"/>
  <c r="AH15" i="8"/>
  <c r="AH10" i="8"/>
  <c r="AH8" i="8"/>
  <c r="AI55" i="16"/>
  <c r="AI53" i="16"/>
  <c r="AI53" i="11" s="1"/>
  <c r="AI50" i="16"/>
  <c r="AI50" i="11" s="1"/>
  <c r="AI15" i="8"/>
  <c r="AI8" i="8"/>
  <c r="AJ55" i="16"/>
  <c r="AJ55" i="11" s="1"/>
  <c r="AJ10" i="8"/>
  <c r="AK10" i="8"/>
  <c r="K42" i="16"/>
  <c r="K42" i="17" s="1"/>
  <c r="K39" i="16"/>
  <c r="K39" i="11" s="1"/>
  <c r="K24" i="8"/>
  <c r="K22" i="8"/>
  <c r="L40" i="16"/>
  <c r="L40" i="11" s="1"/>
  <c r="L23" i="8"/>
  <c r="M41" i="16"/>
  <c r="M41" i="11" s="1"/>
  <c r="N26" i="8"/>
  <c r="N22" i="8"/>
  <c r="N24" i="38" s="1"/>
  <c r="O26" i="8"/>
  <c r="P40" i="16"/>
  <c r="P40" i="11" s="1"/>
  <c r="Q42" i="16"/>
  <c r="Q42" i="17" s="1"/>
  <c r="Q42" i="18" s="1"/>
  <c r="R40" i="16"/>
  <c r="R22" i="8"/>
  <c r="S39" i="16"/>
  <c r="S39" i="11" s="1"/>
  <c r="S23" i="8"/>
  <c r="T41" i="16"/>
  <c r="U41" i="16"/>
  <c r="U41" i="17" s="1"/>
  <c r="U41" i="18" s="1"/>
  <c r="V41" i="16"/>
  <c r="V21" i="8"/>
  <c r="X26" i="8"/>
  <c r="X24" i="8"/>
  <c r="X21" i="8"/>
  <c r="Z23" i="8"/>
  <c r="AA26" i="8"/>
  <c r="AA23" i="8"/>
  <c r="AB26" i="8"/>
  <c r="AD21" i="8"/>
  <c r="AE22" i="8"/>
  <c r="AG22" i="8"/>
  <c r="AK21" i="8"/>
  <c r="AJ23" i="16"/>
  <c r="AJ23" i="17" s="1"/>
  <c r="AJ23" i="18" s="1"/>
  <c r="AI32" i="16"/>
  <c r="AI32" i="11" s="1"/>
  <c r="AH30" i="16"/>
  <c r="AH30" i="11" s="1"/>
  <c r="AG23" i="16"/>
  <c r="AG23" i="17" s="1"/>
  <c r="AG23" i="18" s="1"/>
  <c r="AF24" i="16"/>
  <c r="AF24" i="17" s="1"/>
  <c r="AF24" i="18" s="1"/>
  <c r="AE18" i="16"/>
  <c r="AE18" i="17" s="1"/>
  <c r="AE18" i="18" s="1"/>
  <c r="AB37" i="16"/>
  <c r="W29" i="16"/>
  <c r="W29" i="11" s="1"/>
  <c r="AJ12" i="16"/>
  <c r="AI21" i="16"/>
  <c r="AI21" i="11" s="1"/>
  <c r="AH19" i="16"/>
  <c r="AH19" i="11" s="1"/>
  <c r="AG18" i="16"/>
  <c r="AG18" i="17" s="1"/>
  <c r="AG18" i="18" s="1"/>
  <c r="AF21" i="16"/>
  <c r="AF21" i="11" s="1"/>
  <c r="AD31" i="16"/>
  <c r="AA37" i="16"/>
  <c r="AA37" i="11" s="1"/>
  <c r="U31" i="16"/>
  <c r="U31" i="11" s="1"/>
  <c r="AJ24" i="16"/>
  <c r="AJ24" i="17" s="1"/>
  <c r="AJ24" i="18" s="1"/>
  <c r="AI37" i="16"/>
  <c r="AI37" i="11" s="1"/>
  <c r="AH44" i="16"/>
  <c r="AH44" i="17" s="1"/>
  <c r="AH44" i="18" s="1"/>
  <c r="AG44" i="16"/>
  <c r="AG44" i="17" s="1"/>
  <c r="AG44" i="18" s="1"/>
  <c r="AF36" i="16"/>
  <c r="AF36" i="11" s="1"/>
  <c r="AE33" i="16"/>
  <c r="AC43" i="16"/>
  <c r="Y24" i="16"/>
  <c r="Y24" i="17" s="1"/>
  <c r="Y24" i="18" s="1"/>
  <c r="Q40" i="16"/>
  <c r="Q23" i="8"/>
  <c r="J70" i="1" s="1"/>
  <c r="R41" i="16"/>
  <c r="R23" i="8"/>
  <c r="S42" i="16"/>
  <c r="S42" i="17" s="1"/>
  <c r="S42" i="18" s="1"/>
  <c r="T40" i="16"/>
  <c r="T40" i="11" s="1"/>
  <c r="U42" i="16"/>
  <c r="U42" i="17" s="1"/>
  <c r="U42" i="18" s="1"/>
  <c r="U22" i="8"/>
  <c r="V24" i="8"/>
  <c r="W42" i="16"/>
  <c r="W42" i="11" s="1"/>
  <c r="W23" i="8"/>
  <c r="X42" i="16"/>
  <c r="X42" i="11" s="1"/>
  <c r="Y40" i="16"/>
  <c r="Y40" i="11" s="1"/>
  <c r="Y22" i="8"/>
  <c r="Z26" i="8"/>
  <c r="AA42" i="16"/>
  <c r="AA42" i="11" s="1"/>
  <c r="AA22" i="8"/>
  <c r="AB22" i="8"/>
  <c r="AC23" i="8"/>
  <c r="AD41" i="16"/>
  <c r="AD41" i="17" s="1"/>
  <c r="AD41" i="18" s="1"/>
  <c r="AE26" i="8"/>
  <c r="AE21" i="8"/>
  <c r="AG26" i="8"/>
  <c r="AG24" i="8"/>
  <c r="AH40" i="16"/>
  <c r="AH40" i="11" s="1"/>
  <c r="AH24" i="8"/>
  <c r="AK40" i="16"/>
  <c r="AK40" i="11" s="1"/>
  <c r="AK23" i="8"/>
  <c r="M70" i="1" s="1"/>
  <c r="AJ36" i="16"/>
  <c r="AJ36" i="11" s="1"/>
  <c r="AJ17" i="16"/>
  <c r="AJ17" i="11" s="1"/>
  <c r="AI34" i="16"/>
  <c r="AI34" i="11" s="1"/>
  <c r="AI20" i="16"/>
  <c r="AH21" i="16"/>
  <c r="AH21" i="11" s="1"/>
  <c r="AG24" i="16"/>
  <c r="AG24" i="17" s="1"/>
  <c r="AG24" i="18" s="1"/>
  <c r="AF37" i="16"/>
  <c r="AF37" i="11" s="1"/>
  <c r="AF19" i="16"/>
  <c r="AD44" i="16"/>
  <c r="AB32" i="16"/>
  <c r="AB32" i="11" s="1"/>
  <c r="AA8" i="16"/>
  <c r="AA8" i="11" s="1"/>
  <c r="X24" i="16"/>
  <c r="X24" i="17" s="1"/>
  <c r="X24" i="18" s="1"/>
  <c r="V21" i="16"/>
  <c r="V21" i="11" s="1"/>
  <c r="T23" i="16"/>
  <c r="T23" i="11" s="1"/>
  <c r="AC30" i="16"/>
  <c r="AC30" i="17" s="1"/>
  <c r="AC30" i="18" s="1"/>
  <c r="AB19" i="16"/>
  <c r="AB19" i="11" s="1"/>
  <c r="Z44" i="16"/>
  <c r="X12" i="16"/>
  <c r="X12" i="11" s="1"/>
  <c r="U43" i="16"/>
  <c r="C22" i="16"/>
  <c r="C24" i="11" s="1"/>
  <c r="W22" i="16"/>
  <c r="W24" i="11" s="1"/>
  <c r="G11" i="16"/>
  <c r="G11" i="11" s="1"/>
  <c r="W11" i="16"/>
  <c r="W11" i="11" s="1"/>
  <c r="P11" i="16"/>
  <c r="P11" i="11" s="1"/>
  <c r="AF11" i="16"/>
  <c r="AF11" i="11" s="1"/>
  <c r="D22" i="16"/>
  <c r="D22" i="11" s="1"/>
  <c r="H22" i="16"/>
  <c r="L22" i="16"/>
  <c r="L24" i="11" s="1"/>
  <c r="P22" i="16"/>
  <c r="P22" i="11" s="1"/>
  <c r="T22" i="16"/>
  <c r="T24" i="11" s="1"/>
  <c r="X22" i="16"/>
  <c r="AB22" i="16"/>
  <c r="AB22" i="11" s="1"/>
  <c r="AF22" i="16"/>
  <c r="AF24" i="11" s="1"/>
  <c r="AJ22" i="16"/>
  <c r="AJ22" i="11" s="1"/>
  <c r="D11" i="16"/>
  <c r="D11" i="11" s="1"/>
  <c r="T11" i="16"/>
  <c r="T11" i="11" s="1"/>
  <c r="AJ11" i="16"/>
  <c r="AJ11" i="11" s="1"/>
  <c r="E22" i="16"/>
  <c r="E22" i="11" s="1"/>
  <c r="I22" i="16"/>
  <c r="M22" i="16"/>
  <c r="M24" i="11" s="1"/>
  <c r="Q22" i="16"/>
  <c r="Q22" i="11" s="1"/>
  <c r="U22" i="16"/>
  <c r="Y22" i="16"/>
  <c r="Y24" i="11" s="1"/>
  <c r="AC22" i="16"/>
  <c r="AC24" i="11" s="1"/>
  <c r="AG22" i="16"/>
  <c r="AG24" i="11" s="1"/>
  <c r="AK22" i="16"/>
  <c r="AK24" i="11" s="1"/>
  <c r="E11" i="16"/>
  <c r="E11" i="11" s="1"/>
  <c r="I11" i="16"/>
  <c r="I11" i="11" s="1"/>
  <c r="M11" i="16"/>
  <c r="M11" i="11" s="1"/>
  <c r="Q11" i="16"/>
  <c r="Q11" i="11" s="1"/>
  <c r="U11" i="16"/>
  <c r="Y11" i="16"/>
  <c r="AC11" i="16"/>
  <c r="AC11" i="11" s="1"/>
  <c r="AG11" i="16"/>
  <c r="AK11" i="16"/>
  <c r="G22" i="16"/>
  <c r="G22" i="11" s="1"/>
  <c r="O22" i="16"/>
  <c r="O22" i="11" s="1"/>
  <c r="AA22" i="16"/>
  <c r="AA24" i="11" s="1"/>
  <c r="C11" i="16"/>
  <c r="C11" i="11" s="1"/>
  <c r="O11" i="16"/>
  <c r="O11" i="11" s="1"/>
  <c r="AA11" i="16"/>
  <c r="AA11" i="11" s="1"/>
  <c r="AI11" i="16"/>
  <c r="AI11" i="11" s="1"/>
  <c r="L11" i="16"/>
  <c r="AB11" i="16"/>
  <c r="AB11" i="11" s="1"/>
  <c r="F22" i="16"/>
  <c r="F22" i="11" s="1"/>
  <c r="J22" i="16"/>
  <c r="J24" i="11" s="1"/>
  <c r="N22" i="16"/>
  <c r="R22" i="16"/>
  <c r="R24" i="11" s="1"/>
  <c r="V22" i="16"/>
  <c r="V24" i="11" s="1"/>
  <c r="Z22" i="16"/>
  <c r="AD22" i="16"/>
  <c r="AH22" i="16"/>
  <c r="AH22" i="11" s="1"/>
  <c r="B22" i="16"/>
  <c r="B22" i="11" s="1"/>
  <c r="F11" i="16"/>
  <c r="F11" i="11" s="1"/>
  <c r="J11" i="16"/>
  <c r="J11" i="11" s="1"/>
  <c r="N11" i="16"/>
  <c r="N11" i="11" s="1"/>
  <c r="R11" i="16"/>
  <c r="R11" i="11" s="1"/>
  <c r="V11" i="16"/>
  <c r="V11" i="11" s="1"/>
  <c r="Z11" i="16"/>
  <c r="AD11" i="16"/>
  <c r="AD11" i="11" s="1"/>
  <c r="AH11" i="16"/>
  <c r="B11" i="16"/>
  <c r="B11" i="11" s="1"/>
  <c r="K22" i="16"/>
  <c r="S22" i="16"/>
  <c r="S24" i="11" s="1"/>
  <c r="AE22" i="16"/>
  <c r="AE24" i="11" s="1"/>
  <c r="AI22" i="16"/>
  <c r="AI24" i="11" s="1"/>
  <c r="K11" i="16"/>
  <c r="S11" i="16"/>
  <c r="S11" i="11" s="1"/>
  <c r="AE11" i="16"/>
  <c r="AE11" i="11" s="1"/>
  <c r="H11" i="16"/>
  <c r="H11" i="11" s="1"/>
  <c r="X11" i="16"/>
  <c r="X11" i="11" s="1"/>
  <c r="D35" i="16"/>
  <c r="D35" i="11" s="1"/>
  <c r="H35" i="16"/>
  <c r="H35" i="11" s="1"/>
  <c r="L35" i="16"/>
  <c r="L35" i="11" s="1"/>
  <c r="P35" i="16"/>
  <c r="P35" i="11" s="1"/>
  <c r="T35" i="16"/>
  <c r="T35" i="11" s="1"/>
  <c r="X35" i="16"/>
  <c r="X35" i="11" s="1"/>
  <c r="AB35" i="16"/>
  <c r="AB35" i="11" s="1"/>
  <c r="AF35" i="16"/>
  <c r="AJ35" i="16"/>
  <c r="AJ35" i="11" s="1"/>
  <c r="E35" i="16"/>
  <c r="E35" i="11" s="1"/>
  <c r="I35" i="16"/>
  <c r="I35" i="11" s="1"/>
  <c r="M35" i="16"/>
  <c r="M35" i="11" s="1"/>
  <c r="Q35" i="16"/>
  <c r="Q35" i="11" s="1"/>
  <c r="U35" i="16"/>
  <c r="Y35" i="16"/>
  <c r="AC35" i="16"/>
  <c r="AC35" i="11" s="1"/>
  <c r="AG35" i="16"/>
  <c r="AG35" i="11" s="1"/>
  <c r="AK35" i="16"/>
  <c r="AK35" i="11" s="1"/>
  <c r="F35" i="16"/>
  <c r="F35" i="11" s="1"/>
  <c r="J35" i="16"/>
  <c r="N35" i="16"/>
  <c r="R35" i="16"/>
  <c r="V35" i="16"/>
  <c r="V35" i="11" s="1"/>
  <c r="Z35" i="16"/>
  <c r="Z35" i="11" s="1"/>
  <c r="AD35" i="16"/>
  <c r="AD35" i="11" s="1"/>
  <c r="AH35" i="16"/>
  <c r="B35" i="16"/>
  <c r="B35" i="11" s="1"/>
  <c r="C35" i="16"/>
  <c r="G35" i="16"/>
  <c r="G35" i="11" s="1"/>
  <c r="K35" i="16"/>
  <c r="O35" i="16"/>
  <c r="O35" i="11" s="1"/>
  <c r="S35" i="16"/>
  <c r="S35" i="11" s="1"/>
  <c r="W35" i="16"/>
  <c r="AA35" i="16"/>
  <c r="AE35" i="16"/>
  <c r="AE35" i="11" s="1"/>
  <c r="AI35" i="16"/>
  <c r="AI35" i="11" s="1"/>
  <c r="Y10" i="16"/>
  <c r="Y10" i="11" s="1"/>
  <c r="W10" i="16"/>
  <c r="W10" i="11" s="1"/>
  <c r="T36" i="16"/>
  <c r="T36" i="11" s="1"/>
  <c r="AF34" i="8"/>
  <c r="M73" i="1" s="1"/>
  <c r="P35" i="8"/>
  <c r="Q37" i="8"/>
  <c r="U75" i="16"/>
  <c r="U117" i="16" s="1"/>
  <c r="Q94" i="11"/>
  <c r="V94" i="11" s="1"/>
  <c r="L26" i="8"/>
  <c r="L24" i="8"/>
  <c r="L21" i="8"/>
  <c r="M26" i="8"/>
  <c r="M22" i="8"/>
  <c r="N40" i="16"/>
  <c r="N28" i="38" s="1"/>
  <c r="N23" i="8"/>
  <c r="O42" i="16"/>
  <c r="O42" i="17" s="1"/>
  <c r="O42" i="18" s="1"/>
  <c r="O39" i="16"/>
  <c r="O23" i="8"/>
  <c r="P42" i="16"/>
  <c r="P42" i="17" s="1"/>
  <c r="P42" i="18" s="1"/>
  <c r="P39" i="16"/>
  <c r="P24" i="8"/>
  <c r="P21" i="8"/>
  <c r="Q26" i="8"/>
  <c r="Q24" i="8"/>
  <c r="J68" i="1" s="1"/>
  <c r="Q21" i="8"/>
  <c r="R26" i="8"/>
  <c r="S41" i="16"/>
  <c r="T42" i="16"/>
  <c r="T42" i="17" s="1"/>
  <c r="T42" i="18" s="1"/>
  <c r="T39" i="16"/>
  <c r="T39" i="11" s="1"/>
  <c r="T24" i="8"/>
  <c r="T21" i="8"/>
  <c r="U26" i="8"/>
  <c r="U24" i="8"/>
  <c r="U21" i="8"/>
  <c r="V26" i="8"/>
  <c r="V22" i="8"/>
  <c r="W40" i="16"/>
  <c r="X41" i="16"/>
  <c r="X41" i="11" s="1"/>
  <c r="Y41" i="16"/>
  <c r="Y41" i="17" s="1"/>
  <c r="Y41" i="18" s="1"/>
  <c r="Y23" i="8"/>
  <c r="Z42" i="16"/>
  <c r="Z42" i="17" s="1"/>
  <c r="Z42" i="18" s="1"/>
  <c r="Z24" i="8"/>
  <c r="Z21" i="8"/>
  <c r="AA39" i="16"/>
  <c r="AA39" i="11" s="1"/>
  <c r="AA24" i="8"/>
  <c r="AA21" i="8"/>
  <c r="AB39" i="16"/>
  <c r="AB23" i="8"/>
  <c r="AC42" i="16"/>
  <c r="AC42" i="11" s="1"/>
  <c r="AD40" i="16"/>
  <c r="AD40" i="11" s="1"/>
  <c r="AD23" i="8"/>
  <c r="AE42" i="16"/>
  <c r="AE42" i="11" s="1"/>
  <c r="AE23" i="8"/>
  <c r="AF42" i="16"/>
  <c r="AF42" i="11" s="1"/>
  <c r="AG40" i="16"/>
  <c r="AG40" i="11" s="1"/>
  <c r="AG21" i="8"/>
  <c r="AH21" i="8"/>
  <c r="AI39" i="16"/>
  <c r="AI24" i="8"/>
  <c r="AJ41" i="16"/>
  <c r="AJ41" i="17" s="1"/>
  <c r="AJ41" i="18" s="1"/>
  <c r="AJ21" i="8"/>
  <c r="AJ33" i="16"/>
  <c r="AJ33" i="11" s="1"/>
  <c r="AJ19" i="16"/>
  <c r="AJ19" i="11" s="1"/>
  <c r="AI45" i="16"/>
  <c r="AI45" i="11" s="1"/>
  <c r="AI30" i="16"/>
  <c r="AI30" i="11" s="1"/>
  <c r="AI12" i="16"/>
  <c r="AI12" i="17" s="1"/>
  <c r="AI12" i="18" s="1"/>
  <c r="AH31" i="16"/>
  <c r="AH17" i="16"/>
  <c r="AH17" i="11" s="1"/>
  <c r="AG32" i="16"/>
  <c r="AG32" i="11" s="1"/>
  <c r="AF32" i="16"/>
  <c r="AE37" i="16"/>
  <c r="AE37" i="11" s="1"/>
  <c r="AE12" i="16"/>
  <c r="AD19" i="16"/>
  <c r="AD19" i="11" s="1"/>
  <c r="AC18" i="16"/>
  <c r="AB21" i="16"/>
  <c r="AB21" i="11" s="1"/>
  <c r="AA30" i="16"/>
  <c r="AA30" i="11" s="1"/>
  <c r="Y43" i="16"/>
  <c r="X21" i="16"/>
  <c r="T45" i="16"/>
  <c r="T45" i="17" s="1"/>
  <c r="T45" i="18" s="1"/>
  <c r="R18" i="16"/>
  <c r="Q8" i="16"/>
  <c r="Q8" i="11" s="1"/>
  <c r="S30" i="16"/>
  <c r="S30" i="11" s="1"/>
  <c r="AJ26" i="8"/>
  <c r="AJ22" i="8"/>
  <c r="AK41" i="16"/>
  <c r="AJ44" i="16"/>
  <c r="AJ44" i="17" s="1"/>
  <c r="AJ44" i="18" s="1"/>
  <c r="AJ32" i="16"/>
  <c r="AJ32" i="11" s="1"/>
  <c r="AJ21" i="16"/>
  <c r="AJ21" i="11" s="1"/>
  <c r="AJ9" i="16"/>
  <c r="AJ9" i="17" s="1"/>
  <c r="AJ9" i="18" s="1"/>
  <c r="AI36" i="16"/>
  <c r="AI36" i="11" s="1"/>
  <c r="AI29" i="16"/>
  <c r="AI22" i="38" s="1"/>
  <c r="AI17" i="16"/>
  <c r="AH37" i="16"/>
  <c r="AH37" i="11" s="1"/>
  <c r="AH29" i="16"/>
  <c r="AH29" i="11" s="1"/>
  <c r="AH10" i="16"/>
  <c r="AH8" i="38" s="1"/>
  <c r="AG34" i="16"/>
  <c r="AG34" i="11" s="1"/>
  <c r="AG20" i="16"/>
  <c r="AG20" i="11" s="1"/>
  <c r="AF44" i="16"/>
  <c r="AF44" i="17" s="1"/>
  <c r="AF44" i="18" s="1"/>
  <c r="AF31" i="16"/>
  <c r="AF31" i="11" s="1"/>
  <c r="AD34" i="16"/>
  <c r="AD34" i="11" s="1"/>
  <c r="AC23" i="16"/>
  <c r="AB33" i="16"/>
  <c r="AB9" i="16"/>
  <c r="AB9" i="17" s="1"/>
  <c r="AB9" i="18" s="1"/>
  <c r="AA17" i="16"/>
  <c r="AA17" i="11" s="1"/>
  <c r="Y8" i="16"/>
  <c r="W30" i="16"/>
  <c r="V23" i="16"/>
  <c r="V23" i="11" s="1"/>
  <c r="U24" i="16"/>
  <c r="U24" i="17" s="1"/>
  <c r="U24" i="18" s="1"/>
  <c r="R44" i="16"/>
  <c r="Q36" i="16"/>
  <c r="Q36" i="11" s="1"/>
  <c r="P12" i="16"/>
  <c r="P12" i="17" s="1"/>
  <c r="P12" i="18" s="1"/>
  <c r="S36" i="16"/>
  <c r="S36" i="11" s="1"/>
  <c r="R37" i="16"/>
  <c r="R37" i="11" s="1"/>
  <c r="N21" i="16"/>
  <c r="N21" i="11" s="1"/>
  <c r="S9" i="16"/>
  <c r="S9" i="11" s="1"/>
  <c r="R10" i="16"/>
  <c r="P45" i="16"/>
  <c r="P45" i="17" s="1"/>
  <c r="P45" i="18" s="1"/>
  <c r="AA40" i="16"/>
  <c r="AB41" i="16"/>
  <c r="AB41" i="11" s="1"/>
  <c r="AC41" i="16"/>
  <c r="AC41" i="11" s="1"/>
  <c r="AC39" i="16"/>
  <c r="AC24" i="8"/>
  <c r="AC21" i="8"/>
  <c r="AD26" i="8"/>
  <c r="AD24" i="8"/>
  <c r="AE40" i="16"/>
  <c r="AE40" i="11" s="1"/>
  <c r="AF41" i="16"/>
  <c r="AF41" i="17" s="1"/>
  <c r="AF41" i="18" s="1"/>
  <c r="AG41" i="16"/>
  <c r="AG41" i="17" s="1"/>
  <c r="AG41" i="18" s="1"/>
  <c r="AG39" i="16"/>
  <c r="AG23" i="8"/>
  <c r="AH42" i="16"/>
  <c r="AH42" i="17" s="1"/>
  <c r="AH42" i="18" s="1"/>
  <c r="AH39" i="16"/>
  <c r="AH23" i="8"/>
  <c r="AI41" i="16"/>
  <c r="AI41" i="11" s="1"/>
  <c r="AJ40" i="16"/>
  <c r="AJ40" i="11" s="1"/>
  <c r="AJ24" i="8"/>
  <c r="AK39" i="16"/>
  <c r="AK24" i="8"/>
  <c r="AJ45" i="16"/>
  <c r="AJ45" i="17" s="1"/>
  <c r="AJ45" i="18" s="1"/>
  <c r="AJ29" i="16"/>
  <c r="AJ29" i="11" s="1"/>
  <c r="AJ20" i="16"/>
  <c r="AI43" i="16"/>
  <c r="AI33" i="16"/>
  <c r="AI33" i="11" s="1"/>
  <c r="AI24" i="16"/>
  <c r="AI24" i="17" s="1"/>
  <c r="AI24" i="18" s="1"/>
  <c r="AI18" i="16"/>
  <c r="AI18" i="17" s="1"/>
  <c r="AI18" i="18" s="1"/>
  <c r="AI8" i="16"/>
  <c r="AI8" i="11" s="1"/>
  <c r="AH34" i="16"/>
  <c r="AH34" i="11" s="1"/>
  <c r="AG43" i="16"/>
  <c r="AG30" i="16"/>
  <c r="AG19" i="16"/>
  <c r="AG8" i="16"/>
  <c r="AG8" i="11" s="1"/>
  <c r="AF33" i="16"/>
  <c r="AF33" i="11" s="1"/>
  <c r="AF23" i="16"/>
  <c r="AF23" i="11" s="1"/>
  <c r="AF9" i="16"/>
  <c r="AF9" i="17" s="1"/>
  <c r="AF9" i="18" s="1"/>
  <c r="AE24" i="16"/>
  <c r="AE24" i="17" s="1"/>
  <c r="AE24" i="18" s="1"/>
  <c r="AE8" i="16"/>
  <c r="AE8" i="11" s="1"/>
  <c r="AD30" i="16"/>
  <c r="AD30" i="17" s="1"/>
  <c r="AD30" i="18" s="1"/>
  <c r="AC45" i="16"/>
  <c r="AC24" i="16"/>
  <c r="AC24" i="17" s="1"/>
  <c r="AC24" i="18" s="1"/>
  <c r="AC8" i="16"/>
  <c r="AB23" i="16"/>
  <c r="AB23" i="17" s="1"/>
  <c r="AB23" i="18" s="1"/>
  <c r="AB8" i="16"/>
  <c r="AB8" i="11" s="1"/>
  <c r="AA24" i="16"/>
  <c r="AA24" i="17" s="1"/>
  <c r="AA24" i="18" s="1"/>
  <c r="Z29" i="16"/>
  <c r="Y32" i="16"/>
  <c r="Y32" i="11" s="1"/>
  <c r="X44" i="16"/>
  <c r="X44" i="11" s="1"/>
  <c r="W37" i="16"/>
  <c r="W37" i="11" s="1"/>
  <c r="W8" i="16"/>
  <c r="W8" i="11" s="1"/>
  <c r="V10" i="16"/>
  <c r="V10" i="11" s="1"/>
  <c r="U10" i="16"/>
  <c r="U10" i="11" s="1"/>
  <c r="T21" i="16"/>
  <c r="T21" i="11" s="1"/>
  <c r="S21" i="16"/>
  <c r="S21" i="11" s="1"/>
  <c r="R23" i="16"/>
  <c r="R23" i="11" s="1"/>
  <c r="Q30" i="16"/>
  <c r="Q30" i="11" s="1"/>
  <c r="O32" i="16"/>
  <c r="O32" i="11" s="1"/>
  <c r="L18" i="16"/>
  <c r="P21" i="16"/>
  <c r="O18" i="16"/>
  <c r="O18" i="17" s="1"/>
  <c r="O18" i="18" s="1"/>
  <c r="H13" i="16"/>
  <c r="O37" i="16"/>
  <c r="M30" i="16"/>
  <c r="M30" i="11" s="1"/>
  <c r="AI10" i="16"/>
  <c r="AI10" i="11" s="1"/>
  <c r="AH43" i="16"/>
  <c r="AH33" i="16"/>
  <c r="AH33" i="11" s="1"/>
  <c r="AH23" i="16"/>
  <c r="AH23" i="17" s="1"/>
  <c r="AH23" i="18" s="1"/>
  <c r="AH18" i="16"/>
  <c r="AH9" i="16"/>
  <c r="AG36" i="16"/>
  <c r="AG36" i="11" s="1"/>
  <c r="AG31" i="16"/>
  <c r="AG31" i="11" s="1"/>
  <c r="AG12" i="16"/>
  <c r="AG12" i="11" s="1"/>
  <c r="AF45" i="16"/>
  <c r="AF29" i="16"/>
  <c r="AF20" i="16"/>
  <c r="AF20" i="11" s="1"/>
  <c r="AF8" i="16"/>
  <c r="AF8" i="11" s="1"/>
  <c r="AE30" i="16"/>
  <c r="AE17" i="16"/>
  <c r="AE17" i="11" s="1"/>
  <c r="AD37" i="16"/>
  <c r="AD37" i="11" s="1"/>
  <c r="AD10" i="16"/>
  <c r="AD10" i="11" s="1"/>
  <c r="AC34" i="16"/>
  <c r="AC34" i="11" s="1"/>
  <c r="AC19" i="16"/>
  <c r="AC19" i="11" s="1"/>
  <c r="AB44" i="16"/>
  <c r="AB44" i="17" s="1"/>
  <c r="AB44" i="18" s="1"/>
  <c r="AB31" i="16"/>
  <c r="AB31" i="11" s="1"/>
  <c r="AB12" i="16"/>
  <c r="AB12" i="11" s="1"/>
  <c r="AA36" i="16"/>
  <c r="AA36" i="11" s="1"/>
  <c r="AA21" i="16"/>
  <c r="AA21" i="11" s="1"/>
  <c r="Z31" i="16"/>
  <c r="Z10" i="16"/>
  <c r="Z10" i="11" s="1"/>
  <c r="Y20" i="16"/>
  <c r="X32" i="16"/>
  <c r="X32" i="11" s="1"/>
  <c r="W45" i="16"/>
  <c r="W45" i="17" s="1"/>
  <c r="W45" i="18" s="1"/>
  <c r="W21" i="16"/>
  <c r="W21" i="11" s="1"/>
  <c r="V33" i="16"/>
  <c r="U44" i="16"/>
  <c r="U44" i="17" s="1"/>
  <c r="U44" i="18" s="1"/>
  <c r="U19" i="16"/>
  <c r="U19" i="17" s="1"/>
  <c r="U19" i="18" s="1"/>
  <c r="T29" i="16"/>
  <c r="T29" i="11" s="1"/>
  <c r="S45" i="16"/>
  <c r="S45" i="11" s="1"/>
  <c r="S20" i="16"/>
  <c r="S20" i="11" s="1"/>
  <c r="R29" i="16"/>
  <c r="R29" i="11" s="1"/>
  <c r="Q43" i="16"/>
  <c r="Q20" i="16"/>
  <c r="P29" i="16"/>
  <c r="P29" i="11" s="1"/>
  <c r="O34" i="16"/>
  <c r="O34" i="11" s="1"/>
  <c r="N43" i="16"/>
  <c r="M36" i="16"/>
  <c r="M36" i="11" s="1"/>
  <c r="M10" i="16"/>
  <c r="M10" i="11" s="1"/>
  <c r="J29" i="16"/>
  <c r="F10" i="16"/>
  <c r="F10" i="11" s="1"/>
  <c r="N31" i="16"/>
  <c r="N31" i="11" s="1"/>
  <c r="L23" i="16"/>
  <c r="L23" i="11" s="1"/>
  <c r="E20" i="16"/>
  <c r="E20" i="11" s="1"/>
  <c r="O9" i="16"/>
  <c r="O9" i="17" s="1"/>
  <c r="O9" i="18" s="1"/>
  <c r="N17" i="16"/>
  <c r="N17" i="11" s="1"/>
  <c r="M12" i="16"/>
  <c r="M12" i="17" s="1"/>
  <c r="J46" i="16"/>
  <c r="G36" i="16"/>
  <c r="AH22" i="8"/>
  <c r="AI40" i="16"/>
  <c r="AI40" i="11" s="1"/>
  <c r="AI23" i="8"/>
  <c r="AJ42" i="16"/>
  <c r="AJ39" i="16"/>
  <c r="AJ23" i="8"/>
  <c r="AK26" i="8"/>
  <c r="AK22" i="8"/>
  <c r="AJ43" i="16"/>
  <c r="AJ34" i="16"/>
  <c r="AJ34" i="11" s="1"/>
  <c r="AJ30" i="16"/>
  <c r="AJ30" i="11" s="1"/>
  <c r="AJ18" i="16"/>
  <c r="AJ10" i="16"/>
  <c r="AJ10" i="11" s="1"/>
  <c r="AI44" i="16"/>
  <c r="AI44" i="17" s="1"/>
  <c r="AI44" i="18" s="1"/>
  <c r="AI31" i="16"/>
  <c r="AI31" i="11" s="1"/>
  <c r="AI23" i="16"/>
  <c r="AI23" i="11" s="1"/>
  <c r="AI19" i="16"/>
  <c r="AH45" i="16"/>
  <c r="AH45" i="11" s="1"/>
  <c r="AH36" i="16"/>
  <c r="AH36" i="11" s="1"/>
  <c r="AH32" i="16"/>
  <c r="AH32" i="11" s="1"/>
  <c r="AH24" i="16"/>
  <c r="AH24" i="17" s="1"/>
  <c r="AH24" i="18" s="1"/>
  <c r="AH20" i="16"/>
  <c r="AH20" i="11" s="1"/>
  <c r="AH12" i="16"/>
  <c r="AH12" i="17" s="1"/>
  <c r="AH12" i="18" s="1"/>
  <c r="AH8" i="16"/>
  <c r="AH8" i="11" s="1"/>
  <c r="AG37" i="16"/>
  <c r="AG37" i="11" s="1"/>
  <c r="AG33" i="16"/>
  <c r="AG33" i="11" s="1"/>
  <c r="AG29" i="16"/>
  <c r="AG29" i="11" s="1"/>
  <c r="AG21" i="16"/>
  <c r="AG21" i="11" s="1"/>
  <c r="AG17" i="16"/>
  <c r="AG17" i="11" s="1"/>
  <c r="AG9" i="16"/>
  <c r="AG9" i="17" s="1"/>
  <c r="AG9" i="18" s="1"/>
  <c r="AF43" i="16"/>
  <c r="AF34" i="16"/>
  <c r="AF34" i="11" s="1"/>
  <c r="AF30" i="16"/>
  <c r="AF30" i="11" s="1"/>
  <c r="AF17" i="16"/>
  <c r="AE43" i="16"/>
  <c r="AE32" i="16"/>
  <c r="AE32" i="11" s="1"/>
  <c r="AE21" i="16"/>
  <c r="AE9" i="16"/>
  <c r="AE9" i="11" s="1"/>
  <c r="AD29" i="16"/>
  <c r="AD22" i="38" s="1"/>
  <c r="AD17" i="16"/>
  <c r="AD17" i="11" s="1"/>
  <c r="AC44" i="16"/>
  <c r="AC44" i="11" s="1"/>
  <c r="AC32" i="16"/>
  <c r="AC32" i="11" s="1"/>
  <c r="AC20" i="16"/>
  <c r="AC20" i="11" s="1"/>
  <c r="AC10" i="16"/>
  <c r="AC10" i="11" s="1"/>
  <c r="AB36" i="16"/>
  <c r="AB36" i="11" s="1"/>
  <c r="AB24" i="16"/>
  <c r="AB24" i="17" s="1"/>
  <c r="AB24" i="18" s="1"/>
  <c r="AB17" i="16"/>
  <c r="AB17" i="11" s="1"/>
  <c r="AA45" i="16"/>
  <c r="AA45" i="17" s="1"/>
  <c r="AA45" i="18" s="1"/>
  <c r="AA32" i="16"/>
  <c r="AA25" i="38" s="1"/>
  <c r="AA18" i="16"/>
  <c r="AA18" i="17" s="1"/>
  <c r="AA18" i="18" s="1"/>
  <c r="Z17" i="16"/>
  <c r="Y19" i="16"/>
  <c r="X33" i="16"/>
  <c r="X33" i="11" s="1"/>
  <c r="X17" i="16"/>
  <c r="X17" i="11" s="1"/>
  <c r="W36" i="16"/>
  <c r="W36" i="11" s="1"/>
  <c r="W17" i="16"/>
  <c r="W17" i="11" s="1"/>
  <c r="V34" i="16"/>
  <c r="V34" i="11" s="1"/>
  <c r="V18" i="16"/>
  <c r="V18" i="17" s="1"/>
  <c r="V18" i="18" s="1"/>
  <c r="U32" i="16"/>
  <c r="U32" i="11" s="1"/>
  <c r="U18" i="16"/>
  <c r="U18" i="11" s="1"/>
  <c r="T12" i="16"/>
  <c r="S33" i="16"/>
  <c r="S33" i="11" s="1"/>
  <c r="S18" i="16"/>
  <c r="S18" i="17" s="1"/>
  <c r="S18" i="18" s="1"/>
  <c r="R33" i="16"/>
  <c r="R33" i="11" s="1"/>
  <c r="R17" i="16"/>
  <c r="Q32" i="16"/>
  <c r="Q32" i="11" s="1"/>
  <c r="P33" i="16"/>
  <c r="P33" i="11" s="1"/>
  <c r="O20" i="16"/>
  <c r="O20" i="11" s="1"/>
  <c r="N33" i="16"/>
  <c r="M20" i="16"/>
  <c r="L19" i="16"/>
  <c r="L19" i="17" s="1"/>
  <c r="I46" i="16"/>
  <c r="F18" i="16"/>
  <c r="F18" i="11" s="1"/>
  <c r="C36" i="16"/>
  <c r="I72" i="16"/>
  <c r="C46" i="16"/>
  <c r="AA9" i="16"/>
  <c r="Z34" i="16"/>
  <c r="Z34" i="11" s="1"/>
  <c r="Z21" i="16"/>
  <c r="Y44" i="16"/>
  <c r="Y30" i="16"/>
  <c r="Y30" i="17" s="1"/>
  <c r="Y30" i="18" s="1"/>
  <c r="Y18" i="16"/>
  <c r="X36" i="16"/>
  <c r="X36" i="11" s="1"/>
  <c r="X23" i="16"/>
  <c r="X23" i="17" s="1"/>
  <c r="X23" i="18" s="1"/>
  <c r="X9" i="16"/>
  <c r="X9" i="17" s="1"/>
  <c r="X9" i="18" s="1"/>
  <c r="W32" i="16"/>
  <c r="W32" i="11" s="1"/>
  <c r="W20" i="16"/>
  <c r="W20" i="11" s="1"/>
  <c r="V44" i="16"/>
  <c r="V29" i="16"/>
  <c r="U36" i="16"/>
  <c r="U36" i="11" s="1"/>
  <c r="U8" i="16"/>
  <c r="T32" i="16"/>
  <c r="T32" i="11" s="1"/>
  <c r="T17" i="16"/>
  <c r="S43" i="16"/>
  <c r="S29" i="16"/>
  <c r="S10" i="16"/>
  <c r="S10" i="11" s="1"/>
  <c r="R34" i="16"/>
  <c r="R34" i="11" s="1"/>
  <c r="Q45" i="16"/>
  <c r="Q45" i="11" s="1"/>
  <c r="Q31" i="16"/>
  <c r="Q31" i="11" s="1"/>
  <c r="Q18" i="16"/>
  <c r="Q18" i="17" s="1"/>
  <c r="Q18" i="18" s="1"/>
  <c r="P36" i="16"/>
  <c r="P24" i="16"/>
  <c r="P24" i="17" s="1"/>
  <c r="P24" i="18" s="1"/>
  <c r="P9" i="16"/>
  <c r="P9" i="17" s="1"/>
  <c r="P9" i="18" s="1"/>
  <c r="O24" i="16"/>
  <c r="O24" i="17" s="1"/>
  <c r="O24" i="18" s="1"/>
  <c r="O8" i="16"/>
  <c r="O8" i="11" s="1"/>
  <c r="N23" i="16"/>
  <c r="N23" i="11" s="1"/>
  <c r="M44" i="16"/>
  <c r="M44" i="17" s="1"/>
  <c r="M24" i="16"/>
  <c r="M24" i="17" s="1"/>
  <c r="L43" i="16"/>
  <c r="K23" i="16"/>
  <c r="I20" i="16"/>
  <c r="I20" i="11" s="1"/>
  <c r="G68" i="16"/>
  <c r="D76" i="16"/>
  <c r="D69" i="16"/>
  <c r="B66" i="16"/>
  <c r="G66" i="16"/>
  <c r="E73" i="16"/>
  <c r="AF12" i="16"/>
  <c r="AE45" i="16"/>
  <c r="AE45" i="11" s="1"/>
  <c r="AE34" i="16"/>
  <c r="AE34" i="11" s="1"/>
  <c r="AE29" i="16"/>
  <c r="AE29" i="11" s="1"/>
  <c r="AE20" i="16"/>
  <c r="AE10" i="16"/>
  <c r="AE10" i="11" s="1"/>
  <c r="AD43" i="16"/>
  <c r="AD33" i="16"/>
  <c r="AD23" i="16"/>
  <c r="AD23" i="17" s="1"/>
  <c r="AD23" i="18" s="1"/>
  <c r="AD18" i="16"/>
  <c r="AD18" i="17" s="1"/>
  <c r="AD18" i="18" s="1"/>
  <c r="AD9" i="16"/>
  <c r="AD9" i="17" s="1"/>
  <c r="AD9" i="18" s="1"/>
  <c r="AC36" i="16"/>
  <c r="AC36" i="11" s="1"/>
  <c r="AC31" i="16"/>
  <c r="AC12" i="16"/>
  <c r="AC12" i="11" s="1"/>
  <c r="AB45" i="16"/>
  <c r="AB29" i="16"/>
  <c r="AB29" i="11" s="1"/>
  <c r="AB20" i="16"/>
  <c r="AB20" i="11" s="1"/>
  <c r="AA43" i="16"/>
  <c r="AA33" i="16"/>
  <c r="AA33" i="11" s="1"/>
  <c r="AA12" i="16"/>
  <c r="AA12" i="17" s="1"/>
  <c r="AA12" i="18" s="1"/>
  <c r="Z37" i="16"/>
  <c r="Z37" i="11" s="1"/>
  <c r="Z30" i="16"/>
  <c r="Z30" i="17" s="1"/>
  <c r="Z30" i="18" s="1"/>
  <c r="Z19" i="16"/>
  <c r="Z19" i="11" s="1"/>
  <c r="Y45" i="16"/>
  <c r="Y45" i="11" s="1"/>
  <c r="Y34" i="16"/>
  <c r="Y34" i="11" s="1"/>
  <c r="Y23" i="16"/>
  <c r="Y23" i="11" s="1"/>
  <c r="X37" i="16"/>
  <c r="X37" i="11" s="1"/>
  <c r="X31" i="16"/>
  <c r="X31" i="11" s="1"/>
  <c r="X19" i="16"/>
  <c r="X8" i="16"/>
  <c r="W34" i="16"/>
  <c r="W34" i="11" s="1"/>
  <c r="W12" i="16"/>
  <c r="W12" i="11" s="1"/>
  <c r="V43" i="16"/>
  <c r="V30" i="16"/>
  <c r="V30" i="11" s="1"/>
  <c r="V19" i="16"/>
  <c r="V19" i="17" s="1"/>
  <c r="V19" i="18" s="1"/>
  <c r="V9" i="16"/>
  <c r="V9" i="17" s="1"/>
  <c r="V9" i="18" s="1"/>
  <c r="U34" i="16"/>
  <c r="U34" i="11" s="1"/>
  <c r="U23" i="16"/>
  <c r="U23" i="11" s="1"/>
  <c r="U12" i="16"/>
  <c r="U12" i="11" s="1"/>
  <c r="T37" i="16"/>
  <c r="T31" i="16"/>
  <c r="T31" i="11" s="1"/>
  <c r="T20" i="16"/>
  <c r="T20" i="11" s="1"/>
  <c r="T8" i="16"/>
  <c r="S34" i="16"/>
  <c r="S34" i="11" s="1"/>
  <c r="S24" i="16"/>
  <c r="S24" i="17" s="1"/>
  <c r="S24" i="18" s="1"/>
  <c r="S12" i="16"/>
  <c r="S12" i="17" s="1"/>
  <c r="S12" i="18" s="1"/>
  <c r="R43" i="16"/>
  <c r="R31" i="16"/>
  <c r="R19" i="16"/>
  <c r="R19" i="17" s="1"/>
  <c r="R19" i="18" s="1"/>
  <c r="R9" i="16"/>
  <c r="R9" i="17" s="1"/>
  <c r="R9" i="18" s="1"/>
  <c r="Q23" i="16"/>
  <c r="Q23" i="17" s="1"/>
  <c r="Q23" i="18" s="1"/>
  <c r="Q12" i="16"/>
  <c r="Q12" i="11" s="1"/>
  <c r="P44" i="16"/>
  <c r="P44" i="17" s="1"/>
  <c r="P44" i="18" s="1"/>
  <c r="P31" i="16"/>
  <c r="P31" i="11" s="1"/>
  <c r="P20" i="16"/>
  <c r="O43" i="16"/>
  <c r="O29" i="16"/>
  <c r="O29" i="11" s="1"/>
  <c r="O17" i="16"/>
  <c r="O17" i="11" s="1"/>
  <c r="N9" i="16"/>
  <c r="M31" i="16"/>
  <c r="M31" i="11" s="1"/>
  <c r="M19" i="16"/>
  <c r="M19" i="17" s="1"/>
  <c r="K31" i="16"/>
  <c r="K31" i="11" s="1"/>
  <c r="J18" i="16"/>
  <c r="J18" i="11" s="1"/>
  <c r="H45" i="16"/>
  <c r="H45" i="11" s="1"/>
  <c r="F37" i="16"/>
  <c r="F37" i="11" s="1"/>
  <c r="C17" i="16"/>
  <c r="C17" i="11" s="1"/>
  <c r="G71" i="16"/>
  <c r="J76" i="16"/>
  <c r="B34" i="16"/>
  <c r="B34" i="11" s="1"/>
  <c r="B23" i="16"/>
  <c r="B23" i="11" s="1"/>
  <c r="P19" i="16"/>
  <c r="P19" i="11" s="1"/>
  <c r="O45" i="16"/>
  <c r="O45" i="17" s="1"/>
  <c r="O45" i="18" s="1"/>
  <c r="O33" i="16"/>
  <c r="O33" i="11" s="1"/>
  <c r="O10" i="16"/>
  <c r="O10" i="11" s="1"/>
  <c r="N37" i="16"/>
  <c r="N37" i="11" s="1"/>
  <c r="N30" i="16"/>
  <c r="N30" i="17" s="1"/>
  <c r="N30" i="18" s="1"/>
  <c r="N18" i="16"/>
  <c r="N18" i="17" s="1"/>
  <c r="N18" i="18" s="1"/>
  <c r="M45" i="16"/>
  <c r="M45" i="17" s="1"/>
  <c r="M34" i="16"/>
  <c r="M34" i="11" s="1"/>
  <c r="L31" i="16"/>
  <c r="J37" i="16"/>
  <c r="J37" i="11" s="1"/>
  <c r="I37" i="16"/>
  <c r="I37" i="11" s="1"/>
  <c r="H21" i="16"/>
  <c r="H21" i="11" s="1"/>
  <c r="G9" i="16"/>
  <c r="G9" i="11" s="1"/>
  <c r="E44" i="16"/>
  <c r="E44" i="11" s="1"/>
  <c r="D21" i="16"/>
  <c r="D21" i="11" s="1"/>
  <c r="C9" i="16"/>
  <c r="C9" i="11" s="1"/>
  <c r="F70" i="16"/>
  <c r="E75" i="16"/>
  <c r="B54" i="16"/>
  <c r="B54" i="11" s="1"/>
  <c r="AA29" i="16"/>
  <c r="AA20" i="16"/>
  <c r="AA10" i="16"/>
  <c r="Z43" i="16"/>
  <c r="Z33" i="16"/>
  <c r="Z23" i="16"/>
  <c r="Z23" i="11" s="1"/>
  <c r="Z18" i="16"/>
  <c r="Z18" i="17" s="1"/>
  <c r="Z18" i="18" s="1"/>
  <c r="Z9" i="16"/>
  <c r="Z9" i="11" s="1"/>
  <c r="Y36" i="16"/>
  <c r="Y36" i="11" s="1"/>
  <c r="Y31" i="16"/>
  <c r="Y12" i="16"/>
  <c r="Y12" i="17" s="1"/>
  <c r="Y12" i="18" s="1"/>
  <c r="X45" i="16"/>
  <c r="X45" i="11" s="1"/>
  <c r="X29" i="16"/>
  <c r="X29" i="11" s="1"/>
  <c r="X20" i="16"/>
  <c r="X20" i="11" s="1"/>
  <c r="W43" i="16"/>
  <c r="W33" i="16"/>
  <c r="W33" i="11" s="1"/>
  <c r="W24" i="16"/>
  <c r="W24" i="17" s="1"/>
  <c r="W24" i="18" s="1"/>
  <c r="W18" i="16"/>
  <c r="W18" i="17" s="1"/>
  <c r="W18" i="18" s="1"/>
  <c r="W9" i="16"/>
  <c r="W9" i="17" s="1"/>
  <c r="W9" i="18" s="1"/>
  <c r="V37" i="16"/>
  <c r="V37" i="11" s="1"/>
  <c r="V31" i="16"/>
  <c r="V31" i="11" s="1"/>
  <c r="V17" i="16"/>
  <c r="U45" i="16"/>
  <c r="U45" i="17" s="1"/>
  <c r="U45" i="18" s="1"/>
  <c r="U30" i="16"/>
  <c r="U30" i="11" s="1"/>
  <c r="U20" i="16"/>
  <c r="U20" i="11" s="1"/>
  <c r="T44" i="16"/>
  <c r="T44" i="11" s="1"/>
  <c r="T33" i="16"/>
  <c r="T24" i="16"/>
  <c r="T24" i="17" s="1"/>
  <c r="T24" i="18" s="1"/>
  <c r="T19" i="16"/>
  <c r="T19" i="17" s="1"/>
  <c r="T19" i="18" s="1"/>
  <c r="T9" i="16"/>
  <c r="T9" i="17" s="1"/>
  <c r="T9" i="18" s="1"/>
  <c r="S37" i="16"/>
  <c r="S37" i="11" s="1"/>
  <c r="S32" i="16"/>
  <c r="S32" i="11" s="1"/>
  <c r="S17" i="16"/>
  <c r="S8" i="16"/>
  <c r="S8" i="11" s="1"/>
  <c r="R30" i="16"/>
  <c r="R30" i="17" s="1"/>
  <c r="R30" i="18" s="1"/>
  <c r="R21" i="16"/>
  <c r="R21" i="11" s="1"/>
  <c r="Q44" i="16"/>
  <c r="Q44" i="11" s="1"/>
  <c r="Q34" i="16"/>
  <c r="Q34" i="11" s="1"/>
  <c r="Q24" i="16"/>
  <c r="Q24" i="17" s="1"/>
  <c r="Q24" i="18" s="1"/>
  <c r="Q19" i="16"/>
  <c r="Q19" i="17" s="1"/>
  <c r="Q19" i="18" s="1"/>
  <c r="Q10" i="16"/>
  <c r="P37" i="16"/>
  <c r="P32" i="16"/>
  <c r="P32" i="11" s="1"/>
  <c r="P23" i="16"/>
  <c r="P17" i="16"/>
  <c r="P8" i="16"/>
  <c r="P8" i="11" s="1"/>
  <c r="O36" i="16"/>
  <c r="O36" i="11" s="1"/>
  <c r="O30" i="16"/>
  <c r="O30" i="11" s="1"/>
  <c r="O21" i="16"/>
  <c r="O21" i="11" s="1"/>
  <c r="O12" i="16"/>
  <c r="O12" i="17" s="1"/>
  <c r="O12" i="18" s="1"/>
  <c r="N44" i="16"/>
  <c r="N44" i="11" s="1"/>
  <c r="N34" i="16"/>
  <c r="N34" i="11" s="1"/>
  <c r="N29" i="16"/>
  <c r="N29" i="11" s="1"/>
  <c r="N19" i="16"/>
  <c r="N10" i="16"/>
  <c r="M43" i="16"/>
  <c r="M32" i="16"/>
  <c r="M32" i="11" s="1"/>
  <c r="M23" i="16"/>
  <c r="M23" i="11" s="1"/>
  <c r="M18" i="16"/>
  <c r="L44" i="16"/>
  <c r="L44" i="11" s="1"/>
  <c r="L30" i="16"/>
  <c r="L10" i="16"/>
  <c r="I33" i="16"/>
  <c r="I33" i="11" s="1"/>
  <c r="H29" i="16"/>
  <c r="G31" i="16"/>
  <c r="G31" i="11" s="1"/>
  <c r="F32" i="16"/>
  <c r="F32" i="11" s="1"/>
  <c r="E25" i="16"/>
  <c r="D29" i="16"/>
  <c r="D29" i="11" s="1"/>
  <c r="C31" i="16"/>
  <c r="C31" i="11" s="1"/>
  <c r="I67" i="16"/>
  <c r="B71" i="16"/>
  <c r="B74" i="16"/>
  <c r="G78" i="16"/>
  <c r="AK37" i="16"/>
  <c r="AK37" i="11" s="1"/>
  <c r="AF18" i="16"/>
  <c r="AF18" i="17" s="1"/>
  <c r="AF18" i="18" s="1"/>
  <c r="AF10" i="16"/>
  <c r="AF10" i="11" s="1"/>
  <c r="AE44" i="16"/>
  <c r="AE44" i="17" s="1"/>
  <c r="AE44" i="18" s="1"/>
  <c r="AE31" i="16"/>
  <c r="AE31" i="11" s="1"/>
  <c r="AE23" i="16"/>
  <c r="AE19" i="16"/>
  <c r="AE19" i="11" s="1"/>
  <c r="AD45" i="16"/>
  <c r="AD36" i="16"/>
  <c r="AD36" i="11" s="1"/>
  <c r="AD32" i="16"/>
  <c r="AD32" i="11" s="1"/>
  <c r="AD24" i="16"/>
  <c r="AD24" i="17" s="1"/>
  <c r="AD24" i="18" s="1"/>
  <c r="AD20" i="16"/>
  <c r="AD20" i="11" s="1"/>
  <c r="AD12" i="16"/>
  <c r="AD12" i="11" s="1"/>
  <c r="AD8" i="16"/>
  <c r="AD8" i="11" s="1"/>
  <c r="AC37" i="16"/>
  <c r="AC37" i="11" s="1"/>
  <c r="AC33" i="16"/>
  <c r="AC29" i="16"/>
  <c r="AC29" i="11" s="1"/>
  <c r="AC21" i="16"/>
  <c r="AC21" i="11" s="1"/>
  <c r="AC17" i="16"/>
  <c r="AC9" i="16"/>
  <c r="AC9" i="17" s="1"/>
  <c r="AC9" i="18" s="1"/>
  <c r="AB43" i="16"/>
  <c r="AB34" i="16"/>
  <c r="AB34" i="11" s="1"/>
  <c r="AB30" i="16"/>
  <c r="AB30" i="17" s="1"/>
  <c r="AB30" i="18" s="1"/>
  <c r="AB18" i="16"/>
  <c r="AB10" i="16"/>
  <c r="AB10" i="11" s="1"/>
  <c r="AA44" i="16"/>
  <c r="AA44" i="17" s="1"/>
  <c r="AA44" i="18" s="1"/>
  <c r="AA31" i="16"/>
  <c r="AA31" i="11" s="1"/>
  <c r="AA23" i="16"/>
  <c r="AA19" i="16"/>
  <c r="AA19" i="17" s="1"/>
  <c r="AA19" i="18" s="1"/>
  <c r="Z45" i="16"/>
  <c r="Z36" i="16"/>
  <c r="Z32" i="16"/>
  <c r="Z24" i="16"/>
  <c r="Z24" i="17" s="1"/>
  <c r="Z24" i="18" s="1"/>
  <c r="Z20" i="16"/>
  <c r="Z20" i="11" s="1"/>
  <c r="Z12" i="16"/>
  <c r="Z12" i="17" s="1"/>
  <c r="Z12" i="18" s="1"/>
  <c r="Z8" i="16"/>
  <c r="Z8" i="11" s="1"/>
  <c r="Y37" i="16"/>
  <c r="Y37" i="11" s="1"/>
  <c r="Y33" i="16"/>
  <c r="Y29" i="16"/>
  <c r="Y29" i="11" s="1"/>
  <c r="Y21" i="16"/>
  <c r="Y21" i="11" s="1"/>
  <c r="Y17" i="16"/>
  <c r="Y17" i="11" s="1"/>
  <c r="Y9" i="16"/>
  <c r="X43" i="16"/>
  <c r="X34" i="16"/>
  <c r="X34" i="11" s="1"/>
  <c r="X30" i="16"/>
  <c r="X30" i="17" s="1"/>
  <c r="X30" i="18" s="1"/>
  <c r="X18" i="16"/>
  <c r="X10" i="16"/>
  <c r="X10" i="11" s="1"/>
  <c r="W44" i="16"/>
  <c r="W44" i="11" s="1"/>
  <c r="W31" i="16"/>
  <c r="W31" i="11" s="1"/>
  <c r="W23" i="16"/>
  <c r="W23" i="17" s="1"/>
  <c r="W23" i="18" s="1"/>
  <c r="W19" i="16"/>
  <c r="W19" i="17" s="1"/>
  <c r="W19" i="18" s="1"/>
  <c r="V45" i="16"/>
  <c r="V45" i="17" s="1"/>
  <c r="V45" i="18" s="1"/>
  <c r="V36" i="16"/>
  <c r="V36" i="11" s="1"/>
  <c r="V32" i="16"/>
  <c r="V32" i="11" s="1"/>
  <c r="V24" i="16"/>
  <c r="V24" i="17" s="1"/>
  <c r="V24" i="18" s="1"/>
  <c r="V20" i="16"/>
  <c r="V12" i="16"/>
  <c r="V12" i="11" s="1"/>
  <c r="V8" i="16"/>
  <c r="V8" i="11" s="1"/>
  <c r="U37" i="16"/>
  <c r="U37" i="11" s="1"/>
  <c r="U33" i="16"/>
  <c r="U29" i="16"/>
  <c r="U29" i="11" s="1"/>
  <c r="U21" i="16"/>
  <c r="U17" i="16"/>
  <c r="U17" i="11" s="1"/>
  <c r="U9" i="16"/>
  <c r="U9" i="17" s="1"/>
  <c r="U9" i="18" s="1"/>
  <c r="T43" i="16"/>
  <c r="T34" i="16"/>
  <c r="T34" i="11" s="1"/>
  <c r="T30" i="16"/>
  <c r="T30" i="17" s="1"/>
  <c r="T30" i="18" s="1"/>
  <c r="T18" i="16"/>
  <c r="T18" i="17" s="1"/>
  <c r="T18" i="18" s="1"/>
  <c r="T10" i="16"/>
  <c r="T10" i="11" s="1"/>
  <c r="S44" i="16"/>
  <c r="S31" i="16"/>
  <c r="S31" i="11" s="1"/>
  <c r="S23" i="16"/>
  <c r="S23" i="17" s="1"/>
  <c r="S23" i="18" s="1"/>
  <c r="S19" i="16"/>
  <c r="S19" i="17" s="1"/>
  <c r="S19" i="18" s="1"/>
  <c r="R45" i="16"/>
  <c r="R36" i="16"/>
  <c r="R36" i="11" s="1"/>
  <c r="R32" i="16"/>
  <c r="R32" i="11" s="1"/>
  <c r="R24" i="16"/>
  <c r="R24" i="17" s="1"/>
  <c r="R24" i="18" s="1"/>
  <c r="R20" i="16"/>
  <c r="R20" i="11" s="1"/>
  <c r="R12" i="16"/>
  <c r="R12" i="11" s="1"/>
  <c r="R8" i="16"/>
  <c r="R8" i="11" s="1"/>
  <c r="Q37" i="16"/>
  <c r="Q37" i="11" s="1"/>
  <c r="Q33" i="16"/>
  <c r="Q29" i="16"/>
  <c r="Q29" i="11" s="1"/>
  <c r="Q21" i="16"/>
  <c r="Q21" i="11" s="1"/>
  <c r="Q17" i="16"/>
  <c r="Q17" i="11" s="1"/>
  <c r="Q9" i="16"/>
  <c r="Q9" i="11" s="1"/>
  <c r="P43" i="16"/>
  <c r="P34" i="16"/>
  <c r="P30" i="16"/>
  <c r="P30" i="11" s="1"/>
  <c r="P18" i="16"/>
  <c r="P18" i="17" s="1"/>
  <c r="P18" i="18" s="1"/>
  <c r="P10" i="16"/>
  <c r="O44" i="16"/>
  <c r="O44" i="17" s="1"/>
  <c r="O44" i="18" s="1"/>
  <c r="O31" i="16"/>
  <c r="O23" i="16"/>
  <c r="O19" i="16"/>
  <c r="O19" i="11" s="1"/>
  <c r="N45" i="16"/>
  <c r="N36" i="16"/>
  <c r="N36" i="11" s="1"/>
  <c r="N32" i="16"/>
  <c r="N32" i="11" s="1"/>
  <c r="N24" i="16"/>
  <c r="N24" i="17" s="1"/>
  <c r="N24" i="18" s="1"/>
  <c r="N20" i="16"/>
  <c r="N12" i="16"/>
  <c r="N12" i="17" s="1"/>
  <c r="N12" i="18" s="1"/>
  <c r="N8" i="16"/>
  <c r="M37" i="16"/>
  <c r="M37" i="11" s="1"/>
  <c r="M33" i="16"/>
  <c r="M29" i="16"/>
  <c r="M21" i="16"/>
  <c r="M21" i="11" s="1"/>
  <c r="M17" i="16"/>
  <c r="M9" i="16"/>
  <c r="M9" i="11" s="1"/>
  <c r="L34" i="16"/>
  <c r="L34" i="11" s="1"/>
  <c r="K44" i="16"/>
  <c r="K19" i="16"/>
  <c r="K19" i="17" s="1"/>
  <c r="J33" i="16"/>
  <c r="J33" i="11" s="1"/>
  <c r="I25" i="16"/>
  <c r="G46" i="16"/>
  <c r="G17" i="16"/>
  <c r="G17" i="11" s="1"/>
  <c r="F24" i="16"/>
  <c r="E33" i="16"/>
  <c r="E33" i="11" s="1"/>
  <c r="D45" i="16"/>
  <c r="D45" i="11" s="1"/>
  <c r="D13" i="16"/>
  <c r="D67" i="16"/>
  <c r="I69" i="16"/>
  <c r="D72" i="16"/>
  <c r="G74" i="16"/>
  <c r="H77" i="16"/>
  <c r="AK53" i="16"/>
  <c r="AK53" i="11" s="1"/>
  <c r="AK23" i="16"/>
  <c r="AK23" i="11" s="1"/>
  <c r="AK69" i="16"/>
  <c r="AK21" i="16"/>
  <c r="AK21" i="11" s="1"/>
  <c r="AK34" i="16"/>
  <c r="AK34" i="11" s="1"/>
  <c r="B33" i="16"/>
  <c r="B33" i="11" s="1"/>
  <c r="B46" i="16"/>
  <c r="B50" i="16"/>
  <c r="B50" i="11" s="1"/>
  <c r="B60" i="16"/>
  <c r="H78" i="16"/>
  <c r="B78" i="16"/>
  <c r="C77" i="16"/>
  <c r="E76" i="16"/>
  <c r="G75" i="16"/>
  <c r="H74" i="16"/>
  <c r="C74" i="16"/>
  <c r="G73" i="16"/>
  <c r="J72" i="16"/>
  <c r="E72" i="16"/>
  <c r="I71" i="16"/>
  <c r="C71" i="16"/>
  <c r="G70" i="16"/>
  <c r="B70" i="16"/>
  <c r="E69" i="16"/>
  <c r="H68" i="16"/>
  <c r="C68" i="16"/>
  <c r="E67" i="16"/>
  <c r="H66" i="16"/>
  <c r="C66" i="16"/>
  <c r="C13" i="16"/>
  <c r="C21" i="16"/>
  <c r="C21" i="11" s="1"/>
  <c r="C29" i="16"/>
  <c r="C29" i="11" s="1"/>
  <c r="C45" i="16"/>
  <c r="C45" i="11" s="1"/>
  <c r="D20" i="16"/>
  <c r="D20" i="11" s="1"/>
  <c r="D25" i="16"/>
  <c r="D33" i="16"/>
  <c r="D33" i="11" s="1"/>
  <c r="D44" i="16"/>
  <c r="D44" i="11" s="1"/>
  <c r="E10" i="16"/>
  <c r="E10" i="11" s="1"/>
  <c r="E18" i="16"/>
  <c r="E18" i="11" s="1"/>
  <c r="E24" i="16"/>
  <c r="E32" i="16"/>
  <c r="E32" i="11" s="1"/>
  <c r="E37" i="16"/>
  <c r="E37" i="11" s="1"/>
  <c r="F9" i="16"/>
  <c r="F9" i="11" s="1"/>
  <c r="F17" i="16"/>
  <c r="F17" i="11" s="1"/>
  <c r="F31" i="16"/>
  <c r="F31" i="11" s="1"/>
  <c r="F36" i="16"/>
  <c r="F36" i="11" s="1"/>
  <c r="F46" i="16"/>
  <c r="G13" i="16"/>
  <c r="G21" i="16"/>
  <c r="G21" i="11" s="1"/>
  <c r="G29" i="16"/>
  <c r="G29" i="11" s="1"/>
  <c r="G45" i="16"/>
  <c r="G45" i="11" s="1"/>
  <c r="H20" i="16"/>
  <c r="H20" i="11" s="1"/>
  <c r="H25" i="16"/>
  <c r="H33" i="16"/>
  <c r="H33" i="11" s="1"/>
  <c r="H44" i="16"/>
  <c r="H44" i="11" s="1"/>
  <c r="I10" i="16"/>
  <c r="I10" i="11" s="1"/>
  <c r="I18" i="16"/>
  <c r="I18" i="11" s="1"/>
  <c r="I24" i="16"/>
  <c r="I32" i="16"/>
  <c r="I32" i="11" s="1"/>
  <c r="I36" i="16"/>
  <c r="I36" i="11" s="1"/>
  <c r="I45" i="16"/>
  <c r="I45" i="11" s="1"/>
  <c r="J10" i="16"/>
  <c r="J10" i="11" s="1"/>
  <c r="J17" i="16"/>
  <c r="J17" i="11" s="1"/>
  <c r="J21" i="16"/>
  <c r="J21" i="11" s="1"/>
  <c r="J25" i="16"/>
  <c r="J32" i="16"/>
  <c r="J32" i="11" s="1"/>
  <c r="J36" i="16"/>
  <c r="J36" i="11" s="1"/>
  <c r="J45" i="16"/>
  <c r="J45" i="11" s="1"/>
  <c r="K10" i="16"/>
  <c r="K18" i="16"/>
  <c r="K30" i="16"/>
  <c r="K30" i="17" s="1"/>
  <c r="K34" i="16"/>
  <c r="K34" i="11" s="1"/>
  <c r="K43" i="16"/>
  <c r="L9" i="16"/>
  <c r="L17" i="16"/>
  <c r="L21" i="16"/>
  <c r="L21" i="11" s="1"/>
  <c r="L29" i="16"/>
  <c r="L33" i="16"/>
  <c r="L33" i="11" s="1"/>
  <c r="L37" i="16"/>
  <c r="L37" i="11" s="1"/>
  <c r="M8" i="16"/>
  <c r="M7" i="38" s="1"/>
  <c r="K44" i="8"/>
  <c r="B12" i="16"/>
  <c r="B12" i="11" s="1"/>
  <c r="B17" i="16"/>
  <c r="B17" i="11" s="1"/>
  <c r="AK30" i="16"/>
  <c r="AK30" i="17" s="1"/>
  <c r="AK30" i="18" s="1"/>
  <c r="AK45" i="16"/>
  <c r="AK45" i="11" s="1"/>
  <c r="B36" i="16"/>
  <c r="B36" i="11" s="1"/>
  <c r="AK56" i="16"/>
  <c r="AK56" i="11" s="1"/>
  <c r="B56" i="16"/>
  <c r="B56" i="11" s="1"/>
  <c r="B68" i="16"/>
  <c r="D78" i="16"/>
  <c r="G77" i="16"/>
  <c r="I76" i="16"/>
  <c r="J75" i="16"/>
  <c r="C75" i="16"/>
  <c r="F74" i="16"/>
  <c r="I73" i="16"/>
  <c r="D73" i="16"/>
  <c r="H72" i="16"/>
  <c r="B72" i="16"/>
  <c r="F71" i="16"/>
  <c r="J70" i="16"/>
  <c r="D70" i="16"/>
  <c r="H69" i="16"/>
  <c r="C69" i="16"/>
  <c r="E68" i="16"/>
  <c r="H67" i="16"/>
  <c r="C67" i="16"/>
  <c r="E66" i="16"/>
  <c r="C10" i="16"/>
  <c r="C10" i="11" s="1"/>
  <c r="C18" i="16"/>
  <c r="C18" i="11" s="1"/>
  <c r="C24" i="16"/>
  <c r="C32" i="16"/>
  <c r="C32" i="11" s="1"/>
  <c r="C37" i="16"/>
  <c r="C37" i="11" s="1"/>
  <c r="D9" i="16"/>
  <c r="D9" i="11" s="1"/>
  <c r="D17" i="16"/>
  <c r="D17" i="11" s="1"/>
  <c r="D31" i="16"/>
  <c r="D31" i="11" s="1"/>
  <c r="D36" i="16"/>
  <c r="D36" i="11" s="1"/>
  <c r="D46" i="16"/>
  <c r="E13" i="16"/>
  <c r="E21" i="16"/>
  <c r="E21" i="11" s="1"/>
  <c r="E29" i="16"/>
  <c r="E45" i="16"/>
  <c r="E45" i="11" s="1"/>
  <c r="F20" i="16"/>
  <c r="F20" i="11" s="1"/>
  <c r="F25" i="16"/>
  <c r="F33" i="16"/>
  <c r="F33" i="11" s="1"/>
  <c r="F44" i="16"/>
  <c r="F44" i="11" s="1"/>
  <c r="G10" i="16"/>
  <c r="G10" i="11" s="1"/>
  <c r="G18" i="16"/>
  <c r="G18" i="11" s="1"/>
  <c r="G24" i="16"/>
  <c r="G32" i="16"/>
  <c r="G32" i="11" s="1"/>
  <c r="G37" i="16"/>
  <c r="G37" i="11" s="1"/>
  <c r="H9" i="16"/>
  <c r="H9" i="11" s="1"/>
  <c r="H17" i="16"/>
  <c r="H17" i="11" s="1"/>
  <c r="H31" i="16"/>
  <c r="H31" i="11" s="1"/>
  <c r="H36" i="16"/>
  <c r="H46" i="16"/>
  <c r="I13" i="16"/>
  <c r="I21" i="16"/>
  <c r="I21" i="11" s="1"/>
  <c r="I29" i="16"/>
  <c r="I29" i="11" s="1"/>
  <c r="I34" i="16"/>
  <c r="I34" i="11" s="1"/>
  <c r="I43" i="16"/>
  <c r="J8" i="16"/>
  <c r="J8" i="11" s="1"/>
  <c r="J12" i="16"/>
  <c r="J12" i="11" s="1"/>
  <c r="J19" i="16"/>
  <c r="J19" i="11" s="1"/>
  <c r="J23" i="16"/>
  <c r="J23" i="11" s="1"/>
  <c r="J30" i="16"/>
  <c r="J30" i="11" s="1"/>
  <c r="J34" i="16"/>
  <c r="J34" i="11" s="1"/>
  <c r="J43" i="16"/>
  <c r="K8" i="16"/>
  <c r="K12" i="16"/>
  <c r="K20" i="16"/>
  <c r="K20" i="11" s="1"/>
  <c r="K24" i="16"/>
  <c r="K24" i="17" s="1"/>
  <c r="K32" i="16"/>
  <c r="K32" i="11" s="1"/>
  <c r="K36" i="16"/>
  <c r="K36" i="11" s="1"/>
  <c r="K45" i="16"/>
  <c r="K45" i="17" s="1"/>
  <c r="AK9" i="16"/>
  <c r="AK9" i="17" s="1"/>
  <c r="AK9" i="18" s="1"/>
  <c r="AK18" i="16"/>
  <c r="AK18" i="11" s="1"/>
  <c r="B21" i="16"/>
  <c r="B21" i="11" s="1"/>
  <c r="AK32" i="16"/>
  <c r="B29" i="16"/>
  <c r="B29" i="11" s="1"/>
  <c r="B45" i="16"/>
  <c r="B45" i="11" s="1"/>
  <c r="AK59" i="16"/>
  <c r="AK59" i="17" s="1"/>
  <c r="AK60" i="10" s="1"/>
  <c r="B57" i="16"/>
  <c r="B57" i="11" s="1"/>
  <c r="J78" i="16"/>
  <c r="C78" i="16"/>
  <c r="E77" i="16"/>
  <c r="F76" i="16"/>
  <c r="I75" i="16"/>
  <c r="B75" i="16"/>
  <c r="D74" i="16"/>
  <c r="H73" i="16"/>
  <c r="C73" i="16"/>
  <c r="F72" i="16"/>
  <c r="J71" i="16"/>
  <c r="E71" i="16"/>
  <c r="H70" i="16"/>
  <c r="C70" i="16"/>
  <c r="G69" i="16"/>
  <c r="I68" i="16"/>
  <c r="D68" i="16"/>
  <c r="G67" i="16"/>
  <c r="I66" i="16"/>
  <c r="D66" i="16"/>
  <c r="C20" i="16"/>
  <c r="C20" i="11" s="1"/>
  <c r="C25" i="16"/>
  <c r="C33" i="16"/>
  <c r="C33" i="11" s="1"/>
  <c r="C44" i="16"/>
  <c r="C44" i="11" s="1"/>
  <c r="D10" i="16"/>
  <c r="D10" i="11" s="1"/>
  <c r="D18" i="16"/>
  <c r="D18" i="11" s="1"/>
  <c r="D24" i="16"/>
  <c r="D32" i="16"/>
  <c r="D32" i="11" s="1"/>
  <c r="D37" i="16"/>
  <c r="D37" i="11" s="1"/>
  <c r="E9" i="16"/>
  <c r="E9" i="11" s="1"/>
  <c r="E17" i="16"/>
  <c r="E31" i="16"/>
  <c r="E31" i="11" s="1"/>
  <c r="E36" i="16"/>
  <c r="E36" i="11" s="1"/>
  <c r="E46" i="16"/>
  <c r="F13" i="16"/>
  <c r="F21" i="16"/>
  <c r="F21" i="11" s="1"/>
  <c r="F29" i="16"/>
  <c r="F29" i="11" s="1"/>
  <c r="F45" i="16"/>
  <c r="F45" i="11" s="1"/>
  <c r="G20" i="16"/>
  <c r="G20" i="11" s="1"/>
  <c r="G25" i="16"/>
  <c r="G33" i="16"/>
  <c r="G33" i="11" s="1"/>
  <c r="G44" i="16"/>
  <c r="G44" i="11" s="1"/>
  <c r="H10" i="16"/>
  <c r="H10" i="11" s="1"/>
  <c r="H18" i="16"/>
  <c r="H18" i="11" s="1"/>
  <c r="H24" i="16"/>
  <c r="H32" i="16"/>
  <c r="H32" i="11" s="1"/>
  <c r="H37" i="16"/>
  <c r="I9" i="16"/>
  <c r="I9" i="11" s="1"/>
  <c r="I17" i="16"/>
  <c r="I17" i="11" s="1"/>
  <c r="I31" i="16"/>
  <c r="I31" i="11" s="1"/>
  <c r="I44" i="16"/>
  <c r="I44" i="11" s="1"/>
  <c r="J9" i="16"/>
  <c r="J9" i="11" s="1"/>
  <c r="J13" i="16"/>
  <c r="J20" i="16"/>
  <c r="J20" i="11" s="1"/>
  <c r="J24" i="16"/>
  <c r="J31" i="16"/>
  <c r="J31" i="11" s="1"/>
  <c r="J44" i="16"/>
  <c r="J44" i="11" s="1"/>
  <c r="K9" i="16"/>
  <c r="K9" i="17" s="1"/>
  <c r="K17" i="16"/>
  <c r="K14" i="38" s="1"/>
  <c r="K21" i="16"/>
  <c r="K21" i="11" s="1"/>
  <c r="K29" i="16"/>
  <c r="K22" i="38" s="1"/>
  <c r="K33" i="16"/>
  <c r="K37" i="16"/>
  <c r="K37" i="11" s="1"/>
  <c r="L8" i="16"/>
  <c r="L8" i="11" s="1"/>
  <c r="L12" i="16"/>
  <c r="L20" i="16"/>
  <c r="L15" i="38" s="1"/>
  <c r="L24" i="16"/>
  <c r="L24" i="17" s="1"/>
  <c r="L32" i="16"/>
  <c r="L32" i="11" s="1"/>
  <c r="L36" i="16"/>
  <c r="L45" i="16"/>
  <c r="L45" i="11" s="1"/>
  <c r="I30" i="16"/>
  <c r="I30" i="11" s="1"/>
  <c r="I23" i="16"/>
  <c r="I23" i="11" s="1"/>
  <c r="I19" i="16"/>
  <c r="I19" i="11" s="1"/>
  <c r="I12" i="16"/>
  <c r="I12" i="11" s="1"/>
  <c r="I8" i="16"/>
  <c r="I8" i="11" s="1"/>
  <c r="H43" i="16"/>
  <c r="H34" i="16"/>
  <c r="H34" i="11" s="1"/>
  <c r="H30" i="16"/>
  <c r="H30" i="11" s="1"/>
  <c r="H23" i="16"/>
  <c r="H23" i="11" s="1"/>
  <c r="H19" i="16"/>
  <c r="H19" i="11" s="1"/>
  <c r="H12" i="16"/>
  <c r="H12" i="11" s="1"/>
  <c r="H8" i="16"/>
  <c r="H8" i="11" s="1"/>
  <c r="G43" i="16"/>
  <c r="G34" i="16"/>
  <c r="G34" i="11" s="1"/>
  <c r="G30" i="16"/>
  <c r="G30" i="11" s="1"/>
  <c r="G23" i="16"/>
  <c r="G23" i="11" s="1"/>
  <c r="G19" i="16"/>
  <c r="G19" i="11" s="1"/>
  <c r="G12" i="16"/>
  <c r="G12" i="11" s="1"/>
  <c r="G8" i="16"/>
  <c r="F43" i="16"/>
  <c r="F34" i="16"/>
  <c r="F30" i="16"/>
  <c r="F30" i="11" s="1"/>
  <c r="F23" i="16"/>
  <c r="F23" i="11" s="1"/>
  <c r="F19" i="16"/>
  <c r="F19" i="11" s="1"/>
  <c r="F12" i="16"/>
  <c r="F8" i="16"/>
  <c r="F8" i="11" s="1"/>
  <c r="E43" i="16"/>
  <c r="E34" i="16"/>
  <c r="E34" i="11" s="1"/>
  <c r="E30" i="16"/>
  <c r="E30" i="11" s="1"/>
  <c r="E23" i="16"/>
  <c r="E23" i="11" s="1"/>
  <c r="E19" i="16"/>
  <c r="E19" i="11" s="1"/>
  <c r="E12" i="16"/>
  <c r="E12" i="11" s="1"/>
  <c r="E8" i="16"/>
  <c r="D43" i="16"/>
  <c r="D34" i="16"/>
  <c r="D34" i="11" s="1"/>
  <c r="D30" i="16"/>
  <c r="D30" i="11" s="1"/>
  <c r="D23" i="16"/>
  <c r="D23" i="11" s="1"/>
  <c r="D19" i="16"/>
  <c r="D19" i="11" s="1"/>
  <c r="D12" i="16"/>
  <c r="D12" i="11" s="1"/>
  <c r="D8" i="16"/>
  <c r="D8" i="11" s="1"/>
  <c r="C43" i="16"/>
  <c r="C34" i="16"/>
  <c r="C34" i="11" s="1"/>
  <c r="C30" i="16"/>
  <c r="C30" i="11" s="1"/>
  <c r="C23" i="16"/>
  <c r="C23" i="11" s="1"/>
  <c r="C19" i="16"/>
  <c r="C12" i="16"/>
  <c r="C12" i="11" s="1"/>
  <c r="C8" i="16"/>
  <c r="C8" i="11" s="1"/>
  <c r="F66" i="16"/>
  <c r="J66" i="16"/>
  <c r="F67" i="16"/>
  <c r="J67" i="16"/>
  <c r="F68" i="16"/>
  <c r="J68" i="16"/>
  <c r="F69" i="16"/>
  <c r="J69" i="16"/>
  <c r="E70" i="16"/>
  <c r="I70" i="16"/>
  <c r="D71" i="16"/>
  <c r="H71" i="16"/>
  <c r="C72" i="16"/>
  <c r="G72" i="16"/>
  <c r="B73" i="16"/>
  <c r="F73" i="16"/>
  <c r="J73" i="16"/>
  <c r="E74" i="16"/>
  <c r="J74" i="16"/>
  <c r="F75" i="16"/>
  <c r="B76" i="16"/>
  <c r="H76" i="16"/>
  <c r="D77" i="16"/>
  <c r="I77" i="16"/>
  <c r="F78" i="16"/>
  <c r="B69" i="16"/>
  <c r="B59" i="16"/>
  <c r="B59" i="11" s="1"/>
  <c r="AK55" i="16"/>
  <c r="AK55" i="11" s="1"/>
  <c r="B43" i="16"/>
  <c r="B30" i="16"/>
  <c r="B30" i="11" s="1"/>
  <c r="AK36" i="16"/>
  <c r="AK36" i="11" s="1"/>
  <c r="AK29" i="16"/>
  <c r="AK29" i="11" s="1"/>
  <c r="B18" i="16"/>
  <c r="B18" i="11" s="1"/>
  <c r="AK19" i="16"/>
  <c r="AK19" i="17" s="1"/>
  <c r="AK19" i="18" s="1"/>
  <c r="B10" i="16"/>
  <c r="B10" i="11" s="1"/>
  <c r="W25" i="16"/>
  <c r="X46" i="16"/>
  <c r="I74" i="16"/>
  <c r="D75" i="16"/>
  <c r="H75" i="16"/>
  <c r="C76" i="16"/>
  <c r="G76" i="16"/>
  <c r="B77" i="16"/>
  <c r="F77" i="16"/>
  <c r="J77" i="16"/>
  <c r="E78" i="16"/>
  <c r="I78" i="16"/>
  <c r="B67" i="16"/>
  <c r="B58" i="16"/>
  <c r="B58" i="11" s="1"/>
  <c r="B53" i="16"/>
  <c r="B53" i="11" s="1"/>
  <c r="AK58" i="16"/>
  <c r="AK58" i="11" s="1"/>
  <c r="AK50" i="16"/>
  <c r="B37" i="16"/>
  <c r="B37" i="11" s="1"/>
  <c r="B32" i="16"/>
  <c r="B32" i="11" s="1"/>
  <c r="AK43" i="16"/>
  <c r="AK33" i="16"/>
  <c r="B25" i="16"/>
  <c r="B19" i="16"/>
  <c r="B19" i="11" s="1"/>
  <c r="AK17" i="16"/>
  <c r="AK17" i="11" s="1"/>
  <c r="B8" i="16"/>
  <c r="B8" i="11" s="1"/>
  <c r="AK8" i="16"/>
  <c r="AK8" i="11" s="1"/>
  <c r="K74" i="16"/>
  <c r="K55" i="15" s="1"/>
  <c r="O25" i="16"/>
  <c r="P46" i="16"/>
  <c r="P31" i="38" s="1"/>
  <c r="Q46" i="16"/>
  <c r="R25" i="16"/>
  <c r="Q54" i="16"/>
  <c r="Q54" i="11" s="1"/>
  <c r="AK12" i="16"/>
  <c r="K66" i="16"/>
  <c r="K47" i="15" s="1"/>
  <c r="V13" i="16"/>
  <c r="W60" i="16"/>
  <c r="AD13" i="16"/>
  <c r="AE60" i="16"/>
  <c r="AF32" i="8"/>
  <c r="K43" i="8"/>
  <c r="K52" i="8" s="1"/>
  <c r="K77" i="16"/>
  <c r="K119" i="17" s="1"/>
  <c r="N13" i="16"/>
  <c r="O60" i="16"/>
  <c r="AF31" i="8"/>
  <c r="B55" i="16"/>
  <c r="B55" i="11" s="1"/>
  <c r="B51" i="16"/>
  <c r="B51" i="11" s="1"/>
  <c r="AK57" i="16"/>
  <c r="AK57" i="11" s="1"/>
  <c r="AK51" i="16"/>
  <c r="AK51" i="11" s="1"/>
  <c r="B44" i="16"/>
  <c r="B44" i="11" s="1"/>
  <c r="B31" i="16"/>
  <c r="B31" i="11" s="1"/>
  <c r="AK44" i="16"/>
  <c r="AK44" i="17" s="1"/>
  <c r="AK44" i="18" s="1"/>
  <c r="AK31" i="16"/>
  <c r="AK31" i="11" s="1"/>
  <c r="B24" i="16"/>
  <c r="B20" i="16"/>
  <c r="AK24" i="16"/>
  <c r="AK24" i="17" s="1"/>
  <c r="AK24" i="18" s="1"/>
  <c r="AK20" i="16"/>
  <c r="AK20" i="11" s="1"/>
  <c r="B13" i="16"/>
  <c r="B9" i="16"/>
  <c r="B9" i="11" s="1"/>
  <c r="AK10" i="16"/>
  <c r="AK10" i="11" s="1"/>
  <c r="K41" i="8"/>
  <c r="K71" i="16"/>
  <c r="K52" i="15" s="1"/>
  <c r="K67" i="16"/>
  <c r="K48" i="15" s="1"/>
  <c r="K60" i="16"/>
  <c r="R13" i="16"/>
  <c r="S60" i="16"/>
  <c r="Z13" i="16"/>
  <c r="AA60" i="16"/>
  <c r="AA42" i="38" s="1"/>
  <c r="AI25" i="16"/>
  <c r="AJ13" i="16"/>
  <c r="AK13" i="16"/>
  <c r="T54" i="16"/>
  <c r="T54" i="11" s="1"/>
  <c r="U31" i="8"/>
  <c r="U35" i="38" s="1"/>
  <c r="P32" i="8"/>
  <c r="R33" i="8"/>
  <c r="K70" i="16"/>
  <c r="K112" i="17" s="1"/>
  <c r="K25" i="16"/>
  <c r="L46" i="16"/>
  <c r="L31" i="38" s="1"/>
  <c r="M46" i="16"/>
  <c r="N25" i="16"/>
  <c r="S25" i="16"/>
  <c r="T46" i="16"/>
  <c r="T31" i="38" s="1"/>
  <c r="U46" i="16"/>
  <c r="V25" i="16"/>
  <c r="V18" i="38" s="1"/>
  <c r="AA25" i="16"/>
  <c r="AB46" i="16"/>
  <c r="AB31" i="38" s="1"/>
  <c r="AC46" i="16"/>
  <c r="AD25" i="16"/>
  <c r="AD18" i="38" s="1"/>
  <c r="AA31" i="8"/>
  <c r="U32" i="8"/>
  <c r="AH33" i="8"/>
  <c r="Y46" i="16"/>
  <c r="Z25" i="16"/>
  <c r="AE25" i="16"/>
  <c r="AF46" i="16"/>
  <c r="AG46" i="16"/>
  <c r="AH13" i="16"/>
  <c r="AI60" i="16"/>
  <c r="AK25" i="16"/>
  <c r="O54" i="16"/>
  <c r="O54" i="11" s="1"/>
  <c r="AF54" i="16"/>
  <c r="AK54" i="16"/>
  <c r="AK54" i="11" s="1"/>
  <c r="AK32" i="8"/>
  <c r="K75" i="16"/>
  <c r="K56" i="15" s="1"/>
  <c r="L13" i="16"/>
  <c r="M60" i="16"/>
  <c r="M42" i="38" s="1"/>
  <c r="P13" i="16"/>
  <c r="Q60" i="16"/>
  <c r="T13" i="16"/>
  <c r="U60" i="16"/>
  <c r="X13" i="16"/>
  <c r="Y60" i="16"/>
  <c r="AB13" i="16"/>
  <c r="AC60" i="16"/>
  <c r="AC42" i="38" s="1"/>
  <c r="AF13" i="16"/>
  <c r="AG60" i="16"/>
  <c r="AI54" i="16"/>
  <c r="AI54" i="11" s="1"/>
  <c r="P31" i="8"/>
  <c r="AK31" i="8"/>
  <c r="Z32" i="8"/>
  <c r="Z33" i="8"/>
  <c r="K78" i="16"/>
  <c r="K59" i="15" s="1"/>
  <c r="K73" i="16"/>
  <c r="K54" i="15" s="1"/>
  <c r="K68" i="16"/>
  <c r="K13" i="16"/>
  <c r="L60" i="16"/>
  <c r="L42" i="38" s="1"/>
  <c r="M25" i="16"/>
  <c r="N46" i="16"/>
  <c r="O13" i="16"/>
  <c r="P60" i="16"/>
  <c r="P42" i="38" s="1"/>
  <c r="Q25" i="16"/>
  <c r="R46" i="16"/>
  <c r="R31" i="38" s="1"/>
  <c r="S13" i="16"/>
  <c r="T60" i="16"/>
  <c r="T42" i="38" s="1"/>
  <c r="U25" i="16"/>
  <c r="V46" i="16"/>
  <c r="W13" i="16"/>
  <c r="X60" i="16"/>
  <c r="X42" i="38" s="1"/>
  <c r="Y25" i="16"/>
  <c r="Z46" i="16"/>
  <c r="AA13" i="16"/>
  <c r="AB60" i="16"/>
  <c r="AB42" i="38" s="1"/>
  <c r="AC25" i="16"/>
  <c r="AD46" i="16"/>
  <c r="AE13" i="16"/>
  <c r="AF60" i="16"/>
  <c r="AF42" i="38" s="1"/>
  <c r="AG25" i="16"/>
  <c r="AH46" i="16"/>
  <c r="AI13" i="16"/>
  <c r="AJ60" i="16"/>
  <c r="AJ42" i="38" s="1"/>
  <c r="K33" i="8"/>
  <c r="K37" i="38" s="1"/>
  <c r="K54" i="16"/>
  <c r="P54" i="16"/>
  <c r="S54" i="16"/>
  <c r="S54" i="11" s="1"/>
  <c r="U54" i="16"/>
  <c r="Z54" i="16"/>
  <c r="Z54" i="11" s="1"/>
  <c r="AE54" i="16"/>
  <c r="AE54" i="11" s="1"/>
  <c r="AG54" i="16"/>
  <c r="AG54" i="11" s="1"/>
  <c r="AJ54" i="16"/>
  <c r="AJ54" i="11" s="1"/>
  <c r="M31" i="8"/>
  <c r="S31" i="8"/>
  <c r="X31" i="8"/>
  <c r="AC31" i="8"/>
  <c r="AI31" i="8"/>
  <c r="M32" i="8"/>
  <c r="R32" i="8"/>
  <c r="X32" i="8"/>
  <c r="AC32" i="8"/>
  <c r="AC36" i="38" s="1"/>
  <c r="AH32" i="8"/>
  <c r="N33" i="8"/>
  <c r="V33" i="8"/>
  <c r="AD33" i="8"/>
  <c r="L34" i="8"/>
  <c r="AE35" i="8"/>
  <c r="AH37" i="8"/>
  <c r="L67" i="16"/>
  <c r="L109" i="16" s="1"/>
  <c r="AH25" i="16"/>
  <c r="AJ46" i="16"/>
  <c r="AK46" i="16"/>
  <c r="M54" i="16"/>
  <c r="M54" i="11" s="1"/>
  <c r="R54" i="16"/>
  <c r="R54" i="11" s="1"/>
  <c r="W54" i="16"/>
  <c r="Y54" i="16"/>
  <c r="AB54" i="16"/>
  <c r="AB54" i="11" s="1"/>
  <c r="O31" i="8"/>
  <c r="T31" i="8"/>
  <c r="Y31" i="8"/>
  <c r="AE31" i="8"/>
  <c r="AJ31" i="8"/>
  <c r="N32" i="8"/>
  <c r="N36" i="38" s="1"/>
  <c r="T32" i="8"/>
  <c r="Y32" i="8"/>
  <c r="AD32" i="8"/>
  <c r="AJ32" i="8"/>
  <c r="O33" i="8"/>
  <c r="O37" i="38" s="1"/>
  <c r="W33" i="8"/>
  <c r="AE33" i="8"/>
  <c r="AE37" i="38" s="1"/>
  <c r="X34" i="8"/>
  <c r="AK35" i="8"/>
  <c r="AE36" i="8"/>
  <c r="L70" i="16"/>
  <c r="L112" i="16" s="1"/>
  <c r="L54" i="16"/>
  <c r="L54" i="11" s="1"/>
  <c r="X54" i="16"/>
  <c r="X54" i="11" s="1"/>
  <c r="AA54" i="16"/>
  <c r="AC54" i="16"/>
  <c r="AC54" i="11" s="1"/>
  <c r="AH54" i="16"/>
  <c r="AH54" i="11" s="1"/>
  <c r="L31" i="8"/>
  <c r="L35" i="38" s="1"/>
  <c r="Q31" i="8"/>
  <c r="Q35" i="38" s="1"/>
  <c r="W31" i="8"/>
  <c r="AB31" i="8"/>
  <c r="AG31" i="8"/>
  <c r="Q32" i="8"/>
  <c r="V32" i="8"/>
  <c r="AB32" i="8"/>
  <c r="AB36" i="38" s="1"/>
  <c r="AG32" i="8"/>
  <c r="L33" i="8"/>
  <c r="S33" i="8"/>
  <c r="AA33" i="8"/>
  <c r="AI33" i="8"/>
  <c r="W35" i="8"/>
  <c r="Y37" i="8"/>
  <c r="K76" i="16"/>
  <c r="K72" i="16"/>
  <c r="K53" i="15" s="1"/>
  <c r="K69" i="16"/>
  <c r="K46" i="16"/>
  <c r="L25" i="16"/>
  <c r="M13" i="16"/>
  <c r="N60" i="16"/>
  <c r="O46" i="16"/>
  <c r="P25" i="16"/>
  <c r="Q13" i="16"/>
  <c r="R60" i="16"/>
  <c r="S46" i="16"/>
  <c r="T25" i="16"/>
  <c r="U13" i="16"/>
  <c r="V60" i="16"/>
  <c r="W46" i="16"/>
  <c r="X25" i="16"/>
  <c r="Y13" i="16"/>
  <c r="Z60" i="16"/>
  <c r="AA46" i="16"/>
  <c r="AB25" i="16"/>
  <c r="AC13" i="16"/>
  <c r="AD60" i="16"/>
  <c r="AE46" i="16"/>
  <c r="AF25" i="16"/>
  <c r="AG13" i="16"/>
  <c r="AH60" i="16"/>
  <c r="AI46" i="16"/>
  <c r="AJ25" i="16"/>
  <c r="AK60" i="16"/>
  <c r="K35" i="8"/>
  <c r="N54" i="16"/>
  <c r="V54" i="16"/>
  <c r="V54" i="11" s="1"/>
  <c r="AD54" i="16"/>
  <c r="AD54" i="11" s="1"/>
  <c r="N31" i="8"/>
  <c r="R31" i="8"/>
  <c r="V31" i="8"/>
  <c r="Z31" i="8"/>
  <c r="AD31" i="8"/>
  <c r="AD35" i="38" s="1"/>
  <c r="AH31" i="8"/>
  <c r="L32" i="8"/>
  <c r="L36" i="38" s="1"/>
  <c r="O32" i="8"/>
  <c r="S32" i="8"/>
  <c r="W32" i="8"/>
  <c r="AA32" i="8"/>
  <c r="AE32" i="8"/>
  <c r="AI32" i="8"/>
  <c r="M33" i="8"/>
  <c r="Q33" i="8"/>
  <c r="J71" i="1" s="1"/>
  <c r="U33" i="8"/>
  <c r="Y33" i="8"/>
  <c r="Y37" i="38" s="1"/>
  <c r="AC33" i="8"/>
  <c r="AC23" i="38" s="1"/>
  <c r="AG33" i="8"/>
  <c r="AK33" i="8"/>
  <c r="T34" i="8"/>
  <c r="AB34" i="8"/>
  <c r="AJ34" i="8"/>
  <c r="AJ38" i="38" s="1"/>
  <c r="L35" i="8"/>
  <c r="T35" i="8"/>
  <c r="AA35" i="8"/>
  <c r="AG35" i="8"/>
  <c r="L37" i="8"/>
  <c r="T37" i="8"/>
  <c r="AD37" i="8"/>
  <c r="L75" i="16"/>
  <c r="L117" i="16" s="1"/>
  <c r="L41" i="8"/>
  <c r="L47" i="36" s="1"/>
  <c r="N34" i="8"/>
  <c r="P34" i="8"/>
  <c r="R34" i="8"/>
  <c r="Z34" i="8"/>
  <c r="AH34" i="8"/>
  <c r="O35" i="8"/>
  <c r="U35" i="8"/>
  <c r="AB35" i="8"/>
  <c r="AJ35" i="8"/>
  <c r="M36" i="8"/>
  <c r="M40" i="38" s="1"/>
  <c r="O36" i="8"/>
  <c r="Q36" i="8"/>
  <c r="S36" i="8"/>
  <c r="S40" i="38" s="1"/>
  <c r="U36" i="8"/>
  <c r="W36" i="8"/>
  <c r="Y36" i="8"/>
  <c r="AA36" i="8"/>
  <c r="AK36" i="8"/>
  <c r="M37" i="8"/>
  <c r="X37" i="8"/>
  <c r="AG37" i="8"/>
  <c r="L74" i="16"/>
  <c r="L116" i="16" s="1"/>
  <c r="L66" i="16"/>
  <c r="L47" i="15" s="1"/>
  <c r="P68" i="16"/>
  <c r="P110" i="16" s="1"/>
  <c r="P33" i="8"/>
  <c r="T33" i="8"/>
  <c r="T37" i="38" s="1"/>
  <c r="X33" i="8"/>
  <c r="AB33" i="8"/>
  <c r="AB37" i="38" s="1"/>
  <c r="AF33" i="8"/>
  <c r="AF23" i="38" s="1"/>
  <c r="AJ33" i="8"/>
  <c r="M34" i="8"/>
  <c r="O34" i="8"/>
  <c r="Q34" i="8"/>
  <c r="Q38" i="38" s="1"/>
  <c r="V34" i="8"/>
  <c r="AD34" i="8"/>
  <c r="Q35" i="8"/>
  <c r="Y35" i="8"/>
  <c r="AF35" i="8"/>
  <c r="M72" i="1" s="1"/>
  <c r="L36" i="8"/>
  <c r="N36" i="8"/>
  <c r="P36" i="8"/>
  <c r="R36" i="8"/>
  <c r="T36" i="8"/>
  <c r="V36" i="8"/>
  <c r="X36" i="8"/>
  <c r="X40" i="38" s="1"/>
  <c r="Z36" i="8"/>
  <c r="R37" i="8"/>
  <c r="AB37" i="8"/>
  <c r="L76" i="16"/>
  <c r="L57" i="15" s="1"/>
  <c r="S34" i="8"/>
  <c r="U34" i="8"/>
  <c r="W34" i="8"/>
  <c r="W38" i="38" s="1"/>
  <c r="Y34" i="8"/>
  <c r="AA34" i="8"/>
  <c r="AC34" i="8"/>
  <c r="AE34" i="8"/>
  <c r="AG34" i="8"/>
  <c r="AI34" i="8"/>
  <c r="AK34" i="8"/>
  <c r="M35" i="8"/>
  <c r="S35" i="8"/>
  <c r="X35" i="8"/>
  <c r="X39" i="38" s="1"/>
  <c r="AC35" i="8"/>
  <c r="AI35" i="8"/>
  <c r="AC36" i="8"/>
  <c r="AI36" i="8"/>
  <c r="N37" i="8"/>
  <c r="V37" i="8"/>
  <c r="AC37" i="8"/>
  <c r="AJ37" i="8"/>
  <c r="L71" i="16"/>
  <c r="L113" i="16" s="1"/>
  <c r="L68" i="16"/>
  <c r="L49" i="15" s="1"/>
  <c r="L44" i="8"/>
  <c r="L50" i="36" s="1"/>
  <c r="M76" i="16"/>
  <c r="O78" i="16"/>
  <c r="P75" i="16"/>
  <c r="P117" i="16" s="1"/>
  <c r="P67" i="16"/>
  <c r="P48" i="15" s="1"/>
  <c r="Q72" i="16"/>
  <c r="Q53" i="15" s="1"/>
  <c r="M74" i="16"/>
  <c r="O71" i="16"/>
  <c r="O113" i="16" s="1"/>
  <c r="S74" i="16"/>
  <c r="S116" i="16" s="1"/>
  <c r="M77" i="16"/>
  <c r="N74" i="16"/>
  <c r="N116" i="16" s="1"/>
  <c r="O66" i="16"/>
  <c r="O108" i="16" s="1"/>
  <c r="AK13" i="14"/>
  <c r="Q75" i="14"/>
  <c r="AG75" i="14"/>
  <c r="AK75" i="14"/>
  <c r="O12" i="14"/>
  <c r="S12" i="14"/>
  <c r="W12" i="14"/>
  <c r="AA12" i="14"/>
  <c r="AE12" i="14"/>
  <c r="AI12" i="14"/>
  <c r="L12" i="14"/>
  <c r="M74" i="14"/>
  <c r="Q74" i="14"/>
  <c r="U74" i="14"/>
  <c r="Y74" i="14"/>
  <c r="AC74" i="14"/>
  <c r="AG74" i="14"/>
  <c r="AK74" i="14"/>
  <c r="L74" i="14"/>
  <c r="N74" i="14"/>
  <c r="R74" i="14"/>
  <c r="V74" i="14"/>
  <c r="Z74" i="14"/>
  <c r="AD74" i="14"/>
  <c r="AH74" i="14"/>
  <c r="AL74" i="14"/>
  <c r="O74" i="14"/>
  <c r="S74" i="14"/>
  <c r="W74" i="14"/>
  <c r="AA74" i="14"/>
  <c r="AE74" i="14"/>
  <c r="AI74" i="14"/>
  <c r="P74" i="14"/>
  <c r="T74" i="14"/>
  <c r="X74" i="14"/>
  <c r="AB74" i="14"/>
  <c r="AF74" i="14"/>
  <c r="L71" i="14"/>
  <c r="K39" i="17" s="1"/>
  <c r="Q71" i="14"/>
  <c r="Y71" i="14"/>
  <c r="AI71" i="14"/>
  <c r="P71" i="14"/>
  <c r="X71" i="14"/>
  <c r="AE71" i="14"/>
  <c r="N71" i="14"/>
  <c r="V71" i="14"/>
  <c r="AC71" i="14"/>
  <c r="O72" i="14"/>
  <c r="S72" i="14"/>
  <c r="T72" i="14"/>
  <c r="Z72" i="14"/>
  <c r="AA72" i="14"/>
  <c r="P72" i="14"/>
  <c r="U72" i="14"/>
  <c r="AB72" i="14"/>
  <c r="AC72" i="14"/>
  <c r="AE72" i="14"/>
  <c r="AF72" i="14"/>
  <c r="M72" i="14"/>
  <c r="Q72" i="14"/>
  <c r="V72" i="14"/>
  <c r="W72" i="14"/>
  <c r="AD72" i="14"/>
  <c r="AG72" i="14"/>
  <c r="AH72" i="14"/>
  <c r="AI72" i="14"/>
  <c r="AJ72" i="14"/>
  <c r="AK72" i="14"/>
  <c r="S67" i="14"/>
  <c r="X67" i="14"/>
  <c r="AD67" i="14"/>
  <c r="AB64" i="14"/>
  <c r="N35" i="8"/>
  <c r="R35" i="8"/>
  <c r="V35" i="8"/>
  <c r="Z35" i="8"/>
  <c r="AD35" i="8"/>
  <c r="AH35" i="8"/>
  <c r="AG36" i="8"/>
  <c r="P37" i="8"/>
  <c r="U37" i="8"/>
  <c r="Z37" i="8"/>
  <c r="AF37" i="8"/>
  <c r="AK37" i="8"/>
  <c r="L78" i="16"/>
  <c r="L120" i="17" s="1"/>
  <c r="L72" i="16"/>
  <c r="L114" i="16" s="1"/>
  <c r="M78" i="16"/>
  <c r="M59" i="15" s="1"/>
  <c r="M73" i="16"/>
  <c r="M115" i="16" s="1"/>
  <c r="N78" i="16"/>
  <c r="N120" i="17" s="1"/>
  <c r="N72" i="16"/>
  <c r="N114" i="16" s="1"/>
  <c r="O76" i="16"/>
  <c r="O118" i="16" s="1"/>
  <c r="O44" i="8"/>
  <c r="P74" i="16"/>
  <c r="P116" i="16" s="1"/>
  <c r="Q77" i="16"/>
  <c r="Q119" i="17" s="1"/>
  <c r="T77" i="16"/>
  <c r="T119" i="16" s="1"/>
  <c r="T69" i="16"/>
  <c r="T111" i="17" s="1"/>
  <c r="V75" i="16"/>
  <c r="V117" i="16" s="1"/>
  <c r="M72" i="16"/>
  <c r="M69" i="16"/>
  <c r="M111" i="16" s="1"/>
  <c r="M43" i="8"/>
  <c r="M51" i="8" s="1"/>
  <c r="M44" i="8"/>
  <c r="N76" i="16"/>
  <c r="N57" i="15" s="1"/>
  <c r="N71" i="16"/>
  <c r="N113" i="16" s="1"/>
  <c r="N41" i="8"/>
  <c r="N43" i="8"/>
  <c r="O74" i="16"/>
  <c r="O55" i="15" s="1"/>
  <c r="O43" i="8"/>
  <c r="O52" i="8" s="1"/>
  <c r="P78" i="16"/>
  <c r="P59" i="15" s="1"/>
  <c r="P71" i="16"/>
  <c r="P52" i="15" s="1"/>
  <c r="P41" i="8"/>
  <c r="Q76" i="16"/>
  <c r="Q57" i="15" s="1"/>
  <c r="R74" i="16"/>
  <c r="R116" i="16" s="1"/>
  <c r="T70" i="16"/>
  <c r="T51" i="15" s="1"/>
  <c r="V67" i="16"/>
  <c r="V48" i="15" s="1"/>
  <c r="AC67" i="16"/>
  <c r="AC109" i="16" s="1"/>
  <c r="M70" i="16"/>
  <c r="M112" i="16" s="1"/>
  <c r="M68" i="16"/>
  <c r="M49" i="15" s="1"/>
  <c r="M67" i="16"/>
  <c r="M109" i="16" s="1"/>
  <c r="N75" i="16"/>
  <c r="N70" i="16"/>
  <c r="N51" i="15" s="1"/>
  <c r="N69" i="16"/>
  <c r="O72" i="16"/>
  <c r="O41" i="8"/>
  <c r="P76" i="16"/>
  <c r="P118" i="16" s="1"/>
  <c r="P70" i="16"/>
  <c r="P69" i="16"/>
  <c r="P43" i="8"/>
  <c r="P44" i="8"/>
  <c r="P66" i="16"/>
  <c r="Q74" i="16"/>
  <c r="Q69" i="16"/>
  <c r="Q111" i="17" s="1"/>
  <c r="R67" i="16"/>
  <c r="X74" i="16"/>
  <c r="AB68" i="16"/>
  <c r="AB110" i="17" s="1"/>
  <c r="AB36" i="8"/>
  <c r="AD36" i="8"/>
  <c r="AF36" i="8"/>
  <c r="AH36" i="8"/>
  <c r="AJ36" i="8"/>
  <c r="AJ40" i="38" s="1"/>
  <c r="O37" i="8"/>
  <c r="S37" i="8"/>
  <c r="W37" i="8"/>
  <c r="AA37" i="8"/>
  <c r="AE37" i="8"/>
  <c r="AI37" i="8"/>
  <c r="L77" i="16"/>
  <c r="L119" i="16" s="1"/>
  <c r="L73" i="16"/>
  <c r="L115" i="16" s="1"/>
  <c r="L69" i="16"/>
  <c r="L43" i="8"/>
  <c r="M75" i="16"/>
  <c r="M71" i="16"/>
  <c r="M41" i="8"/>
  <c r="M66" i="16"/>
  <c r="M108" i="16" s="1"/>
  <c r="N77" i="16"/>
  <c r="N73" i="16"/>
  <c r="N68" i="16"/>
  <c r="N110" i="16" s="1"/>
  <c r="N67" i="16"/>
  <c r="N48" i="15" s="1"/>
  <c r="O75" i="16"/>
  <c r="O117" i="16" s="1"/>
  <c r="O70" i="16"/>
  <c r="O51" i="15" s="1"/>
  <c r="O69" i="16"/>
  <c r="P77" i="16"/>
  <c r="P119" i="16" s="1"/>
  <c r="P73" i="16"/>
  <c r="P115" i="16" s="1"/>
  <c r="Q78" i="16"/>
  <c r="Q73" i="16"/>
  <c r="R73" i="16"/>
  <c r="R115" i="16" s="1"/>
  <c r="R68" i="16"/>
  <c r="S73" i="16"/>
  <c r="S41" i="8"/>
  <c r="S67" i="16"/>
  <c r="T75" i="16"/>
  <c r="T117" i="16" s="1"/>
  <c r="T66" i="16"/>
  <c r="U74" i="16"/>
  <c r="U116" i="16" s="1"/>
  <c r="V73" i="16"/>
  <c r="V54" i="15" s="1"/>
  <c r="V41" i="8"/>
  <c r="W77" i="16"/>
  <c r="W119" i="17" s="1"/>
  <c r="W69" i="16"/>
  <c r="Y76" i="16"/>
  <c r="Y69" i="16"/>
  <c r="Z73" i="16"/>
  <c r="Z115" i="16" s="1"/>
  <c r="AB71" i="16"/>
  <c r="Q43" i="8"/>
  <c r="Q44" i="8"/>
  <c r="R78" i="16"/>
  <c r="R59" i="15" s="1"/>
  <c r="R70" i="16"/>
  <c r="S78" i="16"/>
  <c r="S120" i="17" s="1"/>
  <c r="S71" i="16"/>
  <c r="S52" i="15" s="1"/>
  <c r="S68" i="16"/>
  <c r="S110" i="16" s="1"/>
  <c r="S66" i="16"/>
  <c r="T73" i="16"/>
  <c r="T54" i="15" s="1"/>
  <c r="T44" i="8"/>
  <c r="U78" i="16"/>
  <c r="U120" i="17" s="1"/>
  <c r="U72" i="16"/>
  <c r="U114" i="16" s="1"/>
  <c r="U69" i="16"/>
  <c r="U111" i="16" s="1"/>
  <c r="U66" i="16"/>
  <c r="U108" i="16" s="1"/>
  <c r="V72" i="16"/>
  <c r="W70" i="16"/>
  <c r="W112" i="16" s="1"/>
  <c r="Y70" i="16"/>
  <c r="Y51" i="15" s="1"/>
  <c r="Z43" i="8"/>
  <c r="AA68" i="16"/>
  <c r="AA110" i="17" s="1"/>
  <c r="AG77" i="16"/>
  <c r="AG119" i="16" s="1"/>
  <c r="Q70" i="16"/>
  <c r="Q68" i="16"/>
  <c r="Q110" i="16" s="1"/>
  <c r="Q67" i="16"/>
  <c r="R76" i="16"/>
  <c r="R118" i="16" s="1"/>
  <c r="S77" i="16"/>
  <c r="T78" i="16"/>
  <c r="T120" i="17" s="1"/>
  <c r="T71" i="16"/>
  <c r="T113" i="16" s="1"/>
  <c r="T41" i="8"/>
  <c r="T43" i="8"/>
  <c r="U77" i="16"/>
  <c r="U119" i="16" s="1"/>
  <c r="U70" i="16"/>
  <c r="U44" i="8"/>
  <c r="V77" i="16"/>
  <c r="V119" i="16" s="1"/>
  <c r="AA72" i="16"/>
  <c r="AA114" i="16" s="1"/>
  <c r="AB66" i="16"/>
  <c r="AB108" i="16" s="1"/>
  <c r="AD44" i="8"/>
  <c r="N44" i="8"/>
  <c r="N66" i="16"/>
  <c r="O77" i="16"/>
  <c r="O58" i="15" s="1"/>
  <c r="O73" i="16"/>
  <c r="O115" i="16" s="1"/>
  <c r="O68" i="16"/>
  <c r="O110" i="17" s="1"/>
  <c r="O67" i="16"/>
  <c r="P72" i="16"/>
  <c r="Q75" i="16"/>
  <c r="Q71" i="16"/>
  <c r="Q113" i="16" s="1"/>
  <c r="Q41" i="8"/>
  <c r="Q66" i="16"/>
  <c r="R77" i="16"/>
  <c r="R119" i="17" s="1"/>
  <c r="R72" i="16"/>
  <c r="R53" i="15" s="1"/>
  <c r="R69" i="16"/>
  <c r="R43" i="8"/>
  <c r="R44" i="8"/>
  <c r="R66" i="16"/>
  <c r="S75" i="16"/>
  <c r="S56" i="15" s="1"/>
  <c r="S70" i="16"/>
  <c r="S112" i="16" s="1"/>
  <c r="S69" i="16"/>
  <c r="S111" i="17" s="1"/>
  <c r="S43" i="8"/>
  <c r="S44" i="8"/>
  <c r="T74" i="16"/>
  <c r="T55" i="15" s="1"/>
  <c r="T68" i="16"/>
  <c r="T110" i="16" s="1"/>
  <c r="T67" i="16"/>
  <c r="T48" i="15" s="1"/>
  <c r="U76" i="16"/>
  <c r="U118" i="16" s="1"/>
  <c r="U71" i="16"/>
  <c r="U41" i="8"/>
  <c r="U43" i="8"/>
  <c r="V76" i="16"/>
  <c r="V71" i="16"/>
  <c r="V52" i="15" s="1"/>
  <c r="V68" i="16"/>
  <c r="V110" i="16" s="1"/>
  <c r="V66" i="16"/>
  <c r="W75" i="16"/>
  <c r="W66" i="16"/>
  <c r="X71" i="16"/>
  <c r="X113" i="16" s="1"/>
  <c r="X41" i="8"/>
  <c r="X66" i="16"/>
  <c r="Y75" i="16"/>
  <c r="Y117" i="16" s="1"/>
  <c r="Z71" i="16"/>
  <c r="Z41" i="8"/>
  <c r="Z66" i="16"/>
  <c r="Z108" i="16" s="1"/>
  <c r="AA44" i="8"/>
  <c r="AB78" i="16"/>
  <c r="AB59" i="15" s="1"/>
  <c r="AC78" i="16"/>
  <c r="AC120" i="16" s="1"/>
  <c r="AC41" i="8"/>
  <c r="AD76" i="16"/>
  <c r="W73" i="16"/>
  <c r="W54" i="15" s="1"/>
  <c r="W44" i="8"/>
  <c r="X77" i="16"/>
  <c r="X119" i="16" s="1"/>
  <c r="X70" i="16"/>
  <c r="X51" i="15" s="1"/>
  <c r="X69" i="16"/>
  <c r="X111" i="17" s="1"/>
  <c r="X43" i="8"/>
  <c r="X44" i="8"/>
  <c r="Y74" i="16"/>
  <c r="Z77" i="16"/>
  <c r="Z70" i="16"/>
  <c r="Z112" i="16" s="1"/>
  <c r="AB74" i="16"/>
  <c r="AB116" i="16" s="1"/>
  <c r="AC74" i="16"/>
  <c r="AH74" i="16"/>
  <c r="AH116" i="16" s="1"/>
  <c r="W78" i="16"/>
  <c r="W120" i="17" s="1"/>
  <c r="W71" i="16"/>
  <c r="W52" i="15" s="1"/>
  <c r="W41" i="8"/>
  <c r="W43" i="8"/>
  <c r="X75" i="16"/>
  <c r="X117" i="16" s="1"/>
  <c r="X68" i="16"/>
  <c r="X67" i="16"/>
  <c r="X48" i="15" s="1"/>
  <c r="Y78" i="16"/>
  <c r="Y59" i="15" s="1"/>
  <c r="Y71" i="16"/>
  <c r="Y52" i="15" s="1"/>
  <c r="Y41" i="8"/>
  <c r="Y43" i="8"/>
  <c r="Z76" i="16"/>
  <c r="Z118" i="16" s="1"/>
  <c r="AA74" i="16"/>
  <c r="AA116" i="16" s="1"/>
  <c r="AA41" i="8"/>
  <c r="AB72" i="16"/>
  <c r="AB53" i="15" s="1"/>
  <c r="AB41" i="8"/>
  <c r="AB67" i="16"/>
  <c r="AB109" i="16" s="1"/>
  <c r="AE72" i="16"/>
  <c r="AE53" i="15" s="1"/>
  <c r="AG69" i="16"/>
  <c r="AG111" i="16" s="1"/>
  <c r="R75" i="16"/>
  <c r="R56" i="15" s="1"/>
  <c r="R71" i="16"/>
  <c r="R113" i="16" s="1"/>
  <c r="R41" i="8"/>
  <c r="S76" i="16"/>
  <c r="S118" i="16" s="1"/>
  <c r="S72" i="16"/>
  <c r="T76" i="16"/>
  <c r="T118" i="17" s="1"/>
  <c r="T72" i="16"/>
  <c r="T114" i="16" s="1"/>
  <c r="U73" i="16"/>
  <c r="U68" i="16"/>
  <c r="U67" i="16"/>
  <c r="U109" i="16" s="1"/>
  <c r="V78" i="16"/>
  <c r="V120" i="17" s="1"/>
  <c r="V74" i="16"/>
  <c r="V116" i="16" s="1"/>
  <c r="V70" i="16"/>
  <c r="V69" i="16"/>
  <c r="V111" i="16" s="1"/>
  <c r="V43" i="8"/>
  <c r="W74" i="16"/>
  <c r="W68" i="16"/>
  <c r="W67" i="16"/>
  <c r="W109" i="16" s="1"/>
  <c r="X78" i="16"/>
  <c r="X120" i="16" s="1"/>
  <c r="X73" i="16"/>
  <c r="X115" i="16" s="1"/>
  <c r="Y77" i="16"/>
  <c r="Y119" i="17" s="1"/>
  <c r="Y72" i="16"/>
  <c r="Y114" i="16" s="1"/>
  <c r="Y44" i="8"/>
  <c r="Z75" i="16"/>
  <c r="Z117" i="16" s="1"/>
  <c r="AA75" i="16"/>
  <c r="AA117" i="16" s="1"/>
  <c r="AB77" i="16"/>
  <c r="AB119" i="17" s="1"/>
  <c r="AC72" i="16"/>
  <c r="AC114" i="16" s="1"/>
  <c r="AC68" i="16"/>
  <c r="AC66" i="16"/>
  <c r="AC47" i="15" s="1"/>
  <c r="AD74" i="16"/>
  <c r="AD116" i="16" s="1"/>
  <c r="AD43" i="8"/>
  <c r="AF78" i="16"/>
  <c r="AF59" i="15" s="1"/>
  <c r="AG71" i="16"/>
  <c r="AG113" i="16" s="1"/>
  <c r="AI78" i="16"/>
  <c r="AI120" i="16" s="1"/>
  <c r="AD78" i="16"/>
  <c r="AD120" i="17" s="1"/>
  <c r="AD73" i="16"/>
  <c r="AD41" i="8"/>
  <c r="AF72" i="16"/>
  <c r="AF114" i="16" s="1"/>
  <c r="AJ71" i="16"/>
  <c r="AJ113" i="16" s="1"/>
  <c r="AC75" i="16"/>
  <c r="AC117" i="16" s="1"/>
  <c r="AD77" i="16"/>
  <c r="AD58" i="15" s="1"/>
  <c r="AD71" i="16"/>
  <c r="AE78" i="16"/>
  <c r="AE59" i="15" s="1"/>
  <c r="AF66" i="16"/>
  <c r="AG43" i="8"/>
  <c r="V44" i="8"/>
  <c r="W76" i="16"/>
  <c r="W118" i="17" s="1"/>
  <c r="W72" i="16"/>
  <c r="X76" i="16"/>
  <c r="X118" i="16" s="1"/>
  <c r="X72" i="16"/>
  <c r="X53" i="15" s="1"/>
  <c r="Y73" i="16"/>
  <c r="Y54" i="15" s="1"/>
  <c r="Y68" i="16"/>
  <c r="Y110" i="16" s="1"/>
  <c r="Y67" i="16"/>
  <c r="Y109" i="16" s="1"/>
  <c r="Z78" i="16"/>
  <c r="Z120" i="16" s="1"/>
  <c r="Z74" i="16"/>
  <c r="Z116" i="16" s="1"/>
  <c r="Z69" i="16"/>
  <c r="Z67" i="16"/>
  <c r="Z109" i="16" s="1"/>
  <c r="AA77" i="16"/>
  <c r="AA119" i="16" s="1"/>
  <c r="AA71" i="16"/>
  <c r="AA43" i="8"/>
  <c r="AB75" i="16"/>
  <c r="AB56" i="15" s="1"/>
  <c r="AB70" i="16"/>
  <c r="AB51" i="15" s="1"/>
  <c r="AB43" i="8"/>
  <c r="AB44" i="8"/>
  <c r="AC76" i="16"/>
  <c r="AC57" i="15" s="1"/>
  <c r="AC71" i="16"/>
  <c r="AC52" i="15" s="1"/>
  <c r="AC69" i="16"/>
  <c r="AC43" i="8"/>
  <c r="AC44" i="8"/>
  <c r="AD75" i="16"/>
  <c r="AD56" i="15" s="1"/>
  <c r="AD70" i="16"/>
  <c r="AD112" i="16" s="1"/>
  <c r="AD69" i="16"/>
  <c r="AD67" i="16"/>
  <c r="AD109" i="16" s="1"/>
  <c r="AE76" i="16"/>
  <c r="AE118" i="16" s="1"/>
  <c r="AE71" i="16"/>
  <c r="AE52" i="15" s="1"/>
  <c r="AE69" i="16"/>
  <c r="AE111" i="17" s="1"/>
  <c r="AE43" i="8"/>
  <c r="AF76" i="16"/>
  <c r="AF57" i="15" s="1"/>
  <c r="AF71" i="16"/>
  <c r="AF44" i="8"/>
  <c r="AG75" i="16"/>
  <c r="AG117" i="16" s="1"/>
  <c r="AG68" i="16"/>
  <c r="AG110" i="16" s="1"/>
  <c r="AG44" i="8"/>
  <c r="AH73" i="16"/>
  <c r="AH115" i="16" s="1"/>
  <c r="AI75" i="16"/>
  <c r="AI117" i="16" s="1"/>
  <c r="AI68" i="16"/>
  <c r="AI66" i="16"/>
  <c r="AI47" i="15" s="1"/>
  <c r="AJ66" i="16"/>
  <c r="AJ108" i="16" s="1"/>
  <c r="AK76" i="16"/>
  <c r="AK57" i="15" s="1"/>
  <c r="AE75" i="16"/>
  <c r="AE70" i="16"/>
  <c r="AE112" i="16" s="1"/>
  <c r="AE68" i="16"/>
  <c r="AE110" i="16" s="1"/>
  <c r="AE44" i="8"/>
  <c r="AF75" i="16"/>
  <c r="AF56" i="15" s="1"/>
  <c r="AF70" i="16"/>
  <c r="AF69" i="16"/>
  <c r="AF111" i="16" s="1"/>
  <c r="AF43" i="8"/>
  <c r="AG73" i="16"/>
  <c r="AG67" i="16"/>
  <c r="AG48" i="15" s="1"/>
  <c r="AG66" i="16"/>
  <c r="AH78" i="16"/>
  <c r="AH120" i="17" s="1"/>
  <c r="AH72" i="16"/>
  <c r="AH69" i="16"/>
  <c r="AH67" i="16"/>
  <c r="AH109" i="16" s="1"/>
  <c r="AI71" i="16"/>
  <c r="AI52" i="15" s="1"/>
  <c r="AI44" i="8"/>
  <c r="AE73" i="16"/>
  <c r="AE67" i="16"/>
  <c r="AE109" i="16" s="1"/>
  <c r="AE66" i="16"/>
  <c r="AE47" i="15" s="1"/>
  <c r="AF73" i="16"/>
  <c r="AF115" i="16" s="1"/>
  <c r="AF68" i="16"/>
  <c r="AF110" i="16" s="1"/>
  <c r="AG78" i="16"/>
  <c r="AG72" i="16"/>
  <c r="AG41" i="8"/>
  <c r="AH76" i="16"/>
  <c r="AH118" i="16" s="1"/>
  <c r="AH70" i="16"/>
  <c r="AH112" i="16" s="1"/>
  <c r="AH68" i="16"/>
  <c r="AJ76" i="16"/>
  <c r="AJ118" i="16" s="1"/>
  <c r="Z72" i="16"/>
  <c r="Z114" i="16" s="1"/>
  <c r="Z68" i="16"/>
  <c r="Z110" i="17" s="1"/>
  <c r="Z44" i="8"/>
  <c r="AA78" i="16"/>
  <c r="AA120" i="16" s="1"/>
  <c r="AA76" i="16"/>
  <c r="AA57" i="15" s="1"/>
  <c r="AA73" i="16"/>
  <c r="AA70" i="16"/>
  <c r="AA112" i="16" s="1"/>
  <c r="AA69" i="16"/>
  <c r="AA50" i="15" s="1"/>
  <c r="AA67" i="16"/>
  <c r="AA109" i="16" s="1"/>
  <c r="AA66" i="16"/>
  <c r="AB76" i="16"/>
  <c r="AB118" i="16" s="1"/>
  <c r="AB73" i="16"/>
  <c r="AB54" i="15" s="1"/>
  <c r="AB69" i="16"/>
  <c r="AC77" i="16"/>
  <c r="AC73" i="16"/>
  <c r="AC115" i="16" s="1"/>
  <c r="AC70" i="16"/>
  <c r="AC112" i="16" s="1"/>
  <c r="AD72" i="16"/>
  <c r="AD114" i="16" s="1"/>
  <c r="AD68" i="16"/>
  <c r="AD110" i="16" s="1"/>
  <c r="AD66" i="16"/>
  <c r="AE77" i="16"/>
  <c r="AE119" i="16" s="1"/>
  <c r="AE74" i="16"/>
  <c r="AE41" i="8"/>
  <c r="AF77" i="16"/>
  <c r="AF119" i="17" s="1"/>
  <c r="AF74" i="16"/>
  <c r="AF116" i="16" s="1"/>
  <c r="AF41" i="8"/>
  <c r="AF67" i="16"/>
  <c r="AF109" i="16" s="1"/>
  <c r="AG76" i="16"/>
  <c r="AG118" i="17" s="1"/>
  <c r="AG74" i="16"/>
  <c r="AG116" i="16" s="1"/>
  <c r="AG70" i="16"/>
  <c r="AG112" i="16" s="1"/>
  <c r="AH77" i="16"/>
  <c r="AH58" i="15" s="1"/>
  <c r="AH75" i="16"/>
  <c r="AH117" i="16" s="1"/>
  <c r="AH71" i="16"/>
  <c r="AH41" i="8"/>
  <c r="AH44" i="8"/>
  <c r="AI74" i="16"/>
  <c r="AI116" i="16" s="1"/>
  <c r="AI41" i="8"/>
  <c r="AI67" i="16"/>
  <c r="AI109" i="16" s="1"/>
  <c r="AJ78" i="16"/>
  <c r="AJ120" i="16" s="1"/>
  <c r="AJ75" i="16"/>
  <c r="AJ56" i="15" s="1"/>
  <c r="AJ69" i="16"/>
  <c r="AJ111" i="16" s="1"/>
  <c r="AK74" i="16"/>
  <c r="AK55" i="15" s="1"/>
  <c r="AK44" i="8"/>
  <c r="AH66" i="16"/>
  <c r="AH108" i="16" s="1"/>
  <c r="AI77" i="16"/>
  <c r="AI73" i="16"/>
  <c r="AI115" i="16" s="1"/>
  <c r="AI70" i="16"/>
  <c r="AI112" i="16" s="1"/>
  <c r="AI69" i="16"/>
  <c r="AJ74" i="16"/>
  <c r="AJ68" i="16"/>
  <c r="AJ67" i="16"/>
  <c r="AJ109" i="16" s="1"/>
  <c r="AK71" i="16"/>
  <c r="AK113" i="16" s="1"/>
  <c r="AK41" i="8"/>
  <c r="AK43" i="8"/>
  <c r="AH43" i="8"/>
  <c r="AH54" i="36" s="1"/>
  <c r="AI76" i="16"/>
  <c r="AI118" i="16" s="1"/>
  <c r="AI72" i="16"/>
  <c r="AI43" i="8"/>
  <c r="AJ77" i="16"/>
  <c r="AJ119" i="16" s="1"/>
  <c r="AJ73" i="16"/>
  <c r="AJ115" i="16" s="1"/>
  <c r="AJ41" i="8"/>
  <c r="AK75" i="16"/>
  <c r="AK66" i="16"/>
  <c r="AK77" i="16"/>
  <c r="AK119" i="16" s="1"/>
  <c r="AK73" i="16"/>
  <c r="AK115" i="16" s="1"/>
  <c r="AK68" i="16"/>
  <c r="AK110" i="16" s="1"/>
  <c r="AK67" i="16"/>
  <c r="AK109" i="16" s="1"/>
  <c r="AJ72" i="16"/>
  <c r="AJ70" i="16"/>
  <c r="AJ112" i="16" s="1"/>
  <c r="AJ43" i="8"/>
  <c r="AJ44" i="8"/>
  <c r="AK78" i="16"/>
  <c r="AK120" i="17" s="1"/>
  <c r="AK72" i="16"/>
  <c r="AK114" i="16" s="1"/>
  <c r="AK70" i="16"/>
  <c r="C131" i="2"/>
  <c r="L11" i="14"/>
  <c r="N11" i="14"/>
  <c r="B103" i="16"/>
  <c r="B104" i="16"/>
  <c r="AC70" i="18"/>
  <c r="M11" i="14"/>
  <c r="AC21" i="14"/>
  <c r="Y67" i="18"/>
  <c r="AK24" i="14"/>
  <c r="T24" i="14"/>
  <c r="X21" i="14"/>
  <c r="AE24" i="14"/>
  <c r="D104" i="16"/>
  <c r="Y104" i="16"/>
  <c r="Y103" i="16"/>
  <c r="I52" i="11"/>
  <c r="I104" i="16"/>
  <c r="I103" i="16"/>
  <c r="L103" i="16"/>
  <c r="F52" i="11"/>
  <c r="F104" i="16"/>
  <c r="F103" i="16"/>
  <c r="E52" i="11"/>
  <c r="E103" i="16"/>
  <c r="E104" i="16"/>
  <c r="K104" i="16"/>
  <c r="K103" i="16"/>
  <c r="AE104" i="16"/>
  <c r="AE103" i="16"/>
  <c r="H52" i="11"/>
  <c r="H104" i="16"/>
  <c r="H103" i="16"/>
  <c r="O104" i="16"/>
  <c r="O103" i="16"/>
  <c r="AB103" i="16"/>
  <c r="AB104" i="16"/>
  <c r="V71" i="18"/>
  <c r="K35" i="11"/>
  <c r="J35" i="11"/>
  <c r="AA35" i="11"/>
  <c r="Y35" i="11"/>
  <c r="F51" i="8"/>
  <c r="H52" i="8"/>
  <c r="H51" i="8"/>
  <c r="J51" i="8"/>
  <c r="E114" i="49"/>
  <c r="E141" i="49"/>
  <c r="E189" i="49"/>
  <c r="E183" i="49" s="1"/>
  <c r="K56" i="11"/>
  <c r="AI38" i="38"/>
  <c r="AE12" i="17"/>
  <c r="AE12" i="18" s="1"/>
  <c r="R42" i="11"/>
  <c r="P57" i="11"/>
  <c r="S56" i="11"/>
  <c r="T56" i="17"/>
  <c r="T56" i="18" s="1"/>
  <c r="AH44" i="11"/>
  <c r="AH19" i="17"/>
  <c r="AH19" i="18" s="1"/>
  <c r="AA59" i="17"/>
  <c r="L42" i="17"/>
  <c r="L42" i="11"/>
  <c r="P41" i="17"/>
  <c r="P41" i="18" s="1"/>
  <c r="AH30" i="17"/>
  <c r="AH30" i="18" s="1"/>
  <c r="K42" i="11"/>
  <c r="S42" i="11"/>
  <c r="AA30" i="17"/>
  <c r="AA30" i="18" s="1"/>
  <c r="AJ41" i="11"/>
  <c r="AE42" i="17"/>
  <c r="AE42" i="18" s="1"/>
  <c r="AF32" i="11"/>
  <c r="R18" i="11"/>
  <c r="X41" i="17"/>
  <c r="X41" i="18" s="1"/>
  <c r="R10" i="11"/>
  <c r="AE22" i="11"/>
  <c r="Z11" i="11"/>
  <c r="AI17" i="11"/>
  <c r="Q24" i="11"/>
  <c r="L18" i="17"/>
  <c r="L18" i="11"/>
  <c r="Z29" i="11"/>
  <c r="AC8" i="11"/>
  <c r="AC41" i="17"/>
  <c r="AC41" i="18" s="1"/>
  <c r="AI41" i="17"/>
  <c r="AI41" i="18" s="1"/>
  <c r="H36" i="11"/>
  <c r="C35" i="11"/>
  <c r="P36" i="11"/>
  <c r="AJ30" i="17"/>
  <c r="AJ30" i="18" s="1"/>
  <c r="U19" i="11"/>
  <c r="AH18" i="17"/>
  <c r="AH18" i="18" s="1"/>
  <c r="AF30" i="17"/>
  <c r="AF30" i="18" s="1"/>
  <c r="N33" i="11"/>
  <c r="AA32" i="11"/>
  <c r="AC44" i="17"/>
  <c r="AC44" i="18" s="1"/>
  <c r="R17" i="11"/>
  <c r="AE21" i="11"/>
  <c r="O7" i="38"/>
  <c r="T17" i="11"/>
  <c r="S12" i="11"/>
  <c r="AA12" i="11"/>
  <c r="X8" i="11"/>
  <c r="V9" i="11"/>
  <c r="W22" i="11"/>
  <c r="L31" i="11"/>
  <c r="N30" i="11"/>
  <c r="L10" i="11"/>
  <c r="U11" i="11"/>
  <c r="Y22" i="11"/>
  <c r="P59" i="18"/>
  <c r="Y31" i="11"/>
  <c r="Z23" i="17"/>
  <c r="Z23" i="18" s="1"/>
  <c r="AA20" i="11"/>
  <c r="U30" i="17"/>
  <c r="U30" i="18" s="1"/>
  <c r="X45" i="17"/>
  <c r="X45" i="18" s="1"/>
  <c r="K11" i="11"/>
  <c r="T44" i="17"/>
  <c r="T44" i="18" s="1"/>
  <c r="Z9" i="17"/>
  <c r="Z9" i="18" s="1"/>
  <c r="L20" i="11"/>
  <c r="K9" i="11"/>
  <c r="K8" i="11"/>
  <c r="H24" i="11"/>
  <c r="H22" i="11"/>
  <c r="AK11" i="11"/>
  <c r="K45" i="11"/>
  <c r="L17" i="11"/>
  <c r="K19" i="11"/>
  <c r="I22" i="11"/>
  <c r="I24" i="11"/>
  <c r="AK18" i="17"/>
  <c r="AK18" i="18" s="1"/>
  <c r="K24" i="11"/>
  <c r="K22" i="11"/>
  <c r="B24" i="11"/>
  <c r="L52" i="11"/>
  <c r="O52" i="11"/>
  <c r="AB52" i="11"/>
  <c r="AE52" i="11"/>
  <c r="Y52" i="11"/>
  <c r="P54" i="11"/>
  <c r="K52" i="11"/>
  <c r="R52" i="11"/>
  <c r="R37" i="38"/>
  <c r="AL21" i="14"/>
  <c r="Z21" i="14"/>
  <c r="AL24" i="14"/>
  <c r="U24" i="14"/>
  <c r="AJ24" i="14"/>
  <c r="V21" i="14"/>
  <c r="M21" i="14"/>
  <c r="K28" i="15"/>
  <c r="K38" i="15"/>
  <c r="K11" i="15"/>
  <c r="K11" i="36" s="1"/>
  <c r="K18" i="15"/>
  <c r="K28" i="36"/>
  <c r="H29" i="11"/>
  <c r="J29" i="11"/>
  <c r="Z31" i="11"/>
  <c r="AG41" i="11"/>
  <c r="AI9" i="17"/>
  <c r="AI9" i="18" s="1"/>
  <c r="AG10" i="11"/>
  <c r="L41" i="11"/>
  <c r="K41" i="11"/>
  <c r="AA57" i="11"/>
  <c r="V57" i="11"/>
  <c r="AB55" i="11"/>
  <c r="AB50" i="11"/>
  <c r="D59" i="11"/>
  <c r="S86" i="14"/>
  <c r="AJ88" i="17"/>
  <c r="V88" i="17"/>
  <c r="N88" i="17"/>
  <c r="S88" i="17"/>
  <c r="W88" i="17"/>
  <c r="P88" i="17"/>
  <c r="AC88" i="17"/>
  <c r="AG88" i="17"/>
  <c r="T88" i="17"/>
  <c r="X88" i="17"/>
  <c r="Q88" i="17"/>
  <c r="Z88" i="17"/>
  <c r="AD88" i="17"/>
  <c r="AH88" i="17"/>
  <c r="K88" i="17"/>
  <c r="AK88" i="17"/>
  <c r="AA88" i="17"/>
  <c r="AI88" i="17"/>
  <c r="L88" i="17"/>
  <c r="M88" i="17"/>
  <c r="AB88" i="17"/>
  <c r="O88" i="17"/>
  <c r="U88" i="17"/>
  <c r="AE88" i="17"/>
  <c r="Y88" i="17"/>
  <c r="AF88" i="17"/>
  <c r="R88" i="17"/>
  <c r="P113" i="16"/>
  <c r="E29" i="11"/>
  <c r="M75" i="14"/>
  <c r="AF81" i="14"/>
  <c r="X81" i="14"/>
  <c r="T81" i="14"/>
  <c r="Y81" i="14"/>
  <c r="AL81" i="14"/>
  <c r="V81" i="14"/>
  <c r="AI81" i="14"/>
  <c r="S81" i="14"/>
  <c r="R67" i="18" s="1"/>
  <c r="AJ81" i="14"/>
  <c r="AK81" i="14"/>
  <c r="U81" i="14"/>
  <c r="AH81" i="14"/>
  <c r="R81" i="14"/>
  <c r="AE81" i="14"/>
  <c r="O81" i="14"/>
  <c r="AE63" i="14"/>
  <c r="AF63" i="14"/>
  <c r="P63" i="14"/>
  <c r="Y63" i="14"/>
  <c r="AL63" i="14"/>
  <c r="V63" i="14"/>
  <c r="AI63" i="14"/>
  <c r="AB63" i="14"/>
  <c r="AK63" i="14"/>
  <c r="U63" i="14"/>
  <c r="AH63" i="14"/>
  <c r="R63" i="14"/>
  <c r="T69" i="14"/>
  <c r="AK69" i="14"/>
  <c r="W69" i="14"/>
  <c r="AI69" i="14"/>
  <c r="N69" i="14"/>
  <c r="AE69" i="14"/>
  <c r="O69" i="14"/>
  <c r="V69" i="14"/>
  <c r="AF69" i="14"/>
  <c r="R69" i="14"/>
  <c r="AB69" i="14"/>
  <c r="L69" i="14"/>
  <c r="Z69" i="14"/>
  <c r="M69" i="14"/>
  <c r="AA69" i="14"/>
  <c r="AE76" i="14"/>
  <c r="Z76" i="14"/>
  <c r="L76" i="14"/>
  <c r="U76" i="14"/>
  <c r="AJ76" i="14"/>
  <c r="P76" i="14"/>
  <c r="M76" i="14"/>
  <c r="AB76" i="14"/>
  <c r="W76" i="14"/>
  <c r="AL76" i="14"/>
  <c r="U84" i="14"/>
  <c r="T70" i="18" s="1"/>
  <c r="AC84" i="14"/>
  <c r="AB70" i="18" s="1"/>
  <c r="T84" i="14"/>
  <c r="AK84" i="14"/>
  <c r="W84" i="14"/>
  <c r="AA84" i="14"/>
  <c r="Z70" i="18" s="1"/>
  <c r="P84" i="14"/>
  <c r="AF84" i="14"/>
  <c r="M84" i="14"/>
  <c r="V84" i="14"/>
  <c r="AL84" i="14"/>
  <c r="L84" i="14"/>
  <c r="X84" i="14"/>
  <c r="AB84" i="14"/>
  <c r="Q84" i="14"/>
  <c r="M64" i="14"/>
  <c r="Y72" i="14"/>
  <c r="L72" i="14"/>
  <c r="AH99" i="14"/>
  <c r="AH100" i="14" s="1"/>
  <c r="V99" i="14"/>
  <c r="V100" i="14" s="1"/>
  <c r="AG99" i="14"/>
  <c r="AG100" i="14" s="1"/>
  <c r="AF99" i="14"/>
  <c r="AF100" i="14" s="1"/>
  <c r="T99" i="14"/>
  <c r="T100" i="14" s="1"/>
  <c r="O99" i="14"/>
  <c r="O100" i="14" s="1"/>
  <c r="AD99" i="14"/>
  <c r="AD100" i="14" s="1"/>
  <c r="AC99" i="14"/>
  <c r="AC100" i="14" s="1"/>
  <c r="U99" i="14"/>
  <c r="U100" i="14" s="1"/>
  <c r="M99" i="14"/>
  <c r="M100" i="14" s="1"/>
  <c r="AB99" i="14"/>
  <c r="AB100" i="14" s="1"/>
  <c r="AI99" i="14"/>
  <c r="AI100" i="14" s="1"/>
  <c r="L55" i="15"/>
  <c r="X24" i="14" l="1"/>
  <c r="AC24" i="14"/>
  <c r="L24" i="14"/>
  <c r="M24" i="14"/>
  <c r="AF21" i="14"/>
  <c r="AD21" i="14"/>
  <c r="AC34" i="15" s="1"/>
  <c r="AC34" i="36" s="1"/>
  <c r="AA21" i="14"/>
  <c r="Z34" i="15" s="1"/>
  <c r="AB21" i="14"/>
  <c r="AA34" i="15" s="1"/>
  <c r="AG21" i="14"/>
  <c r="N21" i="14"/>
  <c r="M34" i="15" s="1"/>
  <c r="M34" i="36" s="1"/>
  <c r="S21" i="14"/>
  <c r="R34" i="15" s="1"/>
  <c r="R34" i="36" s="1"/>
  <c r="AI21" i="14"/>
  <c r="AH34" i="15" s="1"/>
  <c r="AH34" i="36" s="1"/>
  <c r="AK21" i="14"/>
  <c r="P21" i="14"/>
  <c r="O21" i="14"/>
  <c r="R21" i="14"/>
  <c r="Q34" i="15" s="1"/>
  <c r="Q34" i="36" s="1"/>
  <c r="K73" i="1" s="1"/>
  <c r="T21" i="14"/>
  <c r="AH21" i="14"/>
  <c r="AG34" i="15" s="1"/>
  <c r="AG34" i="36" s="1"/>
  <c r="U21" i="14"/>
  <c r="T34" i="15" s="1"/>
  <c r="T34" i="36" s="1"/>
  <c r="AJ21" i="14"/>
  <c r="AI34" i="15" s="1"/>
  <c r="AI34" i="36" s="1"/>
  <c r="W21" i="14"/>
  <c r="AE21" i="14"/>
  <c r="AD34" i="15" s="1"/>
  <c r="Q21" i="14"/>
  <c r="L21" i="14"/>
  <c r="K34" i="15" s="1"/>
  <c r="D24" i="11"/>
  <c r="J22" i="11"/>
  <c r="K29" i="11"/>
  <c r="AJ24" i="11"/>
  <c r="N72" i="18"/>
  <c r="AJ70" i="18"/>
  <c r="Q67" i="18"/>
  <c r="AK70" i="18"/>
  <c r="X67" i="18"/>
  <c r="U70" i="18"/>
  <c r="N67" i="18"/>
  <c r="V124" i="11"/>
  <c r="L112" i="17"/>
  <c r="T52" i="11"/>
  <c r="G103" i="16"/>
  <c r="D103" i="16"/>
  <c r="Y75" i="14"/>
  <c r="N53" i="15"/>
  <c r="Y64" i="14"/>
  <c r="G52" i="11"/>
  <c r="T103" i="16"/>
  <c r="AK64" i="14"/>
  <c r="U75" i="14"/>
  <c r="K28" i="38"/>
  <c r="O69" i="18"/>
  <c r="O91" i="14"/>
  <c r="O94" i="14" s="1"/>
  <c r="V91" i="14"/>
  <c r="V94" i="14" s="1"/>
  <c r="P83" i="14"/>
  <c r="AJ99" i="14"/>
  <c r="AJ100" i="14" s="1"/>
  <c r="T83" i="14"/>
  <c r="R70" i="14"/>
  <c r="AC64" i="14"/>
  <c r="L7" i="38"/>
  <c r="K8" i="38"/>
  <c r="K15" i="38"/>
  <c r="N91" i="14"/>
  <c r="N94" i="14" s="1"/>
  <c r="X82" i="14"/>
  <c r="W68" i="18" s="1"/>
  <c r="P64" i="14"/>
  <c r="AJ67" i="18"/>
  <c r="U67" i="18"/>
  <c r="L110" i="16"/>
  <c r="L89" i="17"/>
  <c r="L90" i="17" s="1"/>
  <c r="U86" i="14"/>
  <c r="T72" i="18" s="1"/>
  <c r="W41" i="11"/>
  <c r="W45" i="11"/>
  <c r="AK56" i="17"/>
  <c r="AK56" i="18" s="1"/>
  <c r="K16" i="38"/>
  <c r="F24" i="11"/>
  <c r="V17" i="38"/>
  <c r="AG22" i="11"/>
  <c r="AG12" i="17"/>
  <c r="AG12" i="18" s="1"/>
  <c r="X44" i="17"/>
  <c r="X44" i="18" s="1"/>
  <c r="AF42" i="17"/>
  <c r="AF42" i="18" s="1"/>
  <c r="AH16" i="38"/>
  <c r="AB42" i="11"/>
  <c r="AH12" i="11"/>
  <c r="L59" i="11"/>
  <c r="K51" i="8"/>
  <c r="AH64" i="14"/>
  <c r="AC75" i="14"/>
  <c r="W37" i="38"/>
  <c r="M15" i="38"/>
  <c r="P73" i="11"/>
  <c r="L73" i="11"/>
  <c r="AA71" i="18"/>
  <c r="X64" i="14"/>
  <c r="T82" i="14"/>
  <c r="AB70" i="14"/>
  <c r="AA33" i="17" s="1"/>
  <c r="AA33" i="18" s="1"/>
  <c r="Z39" i="17"/>
  <c r="Z39" i="18" s="1"/>
  <c r="AI23" i="15"/>
  <c r="AI23" i="36" s="1"/>
  <c r="K30" i="11"/>
  <c r="V22" i="11"/>
  <c r="L44" i="17"/>
  <c r="V30" i="17"/>
  <c r="V30" i="18" s="1"/>
  <c r="R9" i="11"/>
  <c r="O18" i="11"/>
  <c r="AI12" i="11"/>
  <c r="Q42" i="11"/>
  <c r="AC59" i="17"/>
  <c r="AC60" i="10" s="1"/>
  <c r="AF56" i="17"/>
  <c r="AF56" i="18" s="1"/>
  <c r="L19" i="11"/>
  <c r="O56" i="17"/>
  <c r="O56" i="18" s="1"/>
  <c r="Q30" i="17"/>
  <c r="Q30" i="18" s="1"/>
  <c r="M31" i="38"/>
  <c r="AJ24" i="38"/>
  <c r="T30" i="11"/>
  <c r="U23" i="17"/>
  <c r="U23" i="18" s="1"/>
  <c r="N40" i="11"/>
  <c r="AJ23" i="11"/>
  <c r="P59" i="11"/>
  <c r="AG37" i="38"/>
  <c r="AE18" i="38"/>
  <c r="T7" i="38"/>
  <c r="V28" i="38"/>
  <c r="O64" i="14"/>
  <c r="T64" i="14"/>
  <c r="AF64" i="14"/>
  <c r="V70" i="18"/>
  <c r="AD67" i="18"/>
  <c r="AL75" i="14"/>
  <c r="AC86" i="14"/>
  <c r="AB72" i="18" s="1"/>
  <c r="L86" i="14"/>
  <c r="G61" i="16"/>
  <c r="E52" i="8"/>
  <c r="J103" i="16"/>
  <c r="Z104" i="16"/>
  <c r="AD64" i="14"/>
  <c r="AG64" i="14"/>
  <c r="AJ75" i="14"/>
  <c r="AF75" i="14"/>
  <c r="AB75" i="14"/>
  <c r="X75" i="14"/>
  <c r="T75" i="14"/>
  <c r="P75" i="14"/>
  <c r="AE82" i="14"/>
  <c r="U64" i="14"/>
  <c r="AI86" i="14"/>
  <c r="AH72" i="18" s="1"/>
  <c r="I61" i="16"/>
  <c r="J52" i="11"/>
  <c r="Z64" i="14"/>
  <c r="AI64" i="14"/>
  <c r="AI75" i="14"/>
  <c r="AE75" i="14"/>
  <c r="AA75" i="14"/>
  <c r="W75" i="14"/>
  <c r="S75" i="14"/>
  <c r="O75" i="14"/>
  <c r="S42" i="38"/>
  <c r="W70" i="14"/>
  <c r="AH82" i="14"/>
  <c r="Q70" i="14"/>
  <c r="P33" i="17" s="1"/>
  <c r="P33" i="18" s="1"/>
  <c r="R82" i="14"/>
  <c r="Q68" i="18" s="1"/>
  <c r="S82" i="14"/>
  <c r="R68" i="18" s="1"/>
  <c r="R64" i="14"/>
  <c r="AL64" i="14"/>
  <c r="V86" i="14"/>
  <c r="U72" i="18" s="1"/>
  <c r="T124" i="11"/>
  <c r="U124" i="11"/>
  <c r="S124" i="11"/>
  <c r="L64" i="14"/>
  <c r="AE64" i="14"/>
  <c r="S70" i="18"/>
  <c r="L75" i="14"/>
  <c r="AB86" i="14"/>
  <c r="AA72" i="18" s="1"/>
  <c r="D61" i="16"/>
  <c r="Z52" i="11"/>
  <c r="L23" i="17"/>
  <c r="AA56" i="11"/>
  <c r="H61" i="16"/>
  <c r="V64" i="14"/>
  <c r="AJ64" i="14"/>
  <c r="AH75" i="14"/>
  <c r="AD75" i="14"/>
  <c r="Z75" i="14"/>
  <c r="V75" i="14"/>
  <c r="R75" i="14"/>
  <c r="AG71" i="18"/>
  <c r="B43" i="11"/>
  <c r="U70" i="14"/>
  <c r="T33" i="17" s="1"/>
  <c r="T33" i="18" s="1"/>
  <c r="L70" i="14"/>
  <c r="K33" i="17" s="1"/>
  <c r="AD82" i="14"/>
  <c r="AC68" i="18" s="1"/>
  <c r="O92" i="10"/>
  <c r="B104" i="11"/>
  <c r="B116" i="11"/>
  <c r="B117" i="11" s="1"/>
  <c r="D43" i="11"/>
  <c r="P70" i="18"/>
  <c r="O70" i="18"/>
  <c r="AG67" i="18"/>
  <c r="T67" i="18"/>
  <c r="R72" i="18"/>
  <c r="F43" i="11"/>
  <c r="AE94" i="11"/>
  <c r="AB94" i="11"/>
  <c r="K104" i="11"/>
  <c r="K106" i="11" s="1"/>
  <c r="K107" i="11" s="1"/>
  <c r="E164" i="49"/>
  <c r="E157" i="49" s="1"/>
  <c r="E142" i="49"/>
  <c r="U82" i="16"/>
  <c r="V82" i="16" s="1"/>
  <c r="W82" i="16" s="1"/>
  <c r="X82" i="16" s="1"/>
  <c r="T51" i="8"/>
  <c r="L119" i="17"/>
  <c r="AI67" i="18"/>
  <c r="AK67" i="18"/>
  <c r="AE67" i="18"/>
  <c r="T34" i="17"/>
  <c r="T34" i="18" s="1"/>
  <c r="L58" i="15"/>
  <c r="AA41" i="38"/>
  <c r="AE42" i="38"/>
  <c r="N5" i="35"/>
  <c r="N52" i="36"/>
  <c r="R5" i="35"/>
  <c r="R52" i="36"/>
  <c r="V5" i="35"/>
  <c r="V52" i="36"/>
  <c r="Z5" i="35"/>
  <c r="Z52" i="36"/>
  <c r="AD5" i="35"/>
  <c r="AD52" i="36"/>
  <c r="AK5" i="35"/>
  <c r="AK52" i="36"/>
  <c r="AF85" i="14"/>
  <c r="E121" i="49"/>
  <c r="E115" i="49" s="1"/>
  <c r="E116" i="49" s="1"/>
  <c r="O5" i="38"/>
  <c r="O52" i="36"/>
  <c r="S5" i="35"/>
  <c r="S52" i="36"/>
  <c r="W5" i="35"/>
  <c r="W52" i="36"/>
  <c r="AA5" i="35"/>
  <c r="AA52" i="36"/>
  <c r="AE5" i="35"/>
  <c r="AE52" i="36"/>
  <c r="AH5" i="35"/>
  <c r="AH52" i="36"/>
  <c r="L58" i="44"/>
  <c r="H58" i="44"/>
  <c r="D58" i="44"/>
  <c r="N18" i="11"/>
  <c r="T64" i="17"/>
  <c r="AA70" i="18"/>
  <c r="S67" i="18"/>
  <c r="AG109" i="16"/>
  <c r="Z89" i="17"/>
  <c r="Z90" i="17" s="1"/>
  <c r="W44" i="17"/>
  <c r="W44" i="18" s="1"/>
  <c r="AC9" i="11"/>
  <c r="Q44" i="17"/>
  <c r="Q44" i="18" s="1"/>
  <c r="T52" i="8"/>
  <c r="P5" i="35"/>
  <c r="P52" i="36"/>
  <c r="T5" i="35"/>
  <c r="T52" i="36"/>
  <c r="X5" i="38"/>
  <c r="X52" i="36"/>
  <c r="AB5" i="35"/>
  <c r="AB52" i="36"/>
  <c r="AF5" i="35"/>
  <c r="AF52" i="36"/>
  <c r="AI5" i="35"/>
  <c r="AI52" i="36"/>
  <c r="T85" i="14"/>
  <c r="M84" i="16"/>
  <c r="M5" i="38"/>
  <c r="M52" i="36"/>
  <c r="Q5" i="35"/>
  <c r="Q52" i="36"/>
  <c r="U5" i="35"/>
  <c r="U52" i="36"/>
  <c r="Y5" i="35"/>
  <c r="Y52" i="36"/>
  <c r="AC5" i="38"/>
  <c r="AC52" i="36"/>
  <c r="AJ5" i="35"/>
  <c r="AJ52" i="36"/>
  <c r="Z69" i="18"/>
  <c r="U69" i="18"/>
  <c r="H26" i="16"/>
  <c r="P57" i="15"/>
  <c r="K38" i="16"/>
  <c r="K27" i="38" s="1"/>
  <c r="N52" i="15"/>
  <c r="L110" i="17"/>
  <c r="K89" i="17"/>
  <c r="K90" i="17" s="1"/>
  <c r="K33" i="11"/>
  <c r="C63" i="16"/>
  <c r="C94" i="16" s="1"/>
  <c r="AE22" i="38"/>
  <c r="AI7" i="38"/>
  <c r="AI8" i="38"/>
  <c r="V26" i="38"/>
  <c r="AA7" i="38"/>
  <c r="AE73" i="11"/>
  <c r="AA73" i="11"/>
  <c r="Y73" i="11"/>
  <c r="K36" i="38"/>
  <c r="T73" i="11"/>
  <c r="H73" i="11"/>
  <c r="C73" i="11"/>
  <c r="D73" i="11"/>
  <c r="R70" i="18"/>
  <c r="AI71" i="18"/>
  <c r="L45" i="17"/>
  <c r="K63" i="16"/>
  <c r="K94" i="16" s="1"/>
  <c r="K38" i="11"/>
  <c r="AJ9" i="38"/>
  <c r="Y71" i="18"/>
  <c r="T52" i="15"/>
  <c r="G8" i="11"/>
  <c r="G14" i="16"/>
  <c r="N45" i="17"/>
  <c r="N45" i="18" s="1"/>
  <c r="N45" i="11"/>
  <c r="P34" i="11"/>
  <c r="L30" i="17"/>
  <c r="L30" i="11"/>
  <c r="G36" i="11"/>
  <c r="G38" i="16"/>
  <c r="AF45" i="17"/>
  <c r="AF45" i="18" s="1"/>
  <c r="AF45" i="11"/>
  <c r="T17" i="38"/>
  <c r="AB73" i="11"/>
  <c r="K53" i="11"/>
  <c r="K38" i="38"/>
  <c r="L18" i="38"/>
  <c r="F73" i="11"/>
  <c r="P86" i="14"/>
  <c r="O72" i="18" s="1"/>
  <c r="AG86" i="14"/>
  <c r="AF72" i="18" s="1"/>
  <c r="AE86" i="14"/>
  <c r="AD72" i="18" s="1"/>
  <c r="AH86" i="14"/>
  <c r="AG72" i="18" s="1"/>
  <c r="M86" i="14"/>
  <c r="AL86" i="14"/>
  <c r="AK72" i="18" s="1"/>
  <c r="X86" i="14"/>
  <c r="W72" i="18" s="1"/>
  <c r="AA86" i="14"/>
  <c r="Z72" i="18" s="1"/>
  <c r="Z86" i="14"/>
  <c r="Y72" i="18" s="1"/>
  <c r="R86" i="14"/>
  <c r="Q72" i="18" s="1"/>
  <c r="AF86" i="14"/>
  <c r="AE72" i="18" s="1"/>
  <c r="L12" i="11"/>
  <c r="L12" i="17"/>
  <c r="W70" i="18"/>
  <c r="AH67" i="18"/>
  <c r="F26" i="16"/>
  <c r="Q73" i="11"/>
  <c r="L120" i="16"/>
  <c r="L59" i="15"/>
  <c r="AF95" i="11"/>
  <c r="U97" i="11" s="1"/>
  <c r="C75" i="2"/>
  <c r="AK96" i="11" s="1"/>
  <c r="O24" i="14"/>
  <c r="N23" i="15" s="1"/>
  <c r="N23" i="36" s="1"/>
  <c r="Q24" i="14"/>
  <c r="P36" i="15" s="1"/>
  <c r="P36" i="36" s="1"/>
  <c r="S24" i="14"/>
  <c r="R16" i="15" s="1"/>
  <c r="R16" i="36" s="1"/>
  <c r="AH24" i="14"/>
  <c r="AG23" i="15" s="1"/>
  <c r="AG23" i="36" s="1"/>
  <c r="V24" i="14"/>
  <c r="U16" i="15" s="1"/>
  <c r="U16" i="36" s="1"/>
  <c r="AB24" i="14"/>
  <c r="AA23" i="15" s="1"/>
  <c r="AA23" i="36" s="1"/>
  <c r="AF24" i="14"/>
  <c r="AE23" i="15" s="1"/>
  <c r="AG24" i="14"/>
  <c r="AF36" i="15" s="1"/>
  <c r="W24" i="14"/>
  <c r="V36" i="15" s="1"/>
  <c r="V36" i="36" s="1"/>
  <c r="AI24" i="14"/>
  <c r="AH16" i="15" s="1"/>
  <c r="AH16" i="36" s="1"/>
  <c r="Z24" i="14"/>
  <c r="Y16" i="15" s="1"/>
  <c r="AA24" i="14"/>
  <c r="R24" i="14"/>
  <c r="Q36" i="15" s="1"/>
  <c r="Q36" i="36" s="1"/>
  <c r="AD24" i="14"/>
  <c r="AC16" i="15" s="1"/>
  <c r="N24" i="14"/>
  <c r="M23" i="15" s="1"/>
  <c r="P24" i="14"/>
  <c r="O23" i="15" s="1"/>
  <c r="O23" i="36" s="1"/>
  <c r="L66" i="14"/>
  <c r="N66" i="14"/>
  <c r="R66" i="14"/>
  <c r="Z66" i="14"/>
  <c r="M66" i="14"/>
  <c r="Q66" i="14"/>
  <c r="Y66" i="14"/>
  <c r="AH66" i="14"/>
  <c r="T66" i="14"/>
  <c r="AG66" i="14"/>
  <c r="O66" i="14"/>
  <c r="S66" i="14"/>
  <c r="AA66" i="14"/>
  <c r="AJ66" i="14"/>
  <c r="V66" i="14"/>
  <c r="AI66" i="14"/>
  <c r="AB66" i="14"/>
  <c r="U66" i="14"/>
  <c r="AG71" i="14"/>
  <c r="AF39" i="17" s="1"/>
  <c r="AF39" i="18" s="1"/>
  <c r="W71" i="14"/>
  <c r="AD71" i="14"/>
  <c r="M71" i="14"/>
  <c r="L39" i="17" s="1"/>
  <c r="AF71" i="14"/>
  <c r="AE39" i="17" s="1"/>
  <c r="AE39" i="18" s="1"/>
  <c r="T71" i="14"/>
  <c r="AK71" i="14"/>
  <c r="Z71" i="14"/>
  <c r="AJ71" i="14"/>
  <c r="AI39" i="17" s="1"/>
  <c r="AI39" i="18" s="1"/>
  <c r="S71" i="14"/>
  <c r="O71" i="14"/>
  <c r="U71" i="14"/>
  <c r="AL71" i="14"/>
  <c r="AK39" i="17" s="1"/>
  <c r="AK39" i="18" s="1"/>
  <c r="AB71" i="14"/>
  <c r="R71" i="14"/>
  <c r="AF76" i="14"/>
  <c r="X76" i="14"/>
  <c r="AC76" i="14"/>
  <c r="AD83" i="14"/>
  <c r="AL83" i="14"/>
  <c r="AK69" i="18" s="1"/>
  <c r="L83" i="14"/>
  <c r="W83" i="14"/>
  <c r="V69" i="18" s="1"/>
  <c r="AG83" i="14"/>
  <c r="AF69" i="18" s="1"/>
  <c r="S83" i="14"/>
  <c r="AC83" i="14"/>
  <c r="AB69" i="18" s="1"/>
  <c r="O83" i="14"/>
  <c r="N69" i="18" s="1"/>
  <c r="Y83" i="14"/>
  <c r="X69" i="18" s="1"/>
  <c r="AJ83" i="14"/>
  <c r="AI69" i="18" s="1"/>
  <c r="R83" i="14"/>
  <c r="Q69" i="18" s="1"/>
  <c r="U83" i="14"/>
  <c r="AF83" i="14"/>
  <c r="N83" i="14"/>
  <c r="Q83" i="14"/>
  <c r="P69" i="18" s="1"/>
  <c r="AB83" i="14"/>
  <c r="AA69" i="18" s="1"/>
  <c r="Z83" i="14"/>
  <c r="Y69" i="18" s="1"/>
  <c r="M83" i="14"/>
  <c r="X83" i="14"/>
  <c r="W69" i="18" s="1"/>
  <c r="AI83" i="14"/>
  <c r="U92" i="10"/>
  <c r="AE30" i="17"/>
  <c r="AE30" i="18" s="1"/>
  <c r="AE30" i="11"/>
  <c r="AH9" i="17"/>
  <c r="AH9" i="18" s="1"/>
  <c r="AH9" i="11"/>
  <c r="AJ56" i="17"/>
  <c r="AJ56" i="18" s="1"/>
  <c r="AJ56" i="11"/>
  <c r="L56" i="15"/>
  <c r="E47" i="16"/>
  <c r="AD86" i="14"/>
  <c r="AC72" i="18" s="1"/>
  <c r="Q86" i="14"/>
  <c r="P72" i="18" s="1"/>
  <c r="W86" i="14"/>
  <c r="V72" i="18" s="1"/>
  <c r="T86" i="14"/>
  <c r="S72" i="18" s="1"/>
  <c r="U9" i="11"/>
  <c r="L52" i="15"/>
  <c r="K58" i="15"/>
  <c r="K40" i="11"/>
  <c r="K43" i="11" s="1"/>
  <c r="K59" i="11"/>
  <c r="L51" i="8"/>
  <c r="L52" i="8"/>
  <c r="C89" i="16"/>
  <c r="C80" i="11" s="1"/>
  <c r="AE70" i="18"/>
  <c r="W67" i="18"/>
  <c r="AJ86" i="14"/>
  <c r="AI72" i="18" s="1"/>
  <c r="N86" i="14"/>
  <c r="Y86" i="14"/>
  <c r="X72" i="18" s="1"/>
  <c r="AK86" i="14"/>
  <c r="AJ72" i="18" s="1"/>
  <c r="F61" i="16"/>
  <c r="E61" i="16"/>
  <c r="T22" i="11"/>
  <c r="E24" i="11"/>
  <c r="AB41" i="17"/>
  <c r="AB41" i="18" s="1"/>
  <c r="AE56" i="11"/>
  <c r="I51" i="8"/>
  <c r="AG42" i="38"/>
  <c r="K105" i="17"/>
  <c r="N18" i="38"/>
  <c r="C19" i="11"/>
  <c r="C26" i="16"/>
  <c r="W66" i="14"/>
  <c r="AK66" i="14"/>
  <c r="AE83" i="14"/>
  <c r="AD69" i="18" s="1"/>
  <c r="AH71" i="14"/>
  <c r="C103" i="16"/>
  <c r="C52" i="11"/>
  <c r="O50" i="15"/>
  <c r="L111" i="16"/>
  <c r="L38" i="38"/>
  <c r="AI10" i="38"/>
  <c r="AE10" i="38"/>
  <c r="W10" i="38"/>
  <c r="S10" i="38"/>
  <c r="O10" i="38"/>
  <c r="K10" i="38"/>
  <c r="Z18" i="38"/>
  <c r="AK111" i="16"/>
  <c r="Z16" i="38"/>
  <c r="Z24" i="38"/>
  <c r="AE9" i="38"/>
  <c r="AH69" i="18"/>
  <c r="J104" i="11"/>
  <c r="J106" i="11" s="1"/>
  <c r="J107" i="11" s="1"/>
  <c r="J108" i="11" s="1"/>
  <c r="F63" i="16"/>
  <c r="F96" i="16" s="1"/>
  <c r="J14" i="16"/>
  <c r="G63" i="16"/>
  <c r="G88" i="16" s="1"/>
  <c r="AC24" i="38"/>
  <c r="AJ25" i="38"/>
  <c r="M24" i="38"/>
  <c r="L28" i="38"/>
  <c r="D38" i="11"/>
  <c r="X22" i="38"/>
  <c r="AF22" i="38"/>
  <c r="AJ16" i="38"/>
  <c r="AC7" i="38"/>
  <c r="Y17" i="38"/>
  <c r="AB7" i="38"/>
  <c r="T15" i="38"/>
  <c r="AA14" i="38"/>
  <c r="AJ73" i="11"/>
  <c r="AG73" i="11"/>
  <c r="W73" i="11"/>
  <c r="U73" i="11"/>
  <c r="M73" i="11"/>
  <c r="X73" i="11"/>
  <c r="K17" i="38"/>
  <c r="N73" i="11"/>
  <c r="E43" i="11"/>
  <c r="J73" i="11"/>
  <c r="G73" i="11"/>
  <c r="E73" i="11"/>
  <c r="X85" i="14"/>
  <c r="W71" i="18" s="1"/>
  <c r="K17" i="11"/>
  <c r="AB111" i="16"/>
  <c r="AH111" i="16"/>
  <c r="AC111" i="16"/>
  <c r="R50" i="15"/>
  <c r="L41" i="38"/>
  <c r="AF31" i="38"/>
  <c r="X31" i="38"/>
  <c r="L22" i="38"/>
  <c r="L8" i="38"/>
  <c r="Y24" i="38"/>
  <c r="X17" i="38"/>
  <c r="AG69" i="18"/>
  <c r="AB71" i="18"/>
  <c r="N146" i="2"/>
  <c r="C127" i="2" s="1"/>
  <c r="AD111" i="16"/>
  <c r="AD50" i="15"/>
  <c r="R45" i="17"/>
  <c r="R45" i="18" s="1"/>
  <c r="R45" i="11"/>
  <c r="U16" i="38"/>
  <c r="U21" i="11"/>
  <c r="AE23" i="17"/>
  <c r="AE23" i="18" s="1"/>
  <c r="AE23" i="11"/>
  <c r="K23" i="17"/>
  <c r="K23" i="11"/>
  <c r="C36" i="11"/>
  <c r="C38" i="11" s="1"/>
  <c r="C38" i="16"/>
  <c r="AK41" i="17"/>
  <c r="AK41" i="18" s="1"/>
  <c r="AK41" i="11"/>
  <c r="AK43" i="11" s="1"/>
  <c r="C95" i="16"/>
  <c r="S112" i="17"/>
  <c r="Z54" i="15"/>
  <c r="AF48" i="15"/>
  <c r="L118" i="16"/>
  <c r="AE111" i="16"/>
  <c r="P109" i="16"/>
  <c r="I47" i="16"/>
  <c r="K102" i="17"/>
  <c r="L26" i="16"/>
  <c r="AA44" i="11"/>
  <c r="D26" i="16"/>
  <c r="C22" i="11"/>
  <c r="AE9" i="17"/>
  <c r="AE9" i="18" s="1"/>
  <c r="K42" i="38"/>
  <c r="K54" i="11"/>
  <c r="K61" i="16"/>
  <c r="F12" i="11"/>
  <c r="F14" i="16"/>
  <c r="K26" i="16"/>
  <c r="K18" i="17"/>
  <c r="K18" i="11"/>
  <c r="K44" i="11"/>
  <c r="K44" i="17"/>
  <c r="O23" i="17"/>
  <c r="O23" i="18" s="1"/>
  <c r="O23" i="11"/>
  <c r="Q33" i="17"/>
  <c r="Q33" i="18" s="1"/>
  <c r="Q33" i="11"/>
  <c r="Y9" i="17"/>
  <c r="Y9" i="18" s="1"/>
  <c r="Y9" i="11"/>
  <c r="X19" i="11"/>
  <c r="X19" i="17"/>
  <c r="X19" i="18" s="1"/>
  <c r="L48" i="15"/>
  <c r="L64" i="17"/>
  <c r="L65" i="17" s="1"/>
  <c r="B47" i="16"/>
  <c r="AB89" i="17"/>
  <c r="AB90" i="17" s="1"/>
  <c r="T89" i="17"/>
  <c r="T90" i="17" s="1"/>
  <c r="L22" i="11"/>
  <c r="D47" i="16"/>
  <c r="W23" i="11"/>
  <c r="V25" i="38"/>
  <c r="AD23" i="11"/>
  <c r="G24" i="11"/>
  <c r="AF23" i="17"/>
  <c r="AF23" i="18" s="1"/>
  <c r="AH59" i="11"/>
  <c r="S51" i="15"/>
  <c r="U112" i="16"/>
  <c r="U112" i="17"/>
  <c r="U51" i="15"/>
  <c r="Q120" i="16"/>
  <c r="Q59" i="15"/>
  <c r="K50" i="15"/>
  <c r="K111" i="17"/>
  <c r="K126" i="17" s="1"/>
  <c r="K49" i="15"/>
  <c r="K110" i="17"/>
  <c r="E8" i="11"/>
  <c r="E14" i="16"/>
  <c r="F34" i="11"/>
  <c r="F47" i="16"/>
  <c r="H37" i="11"/>
  <c r="H38" i="11" s="1"/>
  <c r="H38" i="16"/>
  <c r="K12" i="11"/>
  <c r="K12" i="17"/>
  <c r="L9" i="17"/>
  <c r="L9" i="11"/>
  <c r="X18" i="17"/>
  <c r="X18" i="18" s="1"/>
  <c r="X18" i="11"/>
  <c r="Z45" i="11"/>
  <c r="Z45" i="17"/>
  <c r="Z45" i="18" s="1"/>
  <c r="AF12" i="17"/>
  <c r="AF12" i="18" s="1"/>
  <c r="AF12" i="11"/>
  <c r="AF19" i="17"/>
  <c r="AF19" i="18" s="1"/>
  <c r="AF19" i="11"/>
  <c r="AI59" i="11"/>
  <c r="AI59" i="17"/>
  <c r="AI59" i="18" s="1"/>
  <c r="AE59" i="17"/>
  <c r="AE59" i="18" s="1"/>
  <c r="AE59" i="11"/>
  <c r="R53" i="11"/>
  <c r="R38" i="38"/>
  <c r="W55" i="11"/>
  <c r="W40" i="38"/>
  <c r="L55" i="11"/>
  <c r="L61" i="16"/>
  <c r="AC73" i="11"/>
  <c r="AI73" i="11"/>
  <c r="AH66" i="18"/>
  <c r="AH73" i="11"/>
  <c r="AF73" i="11"/>
  <c r="R71" i="18"/>
  <c r="R73" i="11"/>
  <c r="AB56" i="17"/>
  <c r="AB56" i="18" s="1"/>
  <c r="AB56" i="11"/>
  <c r="L56" i="17"/>
  <c r="L56" i="11"/>
  <c r="S73" i="11"/>
  <c r="AK73" i="11"/>
  <c r="AD73" i="11"/>
  <c r="K73" i="11"/>
  <c r="AG108" i="16"/>
  <c r="AG47" i="15"/>
  <c r="S44" i="17"/>
  <c r="S44" i="18" s="1"/>
  <c r="S44" i="11"/>
  <c r="Y34" i="15"/>
  <c r="Y34" i="36" s="1"/>
  <c r="AJ58" i="15"/>
  <c r="AK44" i="11"/>
  <c r="Q9" i="17"/>
  <c r="Q9" i="18" s="1"/>
  <c r="Y33" i="11"/>
  <c r="N25" i="38"/>
  <c r="U59" i="17"/>
  <c r="U60" i="10" s="1"/>
  <c r="J38" i="16"/>
  <c r="AA38" i="38"/>
  <c r="V73" i="11"/>
  <c r="J61" i="16"/>
  <c r="AH40" i="38"/>
  <c r="X41" i="38"/>
  <c r="K101" i="17"/>
  <c r="Y35" i="38"/>
  <c r="AH41" i="38"/>
  <c r="E63" i="16"/>
  <c r="E90" i="16" s="1"/>
  <c r="M22" i="38"/>
  <c r="O24" i="38"/>
  <c r="V14" i="38"/>
  <c r="Y15" i="38"/>
  <c r="O67" i="18"/>
  <c r="J43" i="11"/>
  <c r="I43" i="11"/>
  <c r="Q92" i="10"/>
  <c r="AK91" i="14"/>
  <c r="AK94" i="14" s="1"/>
  <c r="AC91" i="14"/>
  <c r="AC94" i="14" s="1"/>
  <c r="U91" i="14"/>
  <c r="U94" i="14" s="1"/>
  <c r="M91" i="14"/>
  <c r="M94" i="14" s="1"/>
  <c r="AJ91" i="14"/>
  <c r="AJ94" i="14" s="1"/>
  <c r="AB91" i="14"/>
  <c r="AB94" i="14" s="1"/>
  <c r="T91" i="14"/>
  <c r="T94" i="14" s="1"/>
  <c r="Y69" i="14"/>
  <c r="N99" i="14"/>
  <c r="N100" i="14" s="1"/>
  <c r="M64" i="17" s="1"/>
  <c r="M65" i="17" s="1"/>
  <c r="P99" i="14"/>
  <c r="P100" i="14" s="1"/>
  <c r="O64" i="17" s="1"/>
  <c r="AA63" i="14"/>
  <c r="X80" i="14"/>
  <c r="R84" i="14"/>
  <c r="Q70" i="18" s="1"/>
  <c r="AE80" i="14"/>
  <c r="AD66" i="18" s="1"/>
  <c r="P80" i="14"/>
  <c r="O66" i="18" s="1"/>
  <c r="AI84" i="14"/>
  <c r="AH70" i="18" s="1"/>
  <c r="AJ84" i="14"/>
  <c r="AI70" i="18" s="1"/>
  <c r="AH80" i="14"/>
  <c r="AG66" i="18" s="1"/>
  <c r="AK80" i="14"/>
  <c r="AJ66" i="18" s="1"/>
  <c r="U80" i="14"/>
  <c r="T66" i="18" s="1"/>
  <c r="AF80" i="14"/>
  <c r="AE66" i="18" s="1"/>
  <c r="AI56" i="11"/>
  <c r="N56" i="11"/>
  <c r="AI41" i="38"/>
  <c r="L40" i="38"/>
  <c r="V35" i="38"/>
  <c r="AJ18" i="38"/>
  <c r="AI42" i="38"/>
  <c r="J63" i="16"/>
  <c r="J97" i="16" s="1"/>
  <c r="P66" i="18"/>
  <c r="AI91" i="14"/>
  <c r="AI94" i="14" s="1"/>
  <c r="AA91" i="14"/>
  <c r="AA94" i="14" s="1"/>
  <c r="S91" i="14"/>
  <c r="S94" i="14" s="1"/>
  <c r="AH91" i="14"/>
  <c r="AH94" i="14" s="1"/>
  <c r="Z91" i="14"/>
  <c r="Z94" i="14" s="1"/>
  <c r="R91" i="14"/>
  <c r="R94" i="14" s="1"/>
  <c r="W63" i="14"/>
  <c r="AA81" i="14"/>
  <c r="Z67" i="18" s="1"/>
  <c r="AD81" i="14"/>
  <c r="AC67" i="18" s="1"/>
  <c r="AG81" i="14"/>
  <c r="AF67" i="18" s="1"/>
  <c r="Z63" i="14"/>
  <c r="Q64" i="14"/>
  <c r="N72" i="14"/>
  <c r="AA80" i="14"/>
  <c r="Z66" i="18" s="1"/>
  <c r="W80" i="14"/>
  <c r="V66" i="18" s="1"/>
  <c r="O84" i="14"/>
  <c r="N70" i="18" s="1"/>
  <c r="AD80" i="14"/>
  <c r="S80" i="14"/>
  <c r="R66" i="18" s="1"/>
  <c r="O80" i="14"/>
  <c r="N66" i="18" s="1"/>
  <c r="AG84" i="14"/>
  <c r="AF70" i="18" s="1"/>
  <c r="AH84" i="14"/>
  <c r="AG70" i="18" s="1"/>
  <c r="AC80" i="14"/>
  <c r="AB66" i="18" s="1"/>
  <c r="AG80" i="14"/>
  <c r="AF66" i="18" s="1"/>
  <c r="M80" i="14"/>
  <c r="Z73" i="11"/>
  <c r="C61" i="16"/>
  <c r="AE41" i="38"/>
  <c r="AD41" i="38"/>
  <c r="K47" i="16"/>
  <c r="O35" i="38"/>
  <c r="AH18" i="38"/>
  <c r="W42" i="38"/>
  <c r="AK66" i="18"/>
  <c r="AG91" i="14"/>
  <c r="AG94" i="14" s="1"/>
  <c r="Y91" i="14"/>
  <c r="Y94" i="14" s="1"/>
  <c r="Q91" i="14"/>
  <c r="Q94" i="14" s="1"/>
  <c r="AF91" i="14"/>
  <c r="AF94" i="14" s="1"/>
  <c r="X91" i="14"/>
  <c r="X94" i="14" s="1"/>
  <c r="P91" i="14"/>
  <c r="P94" i="14" s="1"/>
  <c r="L81" i="14"/>
  <c r="M81" i="14"/>
  <c r="Q69" i="14"/>
  <c r="AC63" i="14"/>
  <c r="Q99" i="14"/>
  <c r="Q100" i="14" s="1"/>
  <c r="AG70" i="14"/>
  <c r="AF33" i="17" s="1"/>
  <c r="AF33" i="18" s="1"/>
  <c r="Z80" i="14"/>
  <c r="Y66" i="18" s="1"/>
  <c r="V80" i="14"/>
  <c r="U66" i="18" s="1"/>
  <c r="L80" i="14"/>
  <c r="AA70" i="14"/>
  <c r="Z33" i="17" s="1"/>
  <c r="Z33" i="18" s="1"/>
  <c r="Z84" i="14"/>
  <c r="Y70" i="18" s="1"/>
  <c r="R80" i="14"/>
  <c r="Q66" i="18" s="1"/>
  <c r="N80" i="14"/>
  <c r="N84" i="14"/>
  <c r="AI70" i="14"/>
  <c r="Z70" i="14"/>
  <c r="Y33" i="17" s="1"/>
  <c r="Y33" i="18" s="1"/>
  <c r="T80" i="14"/>
  <c r="S66" i="18" s="1"/>
  <c r="AB80" i="14"/>
  <c r="AA66" i="18" s="1"/>
  <c r="O70" i="14"/>
  <c r="N33" i="17" s="1"/>
  <c r="N33" i="18" s="1"/>
  <c r="AJ80" i="14"/>
  <c r="AI66" i="18" s="1"/>
  <c r="R9" i="14"/>
  <c r="R39" i="14" s="1"/>
  <c r="R55" i="14" s="1"/>
  <c r="AB9" i="14"/>
  <c r="AD9" i="14"/>
  <c r="AD34" i="14" s="1"/>
  <c r="AD50" i="14" s="1"/>
  <c r="Z9" i="14"/>
  <c r="Z40" i="14" s="1"/>
  <c r="Z56" i="14" s="1"/>
  <c r="AA9" i="14"/>
  <c r="AA40" i="14" s="1"/>
  <c r="AA56" i="14" s="1"/>
  <c r="M9" i="14"/>
  <c r="X9" i="14"/>
  <c r="P9" i="14"/>
  <c r="P29" i="14" s="1"/>
  <c r="P45" i="14" s="1"/>
  <c r="W9" i="14"/>
  <c r="W35" i="14" s="1"/>
  <c r="W51" i="14" s="1"/>
  <c r="O9" i="14"/>
  <c r="N9" i="14"/>
  <c r="Q9" i="14"/>
  <c r="Q39" i="14" s="1"/>
  <c r="Q55" i="14" s="1"/>
  <c r="AH9" i="14"/>
  <c r="AH36" i="14" s="1"/>
  <c r="AH52" i="14" s="1"/>
  <c r="U9" i="14"/>
  <c r="U37" i="14" s="1"/>
  <c r="U53" i="14" s="1"/>
  <c r="AI9" i="14"/>
  <c r="AI39" i="14" s="1"/>
  <c r="AI55" i="14" s="1"/>
  <c r="AJ9" i="14"/>
  <c r="AJ34" i="14" s="1"/>
  <c r="AJ50" i="14" s="1"/>
  <c r="L9" i="14"/>
  <c r="L30" i="14" s="1"/>
  <c r="L46" i="14" s="1"/>
  <c r="Y9" i="14"/>
  <c r="Y29" i="14" s="1"/>
  <c r="Y45" i="14" s="1"/>
  <c r="V9" i="14"/>
  <c r="V20" i="14" s="1"/>
  <c r="U9" i="15" s="1"/>
  <c r="AC9" i="14"/>
  <c r="AF9" i="14"/>
  <c r="AF37" i="14" s="1"/>
  <c r="AF53" i="14" s="1"/>
  <c r="S9" i="14"/>
  <c r="AE9" i="14"/>
  <c r="AE29" i="14" s="1"/>
  <c r="AE45" i="14" s="1"/>
  <c r="T9" i="14"/>
  <c r="T33" i="14" s="1"/>
  <c r="T49" i="14" s="1"/>
  <c r="AG9" i="14"/>
  <c r="AG23" i="14" s="1"/>
  <c r="AF32" i="15" s="1"/>
  <c r="AL9" i="14"/>
  <c r="AL30" i="14" s="1"/>
  <c r="AL46" i="14" s="1"/>
  <c r="AK5" i="38"/>
  <c r="X5" i="35"/>
  <c r="AH5" i="38"/>
  <c r="AE5" i="38"/>
  <c r="AB5" i="38"/>
  <c r="P5" i="38"/>
  <c r="AK38" i="14"/>
  <c r="AK29" i="14"/>
  <c r="AK45" i="14" s="1"/>
  <c r="AK35" i="14"/>
  <c r="AK51" i="14" s="1"/>
  <c r="AK36" i="14"/>
  <c r="AK52" i="14" s="1"/>
  <c r="AK41" i="14"/>
  <c r="AK57" i="14" s="1"/>
  <c r="AK32" i="14"/>
  <c r="AK48" i="14" s="1"/>
  <c r="AK33" i="14"/>
  <c r="AK49" i="14" s="1"/>
  <c r="AK37" i="14"/>
  <c r="AK53" i="14" s="1"/>
  <c r="AK42" i="14"/>
  <c r="AK58" i="14" s="1"/>
  <c r="AK39" i="14"/>
  <c r="AK55" i="14" s="1"/>
  <c r="AK30" i="14"/>
  <c r="AK46" i="14" s="1"/>
  <c r="AK40" i="14"/>
  <c r="AK56" i="14" s="1"/>
  <c r="E96" i="16"/>
  <c r="E87" i="16"/>
  <c r="E78" i="11" s="1"/>
  <c r="F95" i="16"/>
  <c r="F94" i="16"/>
  <c r="L111" i="17"/>
  <c r="P118" i="17"/>
  <c r="L34" i="15"/>
  <c r="L34" i="36" s="1"/>
  <c r="V34" i="15"/>
  <c r="V34" i="36" s="1"/>
  <c r="H14" i="16"/>
  <c r="I14" i="16"/>
  <c r="K31" i="38"/>
  <c r="K23" i="38"/>
  <c r="L51" i="15"/>
  <c r="F38" i="16"/>
  <c r="V108" i="16"/>
  <c r="V79" i="16"/>
  <c r="Z64" i="17"/>
  <c r="L108" i="16"/>
  <c r="L79" i="16"/>
  <c r="G38" i="11"/>
  <c r="S63" i="14"/>
  <c r="X69" i="14"/>
  <c r="U69" i="14"/>
  <c r="AD69" i="14"/>
  <c r="AD63" i="14"/>
  <c r="AG63" i="14"/>
  <c r="Y76" i="14"/>
  <c r="O63" i="14"/>
  <c r="AK82" i="14"/>
  <c r="AJ68" i="18" s="1"/>
  <c r="AG82" i="14"/>
  <c r="AF68" i="18" s="1"/>
  <c r="AA82" i="14"/>
  <c r="Z68" i="18" s="1"/>
  <c r="P82" i="14"/>
  <c r="O68" i="18" s="1"/>
  <c r="L82" i="14"/>
  <c r="AK83" i="14"/>
  <c r="AJ69" i="18" s="1"/>
  <c r="D104" i="11"/>
  <c r="D106" i="11" s="1"/>
  <c r="D107" i="11" s="1"/>
  <c r="D108" i="11" s="1"/>
  <c r="F88" i="16"/>
  <c r="F79" i="11" s="1"/>
  <c r="S34" i="15"/>
  <c r="S34" i="36" s="1"/>
  <c r="E38" i="16"/>
  <c r="AK79" i="16"/>
  <c r="AA79" i="16"/>
  <c r="AF79" i="16"/>
  <c r="Q79" i="16"/>
  <c r="J47" i="16"/>
  <c r="G26" i="16"/>
  <c r="K14" i="16"/>
  <c r="H63" i="16"/>
  <c r="H87" i="16" s="1"/>
  <c r="B63" i="16"/>
  <c r="B88" i="16" s="1"/>
  <c r="I63" i="16"/>
  <c r="I87" i="16" s="1"/>
  <c r="Q34" i="17"/>
  <c r="Q34" i="18" s="1"/>
  <c r="R8" i="38"/>
  <c r="AI34" i="17"/>
  <c r="AI34" i="18" s="1"/>
  <c r="AG69" i="14"/>
  <c r="AL69" i="14"/>
  <c r="L63" i="14"/>
  <c r="M63" i="14"/>
  <c r="T63" i="14"/>
  <c r="Z99" i="14"/>
  <c r="Z100" i="14" s="1"/>
  <c r="Y64" i="17" s="1"/>
  <c r="AK99" i="14"/>
  <c r="AK100" i="14" s="1"/>
  <c r="AJ64" i="17" s="1"/>
  <c r="X99" i="14"/>
  <c r="X100" i="14" s="1"/>
  <c r="L99" i="14"/>
  <c r="L100" i="14" s="1"/>
  <c r="W99" i="14"/>
  <c r="W100" i="14" s="1"/>
  <c r="V64" i="17" s="1"/>
  <c r="AJ82" i="14"/>
  <c r="AI68" i="18" s="1"/>
  <c r="AF82" i="14"/>
  <c r="AE68" i="18" s="1"/>
  <c r="Y82" i="14"/>
  <c r="X68" i="18" s="1"/>
  <c r="N82" i="14"/>
  <c r="O82" i="14"/>
  <c r="N68" i="18" s="1"/>
  <c r="V82" i="14"/>
  <c r="U68" i="18" s="1"/>
  <c r="R104" i="11"/>
  <c r="R106" i="11" s="1"/>
  <c r="N112" i="17"/>
  <c r="B38" i="16"/>
  <c r="R39" i="38"/>
  <c r="AH69" i="14"/>
  <c r="AJ69" i="14"/>
  <c r="N63" i="14"/>
  <c r="Q63" i="14"/>
  <c r="R99" i="14"/>
  <c r="R100" i="14" s="1"/>
  <c r="Y99" i="14"/>
  <c r="Y100" i="14" s="1"/>
  <c r="M82" i="14"/>
  <c r="AI82" i="14"/>
  <c r="AH68" i="18" s="1"/>
  <c r="U82" i="14"/>
  <c r="T68" i="18" s="1"/>
  <c r="W82" i="14"/>
  <c r="Q82" i="14"/>
  <c r="P68" i="18" s="1"/>
  <c r="Z82" i="14"/>
  <c r="Y68" i="18" s="1"/>
  <c r="AL82" i="14"/>
  <c r="AK68" i="18" s="1"/>
  <c r="AC82" i="14"/>
  <c r="AG40" i="38"/>
  <c r="Y82" i="16"/>
  <c r="Z82" i="16" s="1"/>
  <c r="AA82" i="16" s="1"/>
  <c r="AB82" i="16" s="1"/>
  <c r="AC82" i="16" s="1"/>
  <c r="X51" i="8"/>
  <c r="G96" i="16"/>
  <c r="Q124" i="11"/>
  <c r="G90" i="16"/>
  <c r="G81" i="11" s="1"/>
  <c r="Z51" i="8"/>
  <c r="AI76" i="14"/>
  <c r="AK76" i="14"/>
  <c r="T76" i="14"/>
  <c r="V76" i="14"/>
  <c r="AG76" i="14"/>
  <c r="AL92" i="14"/>
  <c r="AL95" i="14" s="1"/>
  <c r="X92" i="14"/>
  <c r="X95" i="14" s="1"/>
  <c r="K104" i="17"/>
  <c r="J26" i="16"/>
  <c r="D14" i="16"/>
  <c r="D38" i="16"/>
  <c r="AD39" i="38"/>
  <c r="AJ36" i="38"/>
  <c r="S14" i="38"/>
  <c r="K41" i="38"/>
  <c r="AJ92" i="14"/>
  <c r="AJ95" i="14" s="1"/>
  <c r="AG92" i="14"/>
  <c r="AG95" i="14" s="1"/>
  <c r="R92" i="14"/>
  <c r="R95" i="14" s="1"/>
  <c r="T92" i="14"/>
  <c r="T95" i="14" s="1"/>
  <c r="AC92" i="14"/>
  <c r="AC95" i="14" s="1"/>
  <c r="M92" i="14"/>
  <c r="M95" i="14" s="1"/>
  <c r="O92" i="14"/>
  <c r="O95" i="14" s="1"/>
  <c r="F5" i="38"/>
  <c r="J5" i="38"/>
  <c r="S76" i="14"/>
  <c r="S64" i="14"/>
  <c r="N64" i="14"/>
  <c r="W64" i="14"/>
  <c r="R72" i="14"/>
  <c r="X72" i="14"/>
  <c r="AL99" i="14"/>
  <c r="AL100" i="14" s="1"/>
  <c r="AE99" i="14"/>
  <c r="AE100" i="14" s="1"/>
  <c r="S99" i="14"/>
  <c r="S100" i="14" s="1"/>
  <c r="R64" i="17" s="1"/>
  <c r="L5" i="35"/>
  <c r="L5" i="38"/>
  <c r="B61" i="16"/>
  <c r="H47" i="16"/>
  <c r="C14" i="16"/>
  <c r="G47" i="16"/>
  <c r="B14" i="16"/>
  <c r="K96" i="16"/>
  <c r="AA48" i="15"/>
  <c r="K10" i="11"/>
  <c r="V38" i="16"/>
  <c r="V27" i="38" s="1"/>
  <c r="AK40" i="38"/>
  <c r="AH92" i="14"/>
  <c r="AH95" i="14" s="1"/>
  <c r="AB92" i="14"/>
  <c r="AB95" i="14" s="1"/>
  <c r="L92" i="14"/>
  <c r="L95" i="14" s="1"/>
  <c r="Q92" i="14"/>
  <c r="Q95" i="14" s="1"/>
  <c r="W92" i="14"/>
  <c r="W95" i="14" s="1"/>
  <c r="AA92" i="14"/>
  <c r="AA95" i="14" s="1"/>
  <c r="Q76" i="14"/>
  <c r="O76" i="14"/>
  <c r="AL66" i="14"/>
  <c r="AE66" i="14"/>
  <c r="AC66" i="14"/>
  <c r="AF70" i="14"/>
  <c r="AE33" i="17" s="1"/>
  <c r="AE33" i="18" s="1"/>
  <c r="AK70" i="14"/>
  <c r="AJ34" i="17" s="1"/>
  <c r="AJ34" i="18" s="1"/>
  <c r="X70" i="14"/>
  <c r="W33" i="17" s="1"/>
  <c r="W33" i="18" s="1"/>
  <c r="AL70" i="14"/>
  <c r="AK33" i="17" s="1"/>
  <c r="AK33" i="18" s="1"/>
  <c r="M70" i="14"/>
  <c r="L33" i="17" s="1"/>
  <c r="P70" i="14"/>
  <c r="O34" i="17" s="1"/>
  <c r="O34" i="18" s="1"/>
  <c r="AE70" i="14"/>
  <c r="Y70" i="14"/>
  <c r="X33" i="17" s="1"/>
  <c r="X33" i="18" s="1"/>
  <c r="V70" i="14"/>
  <c r="U33" i="17" s="1"/>
  <c r="U33" i="18" s="1"/>
  <c r="AD70" i="14"/>
  <c r="AC33" i="17" s="1"/>
  <c r="AC33" i="18" s="1"/>
  <c r="T70" i="14"/>
  <c r="S34" i="17" s="1"/>
  <c r="S34" i="18" s="1"/>
  <c r="S70" i="14"/>
  <c r="R33" i="17" s="1"/>
  <c r="R33" i="18" s="1"/>
  <c r="AH70" i="14"/>
  <c r="AG34" i="17" s="1"/>
  <c r="AG34" i="18" s="1"/>
  <c r="N70" i="14"/>
  <c r="M34" i="17" s="1"/>
  <c r="AC70" i="14"/>
  <c r="Q102" i="14"/>
  <c r="P103" i="14"/>
  <c r="L103" i="17"/>
  <c r="K103" i="17"/>
  <c r="AI89" i="17"/>
  <c r="AI90" i="17" s="1"/>
  <c r="E94" i="16"/>
  <c r="V12" i="17"/>
  <c r="V12" i="18" s="1"/>
  <c r="S19" i="11"/>
  <c r="N12" i="11"/>
  <c r="L29" i="11"/>
  <c r="C47" i="16"/>
  <c r="L23" i="38"/>
  <c r="M39" i="38"/>
  <c r="AI35" i="38"/>
  <c r="AA8" i="38"/>
  <c r="AJ15" i="38"/>
  <c r="AA68" i="18"/>
  <c r="AF92" i="14"/>
  <c r="AF95" i="14" s="1"/>
  <c r="Y92" i="14"/>
  <c r="Y95" i="14" s="1"/>
  <c r="AD92" i="14"/>
  <c r="AD95" i="14" s="1"/>
  <c r="N92" i="14"/>
  <c r="N95" i="14" s="1"/>
  <c r="S92" i="14"/>
  <c r="S95" i="14" s="1"/>
  <c r="U92" i="14"/>
  <c r="U95" i="14" s="1"/>
  <c r="B5" i="38"/>
  <c r="N76" i="14"/>
  <c r="AH76" i="14"/>
  <c r="AA76" i="14"/>
  <c r="AD76" i="14"/>
  <c r="R76" i="14"/>
  <c r="C5" i="38"/>
  <c r="C17" i="2"/>
  <c r="C15" i="2"/>
  <c r="C19" i="2"/>
  <c r="AC5" i="35"/>
  <c r="L83" i="16"/>
  <c r="M83" i="16" s="1"/>
  <c r="L81" i="16"/>
  <c r="I44" i="47"/>
  <c r="E44" i="47"/>
  <c r="K44" i="48"/>
  <c r="G44" i="48"/>
  <c r="C44" i="48"/>
  <c r="B58" i="44"/>
  <c r="K58" i="44"/>
  <c r="G58" i="44"/>
  <c r="C58" i="44"/>
  <c r="B106" i="11"/>
  <c r="B107" i="11" s="1"/>
  <c r="B108" i="11" s="1"/>
  <c r="S103" i="16"/>
  <c r="O104" i="11"/>
  <c r="O106" i="11" s="1"/>
  <c r="O107" i="11" s="1"/>
  <c r="O108" i="11" s="1"/>
  <c r="F104" i="11"/>
  <c r="F106" i="11" s="1"/>
  <c r="F107" i="11" s="1"/>
  <c r="F108" i="11" s="1"/>
  <c r="T104" i="11"/>
  <c r="T106" i="11" s="1"/>
  <c r="N84" i="16"/>
  <c r="N139" i="2"/>
  <c r="J58" i="44"/>
  <c r="F58" i="44"/>
  <c r="N104" i="11"/>
  <c r="N106" i="11" s="1"/>
  <c r="N107" i="11" s="1"/>
  <c r="N108" i="11" s="1"/>
  <c r="E104" i="11"/>
  <c r="E106" i="11" s="1"/>
  <c r="S104" i="11"/>
  <c r="S106" i="11" s="1"/>
  <c r="S107" i="11" s="1"/>
  <c r="S108" i="11" s="1"/>
  <c r="I58" i="44"/>
  <c r="E58" i="44"/>
  <c r="F97" i="16"/>
  <c r="F90" i="16"/>
  <c r="F81" i="11" s="1"/>
  <c r="E95" i="16"/>
  <c r="E97" i="16"/>
  <c r="K88" i="16"/>
  <c r="K58" i="8" s="1"/>
  <c r="AE63" i="16"/>
  <c r="AE96" i="16" s="1"/>
  <c r="K120" i="17"/>
  <c r="F38" i="11"/>
  <c r="K35" i="38"/>
  <c r="F87" i="16"/>
  <c r="F89" i="16"/>
  <c r="F80" i="11" s="1"/>
  <c r="E89" i="16"/>
  <c r="E80" i="11" s="1"/>
  <c r="E88" i="16"/>
  <c r="E79" i="11" s="1"/>
  <c r="K95" i="16"/>
  <c r="K87" i="16"/>
  <c r="K57" i="8" s="1"/>
  <c r="L39" i="38"/>
  <c r="D63" i="16"/>
  <c r="AG26" i="38"/>
  <c r="C90" i="16"/>
  <c r="C81" i="11" s="1"/>
  <c r="L53" i="15"/>
  <c r="W112" i="17"/>
  <c r="L118" i="17"/>
  <c r="AG52" i="15"/>
  <c r="AC89" i="17"/>
  <c r="AC90" i="17" s="1"/>
  <c r="L102" i="17"/>
  <c r="L105" i="17"/>
  <c r="L50" i="15"/>
  <c r="L63" i="16"/>
  <c r="L90" i="16" s="1"/>
  <c r="L81" i="11" s="1"/>
  <c r="K51" i="15"/>
  <c r="K39" i="38"/>
  <c r="J38" i="11"/>
  <c r="K25" i="38"/>
  <c r="AE69" i="18"/>
  <c r="T69" i="18"/>
  <c r="S69" i="18"/>
  <c r="O71" i="18"/>
  <c r="W66" i="18"/>
  <c r="AG68" i="18"/>
  <c r="AC66" i="18"/>
  <c r="S68" i="18"/>
  <c r="AC69" i="18"/>
  <c r="N104" i="16"/>
  <c r="N64" i="17"/>
  <c r="N65" i="17" s="1"/>
  <c r="AB68" i="18"/>
  <c r="C96" i="16"/>
  <c r="AC9" i="38"/>
  <c r="X7" i="38"/>
  <c r="AD8" i="38"/>
  <c r="Y14" i="38"/>
  <c r="O14" i="38"/>
  <c r="L14" i="38"/>
  <c r="K7" i="38"/>
  <c r="K18" i="38"/>
  <c r="AC71" i="18"/>
  <c r="P71" i="18"/>
  <c r="R69" i="18"/>
  <c r="C97" i="16"/>
  <c r="AH56" i="15"/>
  <c r="K89" i="16"/>
  <c r="K80" i="11" s="1"/>
  <c r="K97" i="16"/>
  <c r="K90" i="16"/>
  <c r="K81" i="11" s="1"/>
  <c r="L104" i="17"/>
  <c r="E38" i="11"/>
  <c r="N118" i="16"/>
  <c r="L16" i="38"/>
  <c r="K9" i="38"/>
  <c r="N71" i="18"/>
  <c r="AD71" i="18"/>
  <c r="Q71" i="18"/>
  <c r="T71" i="18"/>
  <c r="AJ71" i="18"/>
  <c r="P67" i="18"/>
  <c r="O26" i="38"/>
  <c r="AE28" i="38"/>
  <c r="K24" i="38"/>
  <c r="AK9" i="38"/>
  <c r="AF7" i="38"/>
  <c r="AB14" i="38"/>
  <c r="AG8" i="38"/>
  <c r="V7" i="38"/>
  <c r="U8" i="38"/>
  <c r="P9" i="38"/>
  <c r="L17" i="38"/>
  <c r="L10" i="38"/>
  <c r="Z23" i="15"/>
  <c r="Z23" i="36" s="1"/>
  <c r="S23" i="15"/>
  <c r="S23" i="36" s="1"/>
  <c r="AB10" i="38"/>
  <c r="AJ10" i="38"/>
  <c r="Z25" i="38"/>
  <c r="T14" i="38"/>
  <c r="V22" i="38"/>
  <c r="Q15" i="38"/>
  <c r="AA9" i="38"/>
  <c r="K16" i="15"/>
  <c r="K16" i="36" s="1"/>
  <c r="AB18" i="38"/>
  <c r="M14" i="38"/>
  <c r="P14" i="38"/>
  <c r="AJ54" i="36"/>
  <c r="AK54" i="36"/>
  <c r="AD54" i="36"/>
  <c r="V52" i="8"/>
  <c r="V54" i="36"/>
  <c r="O51" i="8"/>
  <c r="O54" i="36"/>
  <c r="X52" i="8"/>
  <c r="X54" i="36"/>
  <c r="U51" i="8"/>
  <c r="U54" i="36"/>
  <c r="S51" i="8"/>
  <c r="S54" i="36"/>
  <c r="T54" i="36"/>
  <c r="Q51" i="8"/>
  <c r="Q54" i="36"/>
  <c r="R10" i="38"/>
  <c r="AD10" i="38"/>
  <c r="AC14" i="38"/>
  <c r="Q8" i="38"/>
  <c r="AA22" i="38"/>
  <c r="AJ23" i="38"/>
  <c r="Y9" i="38"/>
  <c r="AB40" i="38"/>
  <c r="AB51" i="8"/>
  <c r="AB54" i="36"/>
  <c r="Z52" i="8"/>
  <c r="Z54" i="36"/>
  <c r="AF54" i="36"/>
  <c r="AE54" i="36"/>
  <c r="N51" i="8"/>
  <c r="N54" i="36"/>
  <c r="AI31" i="38"/>
  <c r="AE31" i="38"/>
  <c r="AA31" i="38"/>
  <c r="W31" i="38"/>
  <c r="S31" i="38"/>
  <c r="O31" i="38"/>
  <c r="AK18" i="38"/>
  <c r="AB26" i="38"/>
  <c r="Z14" i="38"/>
  <c r="AI24" i="38"/>
  <c r="AH23" i="38"/>
  <c r="AB17" i="38"/>
  <c r="R35" i="38"/>
  <c r="AI54" i="36"/>
  <c r="P52" i="8"/>
  <c r="P54" i="36"/>
  <c r="M52" i="8"/>
  <c r="M54" i="36"/>
  <c r="AF34" i="15"/>
  <c r="AF34" i="36" s="1"/>
  <c r="AG54" i="36"/>
  <c r="W52" i="8"/>
  <c r="W54" i="36"/>
  <c r="X36" i="15"/>
  <c r="X36" i="36" s="1"/>
  <c r="AC52" i="8"/>
  <c r="AC54" i="36"/>
  <c r="AA52" i="8"/>
  <c r="AA54" i="36"/>
  <c r="Y52" i="8"/>
  <c r="Y54" i="36"/>
  <c r="R52" i="8"/>
  <c r="R54" i="36"/>
  <c r="AH42" i="38"/>
  <c r="N10" i="38"/>
  <c r="V10" i="38"/>
  <c r="M23" i="38"/>
  <c r="Y26" i="38"/>
  <c r="AE15" i="38"/>
  <c r="S15" i="38"/>
  <c r="Y7" i="38"/>
  <c r="W28" i="38"/>
  <c r="AG9" i="38"/>
  <c r="U17" i="38"/>
  <c r="AA26" i="38"/>
  <c r="W89" i="17"/>
  <c r="W90" i="17" s="1"/>
  <c r="U38" i="14"/>
  <c r="U54" i="14" s="1"/>
  <c r="U35" i="14"/>
  <c r="U51" i="14" s="1"/>
  <c r="Z71" i="18"/>
  <c r="AB39" i="14"/>
  <c r="AB55" i="14" s="1"/>
  <c r="AB35" i="14"/>
  <c r="AB51" i="14" s="1"/>
  <c r="K64" i="17"/>
  <c r="K65" i="17" s="1"/>
  <c r="AI64" i="17"/>
  <c r="S41" i="14"/>
  <c r="S57" i="14" s="1"/>
  <c r="AB64" i="17"/>
  <c r="O32" i="14"/>
  <c r="O48" i="14" s="1"/>
  <c r="O31" i="14"/>
  <c r="O47" i="14" s="1"/>
  <c r="O29" i="14"/>
  <c r="O45" i="14" s="1"/>
  <c r="M33" i="14"/>
  <c r="M49" i="14" s="1"/>
  <c r="M35" i="14"/>
  <c r="M51" i="14" s="1"/>
  <c r="M29" i="14"/>
  <c r="M45" i="14" s="1"/>
  <c r="M40" i="14"/>
  <c r="M56" i="14" s="1"/>
  <c r="AB39" i="17"/>
  <c r="AB39" i="18" s="1"/>
  <c r="AD68" i="18"/>
  <c r="AE71" i="18"/>
  <c r="O35" i="14"/>
  <c r="O51" i="14" s="1"/>
  <c r="O30" i="14"/>
  <c r="O46" i="14" s="1"/>
  <c r="M34" i="14"/>
  <c r="M50" i="14" s="1"/>
  <c r="M36" i="14"/>
  <c r="M52" i="14" s="1"/>
  <c r="M37" i="14"/>
  <c r="M53" i="14" s="1"/>
  <c r="M41" i="14"/>
  <c r="M57" i="14" s="1"/>
  <c r="S42" i="14"/>
  <c r="S58" i="14" s="1"/>
  <c r="O33" i="14"/>
  <c r="O49" i="14" s="1"/>
  <c r="O34" i="14"/>
  <c r="O50" i="14" s="1"/>
  <c r="W32" i="14"/>
  <c r="W48" i="14" s="1"/>
  <c r="M42" i="14"/>
  <c r="M58" i="14" s="1"/>
  <c r="M31" i="14"/>
  <c r="M47" i="14" s="1"/>
  <c r="M10" i="14"/>
  <c r="M22" i="14" s="1"/>
  <c r="L31" i="15" s="1"/>
  <c r="L31" i="36" s="1"/>
  <c r="U36" i="14"/>
  <c r="U52" i="14" s="1"/>
  <c r="U32" i="14"/>
  <c r="U48" i="14" s="1"/>
  <c r="U29" i="14"/>
  <c r="U45" i="14" s="1"/>
  <c r="AI36" i="14"/>
  <c r="AI52" i="14" s="1"/>
  <c r="U41" i="14"/>
  <c r="U57" i="14" s="1"/>
  <c r="AG64" i="17"/>
  <c r="U31" i="14"/>
  <c r="U47" i="14" s="1"/>
  <c r="U42" i="14"/>
  <c r="U58" i="14" s="1"/>
  <c r="U39" i="14"/>
  <c r="U55" i="14" s="1"/>
  <c r="AJ33" i="14"/>
  <c r="AJ49" i="14" s="1"/>
  <c r="S71" i="18"/>
  <c r="AK31" i="14"/>
  <c r="AK47" i="14" s="1"/>
  <c r="AJ30" i="14"/>
  <c r="AJ46" i="14" s="1"/>
  <c r="AE64" i="17"/>
  <c r="AH60" i="10"/>
  <c r="U33" i="14"/>
  <c r="U49" i="14" s="1"/>
  <c r="U30" i="14"/>
  <c r="U46" i="14" s="1"/>
  <c r="V68" i="18"/>
  <c r="AA67" i="18"/>
  <c r="AK34" i="14"/>
  <c r="AK50" i="14" s="1"/>
  <c r="T58" i="15"/>
  <c r="S59" i="15"/>
  <c r="Z51" i="15"/>
  <c r="AA112" i="17"/>
  <c r="W51" i="15"/>
  <c r="AF41" i="38"/>
  <c r="V39" i="38"/>
  <c r="AF37" i="38"/>
  <c r="N37" i="38"/>
  <c r="AE40" i="38"/>
  <c r="Z59" i="11"/>
  <c r="AB38" i="38"/>
  <c r="Y38" i="38"/>
  <c r="Q56" i="17"/>
  <c r="Q56" i="18" s="1"/>
  <c r="S35" i="38"/>
  <c r="O39" i="38"/>
  <c r="N59" i="17"/>
  <c r="N60" i="10" s="1"/>
  <c r="AG36" i="38"/>
  <c r="O25" i="38"/>
  <c r="Q39" i="17"/>
  <c r="Q39" i="18" s="1"/>
  <c r="AK45" i="17"/>
  <c r="AK45" i="18" s="1"/>
  <c r="M45" i="11"/>
  <c r="Z30" i="11"/>
  <c r="M44" i="11"/>
  <c r="AB24" i="38"/>
  <c r="AI33" i="17"/>
  <c r="AI33" i="18" s="1"/>
  <c r="O41" i="11"/>
  <c r="R39" i="17"/>
  <c r="R39" i="18" s="1"/>
  <c r="X39" i="17"/>
  <c r="X39" i="18" s="1"/>
  <c r="AJ45" i="11"/>
  <c r="T45" i="11"/>
  <c r="AB34" i="17"/>
  <c r="AB34" i="18" s="1"/>
  <c r="S25" i="38"/>
  <c r="AE45" i="17"/>
  <c r="AE45" i="18" s="1"/>
  <c r="N41" i="11"/>
  <c r="AI42" i="11"/>
  <c r="AI43" i="11" s="1"/>
  <c r="P17" i="11"/>
  <c r="X23" i="11"/>
  <c r="AB24" i="11"/>
  <c r="T26" i="16"/>
  <c r="AC17" i="11"/>
  <c r="R15" i="38"/>
  <c r="AF18" i="11"/>
  <c r="P18" i="11"/>
  <c r="Q19" i="11"/>
  <c r="W17" i="38"/>
  <c r="Z17" i="11"/>
  <c r="S18" i="11"/>
  <c r="N16" i="38"/>
  <c r="V16" i="38"/>
  <c r="P18" i="38"/>
  <c r="AA23" i="38"/>
  <c r="AK22" i="11"/>
  <c r="M18" i="11"/>
  <c r="Q23" i="11"/>
  <c r="AH18" i="11"/>
  <c r="V23" i="17"/>
  <c r="V23" i="18" s="1"/>
  <c r="AK23" i="38"/>
  <c r="U12" i="17"/>
  <c r="U12" i="18" s="1"/>
  <c r="AH10" i="11"/>
  <c r="AD9" i="11"/>
  <c r="V50" i="15"/>
  <c r="O49" i="15"/>
  <c r="X56" i="15"/>
  <c r="AC59" i="15"/>
  <c r="AI113" i="16"/>
  <c r="R52" i="15"/>
  <c r="N118" i="17"/>
  <c r="AB48" i="15"/>
  <c r="Z112" i="17"/>
  <c r="O57" i="15"/>
  <c r="AG119" i="17"/>
  <c r="U48" i="15"/>
  <c r="T119" i="17"/>
  <c r="AD48" i="15"/>
  <c r="R58" i="15"/>
  <c r="AG56" i="15"/>
  <c r="Y48" i="15"/>
  <c r="AD49" i="15"/>
  <c r="AJ119" i="17"/>
  <c r="AH51" i="15"/>
  <c r="AJ120" i="17"/>
  <c r="U50" i="15"/>
  <c r="T116" i="16"/>
  <c r="AA56" i="15"/>
  <c r="AJ48" i="15"/>
  <c r="AH48" i="15"/>
  <c r="O118" i="17"/>
  <c r="AC118" i="17"/>
  <c r="AD119" i="16"/>
  <c r="AJ89" i="17"/>
  <c r="AJ90" i="17" s="1"/>
  <c r="AD110" i="17"/>
  <c r="X57" i="15"/>
  <c r="AH119" i="17"/>
  <c r="AC118" i="16"/>
  <c r="AJ51" i="15"/>
  <c r="AI112" i="17"/>
  <c r="X118" i="17"/>
  <c r="T49" i="15"/>
  <c r="Y120" i="17"/>
  <c r="Z57" i="15"/>
  <c r="AI56" i="15"/>
  <c r="N61" i="16"/>
  <c r="M103" i="16"/>
  <c r="AI103" i="16"/>
  <c r="AC52" i="11"/>
  <c r="AC56" i="17"/>
  <c r="AC56" i="18" s="1"/>
  <c r="N52" i="11"/>
  <c r="AG59" i="17"/>
  <c r="AG60" i="10" s="1"/>
  <c r="Z56" i="11"/>
  <c r="T59" i="11"/>
  <c r="AD56" i="11"/>
  <c r="S104" i="16"/>
  <c r="R60" i="10"/>
  <c r="R59" i="18"/>
  <c r="AF64" i="17"/>
  <c r="AC59" i="18"/>
  <c r="P37" i="38"/>
  <c r="AD52" i="11"/>
  <c r="P52" i="11"/>
  <c r="AD64" i="17"/>
  <c r="X60" i="10"/>
  <c r="Q59" i="11"/>
  <c r="R59" i="11"/>
  <c r="X59" i="11"/>
  <c r="O38" i="38"/>
  <c r="AI104" i="16"/>
  <c r="S52" i="11"/>
  <c r="N103" i="16"/>
  <c r="M104" i="16"/>
  <c r="O41" i="38"/>
  <c r="AD40" i="38"/>
  <c r="AH36" i="38"/>
  <c r="P35" i="38"/>
  <c r="AI52" i="11"/>
  <c r="P104" i="16"/>
  <c r="AD103" i="16"/>
  <c r="AC104" i="16"/>
  <c r="AF104" i="16"/>
  <c r="Z35" i="38"/>
  <c r="AI37" i="38"/>
  <c r="AD37" i="38"/>
  <c r="M35" i="38"/>
  <c r="S64" i="17"/>
  <c r="X56" i="11"/>
  <c r="M37" i="38"/>
  <c r="S59" i="11"/>
  <c r="V56" i="11"/>
  <c r="AH56" i="11"/>
  <c r="T59" i="18"/>
  <c r="V38" i="38"/>
  <c r="P64" i="17"/>
  <c r="AC64" i="17"/>
  <c r="AC37" i="38"/>
  <c r="AF52" i="11"/>
  <c r="S38" i="38"/>
  <c r="AA36" i="38"/>
  <c r="AJ26" i="38"/>
  <c r="AC31" i="11"/>
  <c r="V39" i="17"/>
  <c r="V39" i="18" s="1"/>
  <c r="S33" i="17"/>
  <c r="S33" i="18" s="1"/>
  <c r="X30" i="11"/>
  <c r="Q45" i="17"/>
  <c r="Q45" i="18" s="1"/>
  <c r="AA42" i="17"/>
  <c r="AA42" i="18" s="1"/>
  <c r="L47" i="16"/>
  <c r="W40" i="11"/>
  <c r="S39" i="17"/>
  <c r="S39" i="18" s="1"/>
  <c r="M41" i="17"/>
  <c r="O31" i="11"/>
  <c r="AG25" i="38"/>
  <c r="AC42" i="17"/>
  <c r="AC42" i="18" s="1"/>
  <c r="AC43" i="11"/>
  <c r="R30" i="11"/>
  <c r="P22" i="38"/>
  <c r="Z42" i="11"/>
  <c r="AD41" i="11"/>
  <c r="AC28" i="38"/>
  <c r="U41" i="11"/>
  <c r="AH45" i="17"/>
  <c r="AH45" i="18" s="1"/>
  <c r="V45" i="11"/>
  <c r="AK22" i="38"/>
  <c r="M33" i="11"/>
  <c r="M29" i="11"/>
  <c r="AK30" i="11"/>
  <c r="AE44" i="11"/>
  <c r="P30" i="17"/>
  <c r="P30" i="18" s="1"/>
  <c r="T33" i="11"/>
  <c r="Q26" i="38"/>
  <c r="O45" i="11"/>
  <c r="Y45" i="17"/>
  <c r="Y45" i="18" s="1"/>
  <c r="Y30" i="11"/>
  <c r="AI28" i="38"/>
  <c r="AB44" i="11"/>
  <c r="U44" i="11"/>
  <c r="P45" i="11"/>
  <c r="AI45" i="17"/>
  <c r="AI45" i="18" s="1"/>
  <c r="AI30" i="17"/>
  <c r="AI30" i="18" s="1"/>
  <c r="X42" i="17"/>
  <c r="X42" i="18" s="1"/>
  <c r="AC30" i="11"/>
  <c r="AG44" i="11"/>
  <c r="V42" i="11"/>
  <c r="AG45" i="17"/>
  <c r="AG45" i="18" s="1"/>
  <c r="AH41" i="17"/>
  <c r="AH41" i="18" s="1"/>
  <c r="N42" i="17"/>
  <c r="N42" i="18" s="1"/>
  <c r="AD39" i="17"/>
  <c r="AD39" i="18" s="1"/>
  <c r="AD38" i="16"/>
  <c r="AD27" i="38" s="1"/>
  <c r="AB28" i="38"/>
  <c r="AF28" i="38"/>
  <c r="L24" i="38"/>
  <c r="AI44" i="11"/>
  <c r="X28" i="38"/>
  <c r="Q41" i="11"/>
  <c r="L25" i="38"/>
  <c r="Z32" i="11"/>
  <c r="O44" i="11"/>
  <c r="N44" i="17"/>
  <c r="N44" i="18" s="1"/>
  <c r="U45" i="11"/>
  <c r="P44" i="11"/>
  <c r="V29" i="11"/>
  <c r="AD42" i="11"/>
  <c r="M42" i="11"/>
  <c r="M43" i="11" s="1"/>
  <c r="T39" i="17"/>
  <c r="T39" i="18" s="1"/>
  <c r="AB19" i="17"/>
  <c r="AB19" i="18" s="1"/>
  <c r="R19" i="11"/>
  <c r="M18" i="17"/>
  <c r="AD16" i="38"/>
  <c r="AD19" i="17"/>
  <c r="AD19" i="18" s="1"/>
  <c r="M19" i="11"/>
  <c r="AA19" i="11"/>
  <c r="Q14" i="38"/>
  <c r="W18" i="11"/>
  <c r="O24" i="11"/>
  <c r="AB15" i="38"/>
  <c r="AA18" i="11"/>
  <c r="AE17" i="38"/>
  <c r="AG23" i="11"/>
  <c r="AG18" i="11"/>
  <c r="N23" i="17"/>
  <c r="N23" i="18" s="1"/>
  <c r="AJ20" i="11"/>
  <c r="Z23" i="38"/>
  <c r="V18" i="11"/>
  <c r="W23" i="38"/>
  <c r="AI23" i="38"/>
  <c r="S23" i="11"/>
  <c r="X22" i="11"/>
  <c r="AK23" i="17"/>
  <c r="AK23" i="18" s="1"/>
  <c r="V17" i="11"/>
  <c r="Z18" i="11"/>
  <c r="M23" i="17"/>
  <c r="AE20" i="11"/>
  <c r="AI18" i="11"/>
  <c r="AK9" i="11"/>
  <c r="AJ9" i="11"/>
  <c r="T8" i="38"/>
  <c r="AD12" i="17"/>
  <c r="AD12" i="18" s="1"/>
  <c r="W9" i="11"/>
  <c r="Q12" i="17"/>
  <c r="Q12" i="18" s="1"/>
  <c r="X9" i="11"/>
  <c r="AG9" i="11"/>
  <c r="M12" i="11"/>
  <c r="AE7" i="38"/>
  <c r="P14" i="16"/>
  <c r="AI14" i="16"/>
  <c r="Y12" i="11"/>
  <c r="Y8" i="11"/>
  <c r="O12" i="11"/>
  <c r="M8" i="11"/>
  <c r="T9" i="11"/>
  <c r="W12" i="17"/>
  <c r="W12" i="18" s="1"/>
  <c r="AG11" i="11"/>
  <c r="X109" i="16"/>
  <c r="O110" i="16"/>
  <c r="Q118" i="16"/>
  <c r="AB111" i="17"/>
  <c r="AD111" i="17"/>
  <c r="AH54" i="15"/>
  <c r="AH50" i="15"/>
  <c r="AK50" i="15"/>
  <c r="M54" i="15"/>
  <c r="AC56" i="15"/>
  <c r="AI54" i="15"/>
  <c r="Y110" i="17"/>
  <c r="R119" i="16"/>
  <c r="S120" i="16"/>
  <c r="AK111" i="17"/>
  <c r="AK110" i="17"/>
  <c r="AH111" i="17"/>
  <c r="Q118" i="17"/>
  <c r="AE50" i="15"/>
  <c r="U111" i="17"/>
  <c r="AF49" i="15"/>
  <c r="Z56" i="15"/>
  <c r="N55" i="15"/>
  <c r="AK49" i="15"/>
  <c r="AB118" i="17"/>
  <c r="AA58" i="15"/>
  <c r="AE51" i="15"/>
  <c r="AF110" i="17"/>
  <c r="AG50" i="15"/>
  <c r="Y49" i="15"/>
  <c r="Z59" i="18"/>
  <c r="Z60" i="10"/>
  <c r="AD63" i="16"/>
  <c r="AD97" i="16" s="1"/>
  <c r="P42" i="11"/>
  <c r="P43" i="11" s="1"/>
  <c r="M25" i="38"/>
  <c r="AA47" i="16"/>
  <c r="U61" i="16"/>
  <c r="AK19" i="11"/>
  <c r="AB30" i="11"/>
  <c r="AA24" i="38"/>
  <c r="Z12" i="11"/>
  <c r="AA29" i="11"/>
  <c r="Q10" i="11"/>
  <c r="O16" i="38"/>
  <c r="P19" i="17"/>
  <c r="P19" i="18" s="1"/>
  <c r="T8" i="11"/>
  <c r="Q18" i="11"/>
  <c r="AD14" i="38"/>
  <c r="AH42" i="11"/>
  <c r="AG7" i="38"/>
  <c r="AH34" i="17"/>
  <c r="AH34" i="18" s="1"/>
  <c r="P12" i="11"/>
  <c r="Y42" i="11"/>
  <c r="S39" i="38"/>
  <c r="AK36" i="38"/>
  <c r="M41" i="38"/>
  <c r="AC40" i="38"/>
  <c r="Y38" i="16"/>
  <c r="Y27" i="38" s="1"/>
  <c r="AC38" i="16"/>
  <c r="AC27" i="38" s="1"/>
  <c r="S38" i="16"/>
  <c r="Y39" i="17"/>
  <c r="Y39" i="18" s="1"/>
  <c r="N38" i="38"/>
  <c r="N35" i="38"/>
  <c r="X43" i="11"/>
  <c r="Q14" i="16"/>
  <c r="S61" i="16"/>
  <c r="AB9" i="11"/>
  <c r="Z14" i="16"/>
  <c r="O14" i="16"/>
  <c r="S59" i="18"/>
  <c r="P61" i="16"/>
  <c r="S24" i="38"/>
  <c r="R12" i="17"/>
  <c r="R12" i="18" s="1"/>
  <c r="AK59" i="11"/>
  <c r="U14" i="38"/>
  <c r="AE19" i="17"/>
  <c r="AE19" i="18" s="1"/>
  <c r="S17" i="11"/>
  <c r="Z33" i="11"/>
  <c r="T19" i="11"/>
  <c r="V19" i="11"/>
  <c r="Z19" i="17"/>
  <c r="Z19" i="18" s="1"/>
  <c r="O15" i="38"/>
  <c r="AG16" i="38"/>
  <c r="O9" i="11"/>
  <c r="U18" i="17"/>
  <c r="U18" i="18" s="1"/>
  <c r="AI29" i="11"/>
  <c r="S9" i="17"/>
  <c r="S9" i="18" s="1"/>
  <c r="W59" i="11"/>
  <c r="AG56" i="11"/>
  <c r="P56" i="11"/>
  <c r="M39" i="17"/>
  <c r="AF41" i="11"/>
  <c r="AF43" i="11" s="1"/>
  <c r="AK38" i="38"/>
  <c r="M38" i="38"/>
  <c r="AE36" i="38"/>
  <c r="AG35" i="38"/>
  <c r="AA35" i="38"/>
  <c r="Y47" i="16"/>
  <c r="O19" i="17"/>
  <c r="O19" i="18" s="1"/>
  <c r="W19" i="11"/>
  <c r="Y22" i="38"/>
  <c r="AA45" i="11"/>
  <c r="Z8" i="38"/>
  <c r="AJ19" i="17"/>
  <c r="AJ19" i="18" s="1"/>
  <c r="U39" i="17"/>
  <c r="U39" i="18" s="1"/>
  <c r="N39" i="17"/>
  <c r="N39" i="18" s="1"/>
  <c r="P40" i="38"/>
  <c r="AF40" i="38"/>
  <c r="P41" i="38"/>
  <c r="Z39" i="38"/>
  <c r="R40" i="38"/>
  <c r="Q23" i="38"/>
  <c r="X63" i="16"/>
  <c r="X97" i="16" s="1"/>
  <c r="T36" i="38"/>
  <c r="Y26" i="16"/>
  <c r="Q26" i="16"/>
  <c r="Z36" i="38"/>
  <c r="M28" i="38"/>
  <c r="S28" i="38"/>
  <c r="S41" i="17"/>
  <c r="S41" i="18" s="1"/>
  <c r="S41" i="11"/>
  <c r="S43" i="11" s="1"/>
  <c r="AF35" i="11"/>
  <c r="AF38" i="11" s="1"/>
  <c r="AF38" i="16"/>
  <c r="AF27" i="38" s="1"/>
  <c r="T41" i="11"/>
  <c r="T41" i="17"/>
  <c r="T41" i="18" s="1"/>
  <c r="AI55" i="11"/>
  <c r="AI40" i="38"/>
  <c r="Y14" i="16"/>
  <c r="M22" i="11"/>
  <c r="AI60" i="10"/>
  <c r="AI61" i="16"/>
  <c r="AK14" i="38"/>
  <c r="S9" i="38"/>
  <c r="AC22" i="11"/>
  <c r="Y11" i="11"/>
  <c r="AB9" i="38"/>
  <c r="AF22" i="11"/>
  <c r="AJ39" i="38"/>
  <c r="T28" i="38"/>
  <c r="AE18" i="11"/>
  <c r="AE33" i="11"/>
  <c r="AK42" i="17"/>
  <c r="AK42" i="18" s="1"/>
  <c r="AH39" i="38"/>
  <c r="AC18" i="11"/>
  <c r="AC18" i="17"/>
  <c r="AC18" i="18" s="1"/>
  <c r="AI39" i="11"/>
  <c r="W39" i="11"/>
  <c r="W39" i="17"/>
  <c r="W39" i="18" s="1"/>
  <c r="U40" i="11"/>
  <c r="U28" i="38"/>
  <c r="S57" i="11"/>
  <c r="S41" i="38"/>
  <c r="T50" i="11"/>
  <c r="T61" i="16"/>
  <c r="M17" i="38"/>
  <c r="R26" i="16"/>
  <c r="AC26" i="16"/>
  <c r="M38" i="16"/>
  <c r="M27" i="38" s="1"/>
  <c r="P17" i="38"/>
  <c r="R22" i="11"/>
  <c r="N9" i="38"/>
  <c r="AD9" i="38"/>
  <c r="AB25" i="38"/>
  <c r="X12" i="17"/>
  <c r="X12" i="18" s="1"/>
  <c r="W42" i="17"/>
  <c r="W42" i="18" s="1"/>
  <c r="AG30" i="11"/>
  <c r="AG30" i="17"/>
  <c r="AG30" i="18" s="1"/>
  <c r="AK39" i="11"/>
  <c r="AG39" i="11"/>
  <c r="AG39" i="17"/>
  <c r="AG39" i="18" s="1"/>
  <c r="R44" i="17"/>
  <c r="R44" i="18" s="1"/>
  <c r="R44" i="11"/>
  <c r="AC23" i="17"/>
  <c r="AC23" i="18" s="1"/>
  <c r="AC23" i="11"/>
  <c r="Z41" i="17"/>
  <c r="Z41" i="18" s="1"/>
  <c r="Z41" i="11"/>
  <c r="AD14" i="16"/>
  <c r="W60" i="10"/>
  <c r="P24" i="11"/>
  <c r="AH24" i="11"/>
  <c r="T23" i="17"/>
  <c r="T23" i="18" s="1"/>
  <c r="AF18" i="38"/>
  <c r="AF63" i="16"/>
  <c r="Y54" i="11"/>
  <c r="Y39" i="38"/>
  <c r="AK32" i="11"/>
  <c r="AK25" i="38"/>
  <c r="N15" i="38"/>
  <c r="N20" i="11"/>
  <c r="V20" i="11"/>
  <c r="V15" i="38"/>
  <c r="AA23" i="17"/>
  <c r="AA23" i="18" s="1"/>
  <c r="AA23" i="11"/>
  <c r="AB18" i="11"/>
  <c r="AB18" i="17"/>
  <c r="AB18" i="18" s="1"/>
  <c r="AD45" i="17"/>
  <c r="AD45" i="18" s="1"/>
  <c r="AD45" i="11"/>
  <c r="R24" i="38"/>
  <c r="R31" i="11"/>
  <c r="S26" i="38"/>
  <c r="AD33" i="17"/>
  <c r="AD33" i="18" s="1"/>
  <c r="AD33" i="11"/>
  <c r="R34" i="17"/>
  <c r="R34" i="18" s="1"/>
  <c r="AA9" i="11"/>
  <c r="AA9" i="17"/>
  <c r="AA9" i="18" s="1"/>
  <c r="T12" i="11"/>
  <c r="T12" i="17"/>
  <c r="T12" i="18" s="1"/>
  <c r="V34" i="17"/>
  <c r="V34" i="18" s="1"/>
  <c r="V33" i="17"/>
  <c r="V33" i="18" s="1"/>
  <c r="V33" i="11"/>
  <c r="AF53" i="11"/>
  <c r="AF38" i="38"/>
  <c r="Z41" i="38"/>
  <c r="N40" i="38"/>
  <c r="V36" i="38"/>
  <c r="X38" i="38"/>
  <c r="T35" i="38"/>
  <c r="R36" i="38"/>
  <c r="S14" i="16"/>
  <c r="T47" i="16"/>
  <c r="AD28" i="38"/>
  <c r="P28" i="38"/>
  <c r="AC17" i="38"/>
  <c r="T40" i="38"/>
  <c r="O36" i="38"/>
  <c r="Q36" i="38"/>
  <c r="AD36" i="38"/>
  <c r="AJ35" i="38"/>
  <c r="Q22" i="38"/>
  <c r="P39" i="38"/>
  <c r="AH38" i="16"/>
  <c r="AH27" i="38" s="1"/>
  <c r="AK38" i="11"/>
  <c r="U38" i="16"/>
  <c r="U27" i="38" s="1"/>
  <c r="AJ41" i="38"/>
  <c r="Z40" i="38"/>
  <c r="AG63" i="16"/>
  <c r="Y63" i="16"/>
  <c r="Y94" i="16" s="1"/>
  <c r="Q63" i="16"/>
  <c r="Q95" i="16" s="1"/>
  <c r="M63" i="16"/>
  <c r="M97" i="16" s="1"/>
  <c r="R63" i="16"/>
  <c r="R97" i="16" s="1"/>
  <c r="T63" i="16"/>
  <c r="T94" i="16" s="1"/>
  <c r="AF36" i="38"/>
  <c r="O28" i="38"/>
  <c r="R17" i="38"/>
  <c r="P7" i="38"/>
  <c r="O8" i="38"/>
  <c r="X15" i="38"/>
  <c r="R16" i="38"/>
  <c r="AI19" i="17"/>
  <c r="AI19" i="18" s="1"/>
  <c r="AI19" i="11"/>
  <c r="P21" i="11"/>
  <c r="P16" i="38"/>
  <c r="R40" i="11"/>
  <c r="R28" i="38"/>
  <c r="M56" i="17"/>
  <c r="M56" i="11"/>
  <c r="M38" i="11"/>
  <c r="AA52" i="11"/>
  <c r="AH23" i="11"/>
  <c r="S45" i="17"/>
  <c r="S45" i="18" s="1"/>
  <c r="AA38" i="16"/>
  <c r="AA27" i="38" s="1"/>
  <c r="M26" i="38"/>
  <c r="N9" i="17"/>
  <c r="N9" i="18" s="1"/>
  <c r="N9" i="11"/>
  <c r="P20" i="11"/>
  <c r="P15" i="38"/>
  <c r="W34" i="17"/>
  <c r="W34" i="18" s="1"/>
  <c r="AB45" i="17"/>
  <c r="AB45" i="18" s="1"/>
  <c r="AB45" i="11"/>
  <c r="AE26" i="38"/>
  <c r="V44" i="17"/>
  <c r="V44" i="18" s="1"/>
  <c r="V44" i="11"/>
  <c r="Y44" i="17"/>
  <c r="Y44" i="18" s="1"/>
  <c r="Y44" i="11"/>
  <c r="Y19" i="11"/>
  <c r="Y19" i="17"/>
  <c r="Y19" i="18" s="1"/>
  <c r="AE47" i="16"/>
  <c r="AF34" i="17"/>
  <c r="AF34" i="18" s="1"/>
  <c r="AF26" i="38"/>
  <c r="AD44" i="17"/>
  <c r="AD44" i="18" s="1"/>
  <c r="AD44" i="11"/>
  <c r="AJ12" i="11"/>
  <c r="AJ12" i="17"/>
  <c r="AJ12" i="18" s="1"/>
  <c r="AJ26" i="16"/>
  <c r="AF59" i="17"/>
  <c r="AF59" i="11"/>
  <c r="AJ59" i="17"/>
  <c r="AJ59" i="11"/>
  <c r="AE39" i="11"/>
  <c r="AE97" i="16"/>
  <c r="U64" i="17"/>
  <c r="AC19" i="17"/>
  <c r="AC19" i="18" s="1"/>
  <c r="Q20" i="11"/>
  <c r="M30" i="17"/>
  <c r="V8" i="38"/>
  <c r="Y56" i="17"/>
  <c r="Y56" i="18" s="1"/>
  <c r="U56" i="11"/>
  <c r="AA38" i="11"/>
  <c r="N8" i="11"/>
  <c r="N7" i="38"/>
  <c r="P23" i="11"/>
  <c r="P23" i="17"/>
  <c r="P23" i="18" s="1"/>
  <c r="AE12" i="11"/>
  <c r="AE14" i="16"/>
  <c r="AH26" i="16"/>
  <c r="Y25" i="38"/>
  <c r="V24" i="38"/>
  <c r="X38" i="11"/>
  <c r="Z17" i="38"/>
  <c r="Z24" i="11"/>
  <c r="Y20" i="11"/>
  <c r="R23" i="17"/>
  <c r="R23" i="18" s="1"/>
  <c r="P26" i="16"/>
  <c r="AC14" i="16"/>
  <c r="AC63" i="16"/>
  <c r="AC97" i="16" s="1"/>
  <c r="AK63" i="16"/>
  <c r="AK97" i="16" s="1"/>
  <c r="O18" i="38"/>
  <c r="O63" i="16"/>
  <c r="O96" i="16" s="1"/>
  <c r="AK50" i="11"/>
  <c r="AK35" i="38"/>
  <c r="AC45" i="17"/>
  <c r="AC45" i="18" s="1"/>
  <c r="AC45" i="11"/>
  <c r="AG26" i="16"/>
  <c r="AA40" i="11"/>
  <c r="AA28" i="38"/>
  <c r="AD59" i="17"/>
  <c r="AD59" i="11"/>
  <c r="N14" i="38"/>
  <c r="AC8" i="38"/>
  <c r="P23" i="38"/>
  <c r="P38" i="38"/>
  <c r="P36" i="38"/>
  <c r="M47" i="16"/>
  <c r="Z26" i="16"/>
  <c r="AB26" i="16"/>
  <c r="AG47" i="16"/>
  <c r="AK24" i="38"/>
  <c r="AF47" i="16"/>
  <c r="AD26" i="38"/>
  <c r="AD38" i="11"/>
  <c r="X25" i="38"/>
  <c r="T26" i="38"/>
  <c r="P24" i="38"/>
  <c r="AH28" i="38"/>
  <c r="T24" i="38"/>
  <c r="AJ8" i="38"/>
  <c r="W8" i="38"/>
  <c r="AG18" i="38"/>
  <c r="R18" i="38"/>
  <c r="V40" i="38"/>
  <c r="AG41" i="38"/>
  <c r="AH38" i="38"/>
  <c r="T39" i="38"/>
  <c r="AE39" i="38"/>
  <c r="P38" i="16"/>
  <c r="P27" i="38" s="1"/>
  <c r="AH15" i="38"/>
  <c r="AF16" i="38"/>
  <c r="AH14" i="38"/>
  <c r="O17" i="38"/>
  <c r="X23" i="38"/>
  <c r="AB39" i="38"/>
  <c r="M36" i="38"/>
  <c r="AJ28" i="38"/>
  <c r="AF15" i="38"/>
  <c r="AJ17" i="38"/>
  <c r="AG17" i="38"/>
  <c r="W22" i="38"/>
  <c r="S8" i="38"/>
  <c r="Y59" i="18"/>
  <c r="Y60" i="10"/>
  <c r="AF54" i="11"/>
  <c r="AF39" i="38"/>
  <c r="AH63" i="16"/>
  <c r="S18" i="38"/>
  <c r="S63" i="16"/>
  <c r="Z10" i="38"/>
  <c r="Z63" i="16"/>
  <c r="Z94" i="16" s="1"/>
  <c r="N47" i="16"/>
  <c r="AJ39" i="11"/>
  <c r="AJ39" i="17"/>
  <c r="AJ39" i="18" s="1"/>
  <c r="W30" i="17"/>
  <c r="W30" i="18" s="1"/>
  <c r="W30" i="11"/>
  <c r="AB33" i="11"/>
  <c r="AB33" i="17"/>
  <c r="AB33" i="18" s="1"/>
  <c r="X16" i="38"/>
  <c r="X21" i="11"/>
  <c r="O39" i="11"/>
  <c r="O39" i="17"/>
  <c r="O39" i="18" s="1"/>
  <c r="W35" i="11"/>
  <c r="W38" i="11" s="1"/>
  <c r="W38" i="16"/>
  <c r="W27" i="38" s="1"/>
  <c r="R35" i="11"/>
  <c r="R38" i="11" s="1"/>
  <c r="R38" i="16"/>
  <c r="R27" i="38" s="1"/>
  <c r="AG42" i="17"/>
  <c r="AG42" i="18" s="1"/>
  <c r="AG42" i="11"/>
  <c r="AG43" i="11" s="1"/>
  <c r="AG51" i="11"/>
  <c r="AG61" i="16"/>
  <c r="AE50" i="11"/>
  <c r="AE35" i="38"/>
  <c r="Q58" i="11"/>
  <c r="Q41" i="38"/>
  <c r="U57" i="11"/>
  <c r="U41" i="38"/>
  <c r="M59" i="17"/>
  <c r="M60" i="10" s="1"/>
  <c r="M61" i="16"/>
  <c r="W56" i="11"/>
  <c r="W56" i="17"/>
  <c r="W56" i="18" s="1"/>
  <c r="AK52" i="11"/>
  <c r="AK64" i="17"/>
  <c r="U104" i="16"/>
  <c r="U103" i="16"/>
  <c r="U52" i="11"/>
  <c r="X52" i="11"/>
  <c r="X64" i="17"/>
  <c r="X104" i="16"/>
  <c r="AA104" i="16"/>
  <c r="AA37" i="38"/>
  <c r="V104" i="16"/>
  <c r="V103" i="16"/>
  <c r="AA64" i="17"/>
  <c r="W63" i="16"/>
  <c r="W88" i="16" s="1"/>
  <c r="X61" i="16"/>
  <c r="Y61" i="16"/>
  <c r="AG14" i="16"/>
  <c r="AF61" i="16"/>
  <c r="T14" i="16"/>
  <c r="U26" i="16"/>
  <c r="AI47" i="16"/>
  <c r="U47" i="16"/>
  <c r="Q47" i="16"/>
  <c r="AJ61" i="16"/>
  <c r="X24" i="11"/>
  <c r="O30" i="17"/>
  <c r="O30" i="18" s="1"/>
  <c r="AA22" i="11"/>
  <c r="U24" i="11"/>
  <c r="AG19" i="17"/>
  <c r="AG19" i="18" s="1"/>
  <c r="Z22" i="11"/>
  <c r="AB59" i="11"/>
  <c r="Y59" i="11"/>
  <c r="AB63" i="16"/>
  <c r="AB94" i="16" s="1"/>
  <c r="X26" i="16"/>
  <c r="T42" i="11"/>
  <c r="U35" i="11"/>
  <c r="U38" i="11" s="1"/>
  <c r="AK103" i="16"/>
  <c r="N14" i="16"/>
  <c r="N10" i="11"/>
  <c r="AD26" i="16"/>
  <c r="AD18" i="11"/>
  <c r="S47" i="16"/>
  <c r="U7" i="38"/>
  <c r="U14" i="16"/>
  <c r="AH14" i="16"/>
  <c r="AJ18" i="11"/>
  <c r="AJ18" i="17"/>
  <c r="AJ18" i="18" s="1"/>
  <c r="AJ42" i="11"/>
  <c r="AJ43" i="11" s="1"/>
  <c r="AJ42" i="17"/>
  <c r="AJ42" i="18" s="1"/>
  <c r="AB12" i="17"/>
  <c r="AB12" i="18" s="1"/>
  <c r="AB14" i="16"/>
  <c r="O37" i="11"/>
  <c r="O38" i="11" s="1"/>
  <c r="O38" i="16"/>
  <c r="O27" i="38" s="1"/>
  <c r="Z47" i="16"/>
  <c r="AC39" i="11"/>
  <c r="AC39" i="17"/>
  <c r="AC39" i="18" s="1"/>
  <c r="AH31" i="11"/>
  <c r="AH24" i="38"/>
  <c r="Z22" i="38"/>
  <c r="T22" i="38"/>
  <c r="P39" i="11"/>
  <c r="P39" i="17"/>
  <c r="P39" i="18" s="1"/>
  <c r="AI38" i="16"/>
  <c r="AI27" i="38" s="1"/>
  <c r="N35" i="11"/>
  <c r="N38" i="11" s="1"/>
  <c r="N38" i="16"/>
  <c r="N27" i="38" s="1"/>
  <c r="AG38" i="11"/>
  <c r="T53" i="11"/>
  <c r="T38" i="38"/>
  <c r="AB35" i="38"/>
  <c r="AB61" i="16"/>
  <c r="R50" i="11"/>
  <c r="R61" i="16"/>
  <c r="O59" i="17"/>
  <c r="O59" i="11"/>
  <c r="O55" i="11"/>
  <c r="O40" i="38"/>
  <c r="W18" i="38"/>
  <c r="AG103" i="16"/>
  <c r="AG104" i="16"/>
  <c r="Q64" i="17"/>
  <c r="Q52" i="11"/>
  <c r="Q103" i="16"/>
  <c r="AJ103" i="16"/>
  <c r="AJ104" i="16"/>
  <c r="AJ52" i="11"/>
  <c r="W103" i="16"/>
  <c r="W64" i="17"/>
  <c r="AH103" i="16"/>
  <c r="AH37" i="38"/>
  <c r="R103" i="16"/>
  <c r="R104" i="16"/>
  <c r="W26" i="16"/>
  <c r="U63" i="16"/>
  <c r="AK61" i="16"/>
  <c r="AJ14" i="16"/>
  <c r="AE61" i="16"/>
  <c r="AB47" i="16"/>
  <c r="W47" i="16"/>
  <c r="O26" i="16"/>
  <c r="AK59" i="18"/>
  <c r="AB59" i="18"/>
  <c r="AH52" i="11"/>
  <c r="AJ37" i="38"/>
  <c r="AD61" i="16"/>
  <c r="Q61" i="16"/>
  <c r="AC61" i="16"/>
  <c r="AK33" i="11"/>
  <c r="N34" i="17"/>
  <c r="N34" i="18" s="1"/>
  <c r="AE8" i="38"/>
  <c r="AC12" i="17"/>
  <c r="AC12" i="18" s="1"/>
  <c r="U8" i="11"/>
  <c r="Z21" i="11"/>
  <c r="U22" i="11"/>
  <c r="AI23" i="17"/>
  <c r="AI23" i="18" s="1"/>
  <c r="AD29" i="11"/>
  <c r="AC26" i="38"/>
  <c r="AK26" i="16"/>
  <c r="AG19" i="11"/>
  <c r="AD30" i="11"/>
  <c r="AF44" i="11"/>
  <c r="Y41" i="11"/>
  <c r="S30" i="17"/>
  <c r="S30" i="18" s="1"/>
  <c r="AK14" i="16"/>
  <c r="AE41" i="11"/>
  <c r="AE43" i="11" s="1"/>
  <c r="V59" i="17"/>
  <c r="V60" i="10" s="1"/>
  <c r="Q60" i="10"/>
  <c r="Q59" i="18"/>
  <c r="R56" i="11"/>
  <c r="AA39" i="17"/>
  <c r="AA39" i="18" s="1"/>
  <c r="Y36" i="38"/>
  <c r="AC41" i="38"/>
  <c r="W36" i="38"/>
  <c r="AA41" i="11"/>
  <c r="Q38" i="16"/>
  <c r="Q27" i="38" s="1"/>
  <c r="Q104" i="16"/>
  <c r="AJ31" i="38"/>
  <c r="AJ63" i="16"/>
  <c r="X35" i="38"/>
  <c r="AK26" i="38"/>
  <c r="M9" i="17"/>
  <c r="M14" i="16"/>
  <c r="T18" i="11"/>
  <c r="T23" i="38"/>
  <c r="U33" i="11"/>
  <c r="V47" i="16"/>
  <c r="Y18" i="11"/>
  <c r="Y18" i="17"/>
  <c r="Y18" i="18" s="1"/>
  <c r="Z26" i="38"/>
  <c r="AF26" i="16"/>
  <c r="AF17" i="11"/>
  <c r="AH39" i="11"/>
  <c r="AH39" i="17"/>
  <c r="AH39" i="18" s="1"/>
  <c r="AG28" i="38"/>
  <c r="AC25" i="38"/>
  <c r="W25" i="38"/>
  <c r="R41" i="11"/>
  <c r="R41" i="17"/>
  <c r="R41" i="18" s="1"/>
  <c r="AH64" i="17"/>
  <c r="AK47" i="16"/>
  <c r="AB39" i="11"/>
  <c r="R47" i="16"/>
  <c r="AH47" i="16"/>
  <c r="V26" i="16"/>
  <c r="O47" i="16"/>
  <c r="V52" i="11"/>
  <c r="W52" i="11"/>
  <c r="AG52" i="11"/>
  <c r="AC33" i="11"/>
  <c r="AK34" i="17"/>
  <c r="AK34" i="18" s="1"/>
  <c r="Q16" i="38"/>
  <c r="N8" i="38"/>
  <c r="AA10" i="11"/>
  <c r="O33" i="17"/>
  <c r="O33" i="18" s="1"/>
  <c r="Y23" i="17"/>
  <c r="Y23" i="18" s="1"/>
  <c r="S29" i="11"/>
  <c r="V9" i="38"/>
  <c r="P9" i="11"/>
  <c r="M20" i="11"/>
  <c r="AG22" i="38"/>
  <c r="AH7" i="38"/>
  <c r="AF29" i="11"/>
  <c r="AH33" i="17"/>
  <c r="AH33" i="18" s="1"/>
  <c r="N63" i="16"/>
  <c r="N96" i="16" s="1"/>
  <c r="AF9" i="11"/>
  <c r="AB23" i="11"/>
  <c r="AJ44" i="11"/>
  <c r="O42" i="11"/>
  <c r="AF14" i="16"/>
  <c r="U42" i="11"/>
  <c r="AA59" i="18"/>
  <c r="AA60" i="10"/>
  <c r="M59" i="11"/>
  <c r="AH10" i="38"/>
  <c r="X38" i="16"/>
  <c r="X27" i="38" s="1"/>
  <c r="AG38" i="16"/>
  <c r="AG27" i="38" s="1"/>
  <c r="AH35" i="11"/>
  <c r="AH38" i="11" s="1"/>
  <c r="AF35" i="38"/>
  <c r="X103" i="16"/>
  <c r="AH104" i="16"/>
  <c r="W41" i="38"/>
  <c r="N41" i="38"/>
  <c r="AC39" i="38"/>
  <c r="AC38" i="38"/>
  <c r="U38" i="38"/>
  <c r="R41" i="38"/>
  <c r="AD38" i="38"/>
  <c r="Y40" i="38"/>
  <c r="Q40" i="38"/>
  <c r="Z38" i="38"/>
  <c r="U37" i="38"/>
  <c r="O61" i="16"/>
  <c r="AK12" i="17"/>
  <c r="AK12" i="18" s="1"/>
  <c r="AK12" i="11"/>
  <c r="M17" i="11"/>
  <c r="M26" i="16"/>
  <c r="P10" i="11"/>
  <c r="P8" i="38"/>
  <c r="X8" i="38"/>
  <c r="X14" i="16"/>
  <c r="V37" i="38"/>
  <c r="X36" i="38"/>
  <c r="AC35" i="38"/>
  <c r="U54" i="11"/>
  <c r="U39" i="38"/>
  <c r="T37" i="11"/>
  <c r="T38" i="11" s="1"/>
  <c r="T38" i="16"/>
  <c r="T27" i="38" s="1"/>
  <c r="V14" i="16"/>
  <c r="Z44" i="11"/>
  <c r="Z44" i="17"/>
  <c r="Z44" i="18" s="1"/>
  <c r="AE24" i="38"/>
  <c r="AG53" i="11"/>
  <c r="AG38" i="38"/>
  <c r="U40" i="38"/>
  <c r="AI25" i="38"/>
  <c r="AA17" i="38"/>
  <c r="M10" i="38"/>
  <c r="U10" i="38"/>
  <c r="Y10" i="38"/>
  <c r="AC10" i="38"/>
  <c r="AG10" i="38"/>
  <c r="AK10" i="38"/>
  <c r="Z31" i="38"/>
  <c r="AH31" i="38"/>
  <c r="V41" i="38"/>
  <c r="AI39" i="38"/>
  <c r="AE38" i="38"/>
  <c r="AB41" i="38"/>
  <c r="Q39" i="38"/>
  <c r="AA40" i="38"/>
  <c r="T41" i="38"/>
  <c r="AI36" i="38"/>
  <c r="S36" i="38"/>
  <c r="Y41" i="38"/>
  <c r="S23" i="38"/>
  <c r="W35" i="38"/>
  <c r="U36" i="38"/>
  <c r="AH26" i="38"/>
  <c r="W24" i="38"/>
  <c r="AF8" i="38"/>
  <c r="S22" i="38"/>
  <c r="AJ14" i="38"/>
  <c r="AK15" i="38"/>
  <c r="AD7" i="38"/>
  <c r="AA15" i="38"/>
  <c r="Z9" i="38"/>
  <c r="M16" i="38"/>
  <c r="AB8" i="38"/>
  <c r="AK28" i="38"/>
  <c r="AC22" i="38"/>
  <c r="AJ22" i="38"/>
  <c r="AH22" i="38"/>
  <c r="AE25" i="38"/>
  <c r="U22" i="38"/>
  <c r="U24" i="38"/>
  <c r="R26" i="38"/>
  <c r="AG24" i="38"/>
  <c r="AF14" i="38"/>
  <c r="X24" i="38"/>
  <c r="AI16" i="38"/>
  <c r="R22" i="38"/>
  <c r="AI9" i="38"/>
  <c r="AG15" i="38"/>
  <c r="AF17" i="38"/>
  <c r="AE14" i="38"/>
  <c r="AB22" i="38"/>
  <c r="AF25" i="38"/>
  <c r="U25" i="38"/>
  <c r="N22" i="38"/>
  <c r="AK17" i="38"/>
  <c r="AE16" i="38"/>
  <c r="AJ7" i="38"/>
  <c r="AK16" i="38"/>
  <c r="P25" i="38"/>
  <c r="AC16" i="38"/>
  <c r="AB16" i="38"/>
  <c r="X14" i="38"/>
  <c r="W9" i="38"/>
  <c r="Z7" i="38"/>
  <c r="Y28" i="38"/>
  <c r="S7" i="38"/>
  <c r="R14" i="38"/>
  <c r="AD15" i="38"/>
  <c r="W15" i="38"/>
  <c r="T9" i="38"/>
  <c r="S16" i="38"/>
  <c r="Q24" i="38"/>
  <c r="W16" i="38"/>
  <c r="R7" i="38"/>
  <c r="Q17" i="38"/>
  <c r="AA16" i="38"/>
  <c r="W14" i="38"/>
  <c r="X9" i="38"/>
  <c r="U15" i="38"/>
  <c r="T16" i="38"/>
  <c r="M9" i="38"/>
  <c r="U9" i="38"/>
  <c r="Q7" i="38"/>
  <c r="W7" i="38"/>
  <c r="O9" i="38"/>
  <c r="M8" i="38"/>
  <c r="Q42" i="38"/>
  <c r="U42" i="38"/>
  <c r="Y42" i="38"/>
  <c r="AK42" i="38"/>
  <c r="T10" i="38"/>
  <c r="AF10" i="38"/>
  <c r="Q31" i="38"/>
  <c r="U31" i="38"/>
  <c r="Y31" i="38"/>
  <c r="AG31" i="38"/>
  <c r="AA18" i="38"/>
  <c r="Q18" i="38"/>
  <c r="Y18" i="38"/>
  <c r="U18" i="38"/>
  <c r="T18" i="38"/>
  <c r="U5" i="38"/>
  <c r="AF5" i="38"/>
  <c r="R5" i="38"/>
  <c r="H5" i="38"/>
  <c r="V5" i="38"/>
  <c r="S5" i="38"/>
  <c r="AJ5" i="38"/>
  <c r="T5" i="38"/>
  <c r="Y5" i="38"/>
  <c r="AD5" i="38"/>
  <c r="N5" i="38"/>
  <c r="D5" i="38"/>
  <c r="E5" i="38"/>
  <c r="W5" i="38"/>
  <c r="AA5" i="38"/>
  <c r="G5" i="35"/>
  <c r="O5" i="35"/>
  <c r="AI5" i="38"/>
  <c r="O47" i="15"/>
  <c r="P49" i="15"/>
  <c r="AG102" i="17"/>
  <c r="Z118" i="17"/>
  <c r="V49" i="15"/>
  <c r="V120" i="16"/>
  <c r="AF55" i="15"/>
  <c r="R49" i="15"/>
  <c r="T110" i="17"/>
  <c r="V56" i="15"/>
  <c r="AK54" i="15"/>
  <c r="AA120" i="17"/>
  <c r="Q50" i="15"/>
  <c r="Y47" i="15"/>
  <c r="Y56" i="15"/>
  <c r="P56" i="15"/>
  <c r="AA53" i="15"/>
  <c r="AA55" i="15"/>
  <c r="AJ118" i="17"/>
  <c r="AI55" i="15"/>
  <c r="AA111" i="16"/>
  <c r="Y53" i="15"/>
  <c r="AB112" i="16"/>
  <c r="N109" i="16"/>
  <c r="Q52" i="15"/>
  <c r="O89" i="17"/>
  <c r="O90" i="17" s="1"/>
  <c r="AH89" i="17"/>
  <c r="AH90" i="17" s="1"/>
  <c r="AK53" i="15"/>
  <c r="AC112" i="17"/>
  <c r="AJ111" i="17"/>
  <c r="AH47" i="15"/>
  <c r="V111" i="17"/>
  <c r="AA51" i="15"/>
  <c r="V110" i="17"/>
  <c r="AB49" i="15"/>
  <c r="AC48" i="15"/>
  <c r="R118" i="17"/>
  <c r="AH55" i="15"/>
  <c r="AJ47" i="15"/>
  <c r="O52" i="15"/>
  <c r="V58" i="15"/>
  <c r="AC54" i="15"/>
  <c r="S111" i="16"/>
  <c r="X52" i="15"/>
  <c r="P55" i="15"/>
  <c r="AA89" i="17"/>
  <c r="AA90" i="17" s="1"/>
  <c r="AJ112" i="17"/>
  <c r="AE119" i="17"/>
  <c r="AI51" i="15"/>
  <c r="AB57" i="15"/>
  <c r="AJ57" i="15"/>
  <c r="AG49" i="15"/>
  <c r="AD51" i="15"/>
  <c r="Z47" i="15"/>
  <c r="X58" i="15"/>
  <c r="N104" i="17"/>
  <c r="AK54" i="14"/>
  <c r="AB42" i="14"/>
  <c r="AB58" i="14" s="1"/>
  <c r="AB29" i="14"/>
  <c r="AB45" i="14" s="1"/>
  <c r="R34" i="14"/>
  <c r="R50" i="14" s="1"/>
  <c r="AB33" i="14"/>
  <c r="AB49" i="14" s="1"/>
  <c r="AB37" i="14"/>
  <c r="AB53" i="14" s="1"/>
  <c r="AB41" i="14"/>
  <c r="AB57" i="14" s="1"/>
  <c r="AB32" i="14"/>
  <c r="AB48" i="14" s="1"/>
  <c r="AB40" i="14"/>
  <c r="AB56" i="14" s="1"/>
  <c r="R40" i="14"/>
  <c r="R56" i="14" s="1"/>
  <c r="AB34" i="14"/>
  <c r="AB50" i="14" s="1"/>
  <c r="AD42" i="14"/>
  <c r="AD58" i="14" s="1"/>
  <c r="R23" i="14"/>
  <c r="Q32" i="15" s="1"/>
  <c r="AD30" i="14"/>
  <c r="AD46" i="14" s="1"/>
  <c r="AB31" i="14"/>
  <c r="AB47" i="14" s="1"/>
  <c r="AB38" i="14"/>
  <c r="AB54" i="14" s="1"/>
  <c r="R42" i="14"/>
  <c r="R58" i="14" s="1"/>
  <c r="AA31" i="14"/>
  <c r="AA47" i="14" s="1"/>
  <c r="AD31" i="14"/>
  <c r="AD47" i="14" s="1"/>
  <c r="AD29" i="14"/>
  <c r="AD45" i="14" s="1"/>
  <c r="AD41" i="14"/>
  <c r="AD57" i="14" s="1"/>
  <c r="T37" i="14"/>
  <c r="T53" i="14" s="1"/>
  <c r="S31" i="14"/>
  <c r="S47" i="14" s="1"/>
  <c r="S40" i="14"/>
  <c r="S56" i="14" s="1"/>
  <c r="AF41" i="14"/>
  <c r="AF57" i="14" s="1"/>
  <c r="S33" i="14"/>
  <c r="S49" i="14" s="1"/>
  <c r="S30" i="14"/>
  <c r="S46" i="14" s="1"/>
  <c r="AD35" i="14"/>
  <c r="AD51" i="14" s="1"/>
  <c r="AL40" i="14"/>
  <c r="AL56" i="14" s="1"/>
  <c r="AD38" i="14"/>
  <c r="AD54" i="14" s="1"/>
  <c r="AE38" i="14"/>
  <c r="AE54" i="14" s="1"/>
  <c r="AD33" i="14"/>
  <c r="AD49" i="14" s="1"/>
  <c r="AD32" i="14"/>
  <c r="AD48" i="14" s="1"/>
  <c r="AD40" i="14"/>
  <c r="AD56" i="14" s="1"/>
  <c r="S32" i="14"/>
  <c r="S48" i="14" s="1"/>
  <c r="S37" i="14"/>
  <c r="S53" i="14" s="1"/>
  <c r="AF32" i="14"/>
  <c r="AF48" i="14" s="1"/>
  <c r="AE32" i="14"/>
  <c r="AE48" i="14" s="1"/>
  <c r="AE30" i="14"/>
  <c r="AE46" i="14" s="1"/>
  <c r="S34" i="14"/>
  <c r="S50" i="14" s="1"/>
  <c r="AD37" i="14"/>
  <c r="AD53" i="14" s="1"/>
  <c r="AL41" i="14"/>
  <c r="AL57" i="14" s="1"/>
  <c r="V92" i="10"/>
  <c r="AC41" i="14"/>
  <c r="AC57" i="14" s="1"/>
  <c r="AD39" i="14"/>
  <c r="AD55" i="14" s="1"/>
  <c r="AD36" i="14"/>
  <c r="AD52" i="14" s="1"/>
  <c r="T42" i="14"/>
  <c r="T58" i="14" s="1"/>
  <c r="S35" i="14"/>
  <c r="S51" i="14" s="1"/>
  <c r="S38" i="14"/>
  <c r="S54" i="14" s="1"/>
  <c r="AF34" i="14"/>
  <c r="AF50" i="14" s="1"/>
  <c r="AD22" i="14"/>
  <c r="AC31" i="15" s="1"/>
  <c r="AL20" i="14"/>
  <c r="F78" i="11"/>
  <c r="AL13" i="14"/>
  <c r="AI13" i="14"/>
  <c r="U13" i="14"/>
  <c r="S13" i="14"/>
  <c r="AJ13" i="14"/>
  <c r="Z13" i="14"/>
  <c r="T13" i="14"/>
  <c r="AE13" i="14"/>
  <c r="O13" i="14"/>
  <c r="V13" i="14"/>
  <c r="AG13" i="14"/>
  <c r="Q13" i="14"/>
  <c r="P13" i="14"/>
  <c r="L13" i="14"/>
  <c r="AA13" i="14"/>
  <c r="AH13" i="14"/>
  <c r="R13" i="14"/>
  <c r="AC13" i="14"/>
  <c r="M13" i="14"/>
  <c r="AB13" i="14"/>
  <c r="AF13" i="14"/>
  <c r="W13" i="14"/>
  <c r="AD13" i="14"/>
  <c r="N13" i="14"/>
  <c r="Y13" i="14"/>
  <c r="AL12" i="14"/>
  <c r="AH12" i="14"/>
  <c r="AD12" i="14"/>
  <c r="Z12" i="14"/>
  <c r="V12" i="14"/>
  <c r="R12" i="14"/>
  <c r="N12" i="14"/>
  <c r="AK12" i="14"/>
  <c r="AG12" i="14"/>
  <c r="AC12" i="14"/>
  <c r="Y12" i="14"/>
  <c r="U12" i="14"/>
  <c r="Q12" i="14"/>
  <c r="AJ12" i="14"/>
  <c r="AF12" i="14"/>
  <c r="AB12" i="14"/>
  <c r="X12" i="14"/>
  <c r="T12" i="14"/>
  <c r="P12" i="14"/>
  <c r="V92" i="17"/>
  <c r="V93" i="17" s="1"/>
  <c r="V94" i="17" s="1"/>
  <c r="AF23" i="14"/>
  <c r="AE32" i="15" s="1"/>
  <c r="AE32" i="36" s="1"/>
  <c r="AE18" i="14"/>
  <c r="AD43" i="10" s="1"/>
  <c r="S20" i="14"/>
  <c r="R44" i="15" s="1"/>
  <c r="AH17" i="14"/>
  <c r="U18" i="14"/>
  <c r="T43" i="10" s="1"/>
  <c r="AK19" i="14"/>
  <c r="AJ35" i="15" s="1"/>
  <c r="AJ35" i="36" s="1"/>
  <c r="P26" i="38"/>
  <c r="O34" i="15"/>
  <c r="O34" i="36" s="1"/>
  <c r="Y23" i="38"/>
  <c r="S37" i="38"/>
  <c r="O23" i="38"/>
  <c r="R25" i="38"/>
  <c r="AI26" i="38"/>
  <c r="AD23" i="38"/>
  <c r="AK31" i="38"/>
  <c r="G52" i="8"/>
  <c r="Y8" i="38"/>
  <c r="N52" i="8"/>
  <c r="V51" i="8"/>
  <c r="P51" i="8"/>
  <c r="AG36" i="15"/>
  <c r="AG36" i="36" s="1"/>
  <c r="W34" i="15"/>
  <c r="W34" i="36" s="1"/>
  <c r="AB23" i="38"/>
  <c r="AD25" i="38"/>
  <c r="AH25" i="38"/>
  <c r="AF9" i="38"/>
  <c r="K18" i="36"/>
  <c r="N34" i="15"/>
  <c r="N34" i="36" s="1"/>
  <c r="S52" i="8"/>
  <c r="AB52" i="8"/>
  <c r="W16" i="15"/>
  <c r="W16" i="36" s="1"/>
  <c r="AC15" i="38"/>
  <c r="V23" i="38"/>
  <c r="X34" i="15"/>
  <c r="X34" i="36" s="1"/>
  <c r="AK37" i="38"/>
  <c r="Z37" i="38"/>
  <c r="L26" i="38"/>
  <c r="U34" i="15"/>
  <c r="AK34" i="15"/>
  <c r="AK34" i="36" s="1"/>
  <c r="X37" i="38"/>
  <c r="L37" i="38"/>
  <c r="X26" i="38"/>
  <c r="Q9" i="38"/>
  <c r="W51" i="8"/>
  <c r="C51" i="8"/>
  <c r="D51" i="8"/>
  <c r="Y51" i="8"/>
  <c r="L23" i="15"/>
  <c r="K26" i="38"/>
  <c r="B51" i="8"/>
  <c r="N26" i="38"/>
  <c r="Q25" i="38"/>
  <c r="J72" i="1"/>
  <c r="M71" i="1"/>
  <c r="Q37" i="38"/>
  <c r="AE23" i="38"/>
  <c r="T25" i="38"/>
  <c r="AA51" i="8"/>
  <c r="Q52" i="8"/>
  <c r="R51" i="8"/>
  <c r="K50" i="8"/>
  <c r="K45" i="8"/>
  <c r="J50" i="8"/>
  <c r="J45" i="8"/>
  <c r="B50" i="8"/>
  <c r="B45" i="8"/>
  <c r="AE34" i="15"/>
  <c r="AE34" i="36" s="1"/>
  <c r="AG23" i="38"/>
  <c r="W26" i="38"/>
  <c r="N23" i="38"/>
  <c r="U52" i="8"/>
  <c r="Q10" i="38"/>
  <c r="L45" i="8"/>
  <c r="J73" i="1"/>
  <c r="AD42" i="38"/>
  <c r="AD31" i="38"/>
  <c r="V31" i="38"/>
  <c r="N31" i="38"/>
  <c r="G50" i="8"/>
  <c r="G45" i="8"/>
  <c r="E50" i="8"/>
  <c r="E45" i="8"/>
  <c r="H45" i="8"/>
  <c r="C50" i="8"/>
  <c r="C45" i="8"/>
  <c r="P34" i="15"/>
  <c r="P34" i="36" s="1"/>
  <c r="AB34" i="15"/>
  <c r="AB34" i="36" s="1"/>
  <c r="Y16" i="38"/>
  <c r="F50" i="8"/>
  <c r="F45" i="8"/>
  <c r="I45" i="8"/>
  <c r="D45" i="8"/>
  <c r="C129" i="2"/>
  <c r="C132" i="2" s="1"/>
  <c r="V38" i="11"/>
  <c r="B38" i="11"/>
  <c r="AH43" i="11"/>
  <c r="K11" i="38"/>
  <c r="K125" i="17"/>
  <c r="K19" i="38"/>
  <c r="S38" i="11"/>
  <c r="X89" i="17"/>
  <c r="X90" i="17" s="1"/>
  <c r="Y38" i="11"/>
  <c r="I38" i="11"/>
  <c r="AD112" i="17"/>
  <c r="L101" i="17"/>
  <c r="AI63" i="16"/>
  <c r="AA26" i="16"/>
  <c r="AE89" i="17"/>
  <c r="AE90" i="17" s="1"/>
  <c r="AF89" i="17"/>
  <c r="AF90" i="17" s="1"/>
  <c r="N89" i="17"/>
  <c r="N90" i="17" s="1"/>
  <c r="L49" i="36"/>
  <c r="AK38" i="16"/>
  <c r="AK27" i="38" s="1"/>
  <c r="AK8" i="38"/>
  <c r="AF24" i="38"/>
  <c r="S27" i="38"/>
  <c r="U26" i="38"/>
  <c r="O22" i="38"/>
  <c r="AK7" i="38"/>
  <c r="AI14" i="38"/>
  <c r="AH17" i="38"/>
  <c r="AC18" i="38"/>
  <c r="X18" i="38"/>
  <c r="M18" i="38"/>
  <c r="C43" i="11"/>
  <c r="I73" i="11"/>
  <c r="B73" i="11"/>
  <c r="AJ93" i="17"/>
  <c r="AJ94" i="17" s="1"/>
  <c r="AB43" i="11"/>
  <c r="R92" i="10"/>
  <c r="S92" i="10"/>
  <c r="Q104" i="11"/>
  <c r="Q106" i="11" s="1"/>
  <c r="Q107" i="11" s="1"/>
  <c r="Q108" i="11" s="1"/>
  <c r="M104" i="11"/>
  <c r="M106" i="11" s="1"/>
  <c r="M107" i="11" s="1"/>
  <c r="M108" i="11" s="1"/>
  <c r="I104" i="11"/>
  <c r="I106" i="11" s="1"/>
  <c r="I107" i="11" s="1"/>
  <c r="I108" i="11" s="1"/>
  <c r="H104" i="11"/>
  <c r="H106" i="11" s="1"/>
  <c r="H107" i="11" s="1"/>
  <c r="H108" i="11" s="1"/>
  <c r="V104" i="11"/>
  <c r="V106" i="11" s="1"/>
  <c r="L43" i="11"/>
  <c r="C104" i="11"/>
  <c r="C106" i="11" s="1"/>
  <c r="C107" i="11" s="1"/>
  <c r="C108" i="11" s="1"/>
  <c r="P104" i="11"/>
  <c r="P106" i="11" s="1"/>
  <c r="L104" i="11"/>
  <c r="L106" i="11" s="1"/>
  <c r="L107" i="11" s="1"/>
  <c r="L108" i="11" s="1"/>
  <c r="G104" i="11"/>
  <c r="G106" i="11" s="1"/>
  <c r="G107" i="11" s="1"/>
  <c r="G108" i="11" s="1"/>
  <c r="U104" i="11"/>
  <c r="U106" i="11" s="1"/>
  <c r="U107" i="11" s="1"/>
  <c r="U108" i="11" s="1"/>
  <c r="I38" i="16"/>
  <c r="I26" i="16"/>
  <c r="T92" i="10"/>
  <c r="H43" i="11"/>
  <c r="G43" i="11"/>
  <c r="U23" i="38"/>
  <c r="AJ34" i="15"/>
  <c r="AJ53" i="17" s="1"/>
  <c r="AJ54" i="10" s="1"/>
  <c r="Z15" i="38"/>
  <c r="R23" i="38"/>
  <c r="AK41" i="38"/>
  <c r="R42" i="38"/>
  <c r="N42" i="38"/>
  <c r="X10" i="38"/>
  <c r="AI18" i="38"/>
  <c r="AG14" i="38"/>
  <c r="AI17" i="38"/>
  <c r="K36" i="15"/>
  <c r="AI36" i="15"/>
  <c r="AF92" i="17"/>
  <c r="AF93" i="17" s="1"/>
  <c r="AF94" i="17" s="1"/>
  <c r="AB92" i="17"/>
  <c r="AB93" i="17" s="1"/>
  <c r="AB94" i="17" s="1"/>
  <c r="W92" i="17"/>
  <c r="W93" i="17" s="1"/>
  <c r="AC92" i="17"/>
  <c r="AC93" i="17" s="1"/>
  <c r="AC94" i="17" s="1"/>
  <c r="Q92" i="17"/>
  <c r="Q93" i="17" s="1"/>
  <c r="Q94" i="17" s="1"/>
  <c r="U92" i="17"/>
  <c r="U93" i="17" s="1"/>
  <c r="U94" i="17" s="1"/>
  <c r="U94" i="11"/>
  <c r="X94" i="11"/>
  <c r="Z94" i="11"/>
  <c r="T94" i="11"/>
  <c r="AF94" i="11"/>
  <c r="AH94" i="11"/>
  <c r="AD94" i="11"/>
  <c r="AC94" i="11"/>
  <c r="AK94" i="11"/>
  <c r="AG94" i="11"/>
  <c r="AJ94" i="11"/>
  <c r="S94" i="11"/>
  <c r="Y94" i="11"/>
  <c r="AA94" i="11"/>
  <c r="I39" i="1"/>
  <c r="J39" i="1" s="1"/>
  <c r="R94" i="11"/>
  <c r="AI94" i="11"/>
  <c r="W94" i="11"/>
  <c r="K34" i="36"/>
  <c r="AI16" i="15"/>
  <c r="AI16" i="36" s="1"/>
  <c r="Z92" i="17"/>
  <c r="Z93" i="17" s="1"/>
  <c r="N92" i="17"/>
  <c r="N93" i="17" s="1"/>
  <c r="L92" i="17"/>
  <c r="L93" i="17" s="1"/>
  <c r="AD92" i="17"/>
  <c r="AD93" i="17" s="1"/>
  <c r="T92" i="17"/>
  <c r="T93" i="17" s="1"/>
  <c r="K92" i="17"/>
  <c r="K93" i="17" s="1"/>
  <c r="O92" i="17"/>
  <c r="O93" i="17" s="1"/>
  <c r="O94" i="17" s="1"/>
  <c r="AH92" i="17"/>
  <c r="AH93" i="17" s="1"/>
  <c r="AH94" i="17" s="1"/>
  <c r="X92" i="17"/>
  <c r="X93" i="17" s="1"/>
  <c r="X94" i="17" s="1"/>
  <c r="M92" i="17"/>
  <c r="M93" i="17" s="1"/>
  <c r="M94" i="17" s="1"/>
  <c r="AK92" i="17"/>
  <c r="AK93" i="17" s="1"/>
  <c r="AK94" i="17" s="1"/>
  <c r="AA92" i="17"/>
  <c r="AA93" i="17" s="1"/>
  <c r="AA94" i="17" s="1"/>
  <c r="R92" i="17"/>
  <c r="R93" i="17" s="1"/>
  <c r="R94" i="17" s="1"/>
  <c r="AE92" i="17"/>
  <c r="AE93" i="17" s="1"/>
  <c r="S92" i="17"/>
  <c r="S93" i="17" s="1"/>
  <c r="AG92" i="17"/>
  <c r="AG93" i="17" s="1"/>
  <c r="AG94" i="17" s="1"/>
  <c r="AI92" i="17"/>
  <c r="AI93" i="17" s="1"/>
  <c r="Y92" i="17"/>
  <c r="Y93" i="17" s="1"/>
  <c r="P92" i="17"/>
  <c r="P93" i="17" s="1"/>
  <c r="P94" i="17" s="1"/>
  <c r="AG115" i="16"/>
  <c r="AG54" i="15"/>
  <c r="AE117" i="16"/>
  <c r="AE56" i="15"/>
  <c r="AF105" i="17"/>
  <c r="AF101" i="17"/>
  <c r="M117" i="16"/>
  <c r="M56" i="15"/>
  <c r="P112" i="16"/>
  <c r="P51" i="15"/>
  <c r="O116" i="16"/>
  <c r="O104" i="17"/>
  <c r="O56" i="15"/>
  <c r="AC105" i="17"/>
  <c r="AC119" i="16"/>
  <c r="AC119" i="17"/>
  <c r="AC58" i="15"/>
  <c r="AA108" i="16"/>
  <c r="AA47" i="15"/>
  <c r="AH110" i="17"/>
  <c r="AH110" i="16"/>
  <c r="AH49" i="15"/>
  <c r="AG114" i="16"/>
  <c r="AG53" i="15"/>
  <c r="AG105" i="17"/>
  <c r="V114" i="16"/>
  <c r="V53" i="15"/>
  <c r="U59" i="15"/>
  <c r="U120" i="16"/>
  <c r="S47" i="15"/>
  <c r="S89" i="17"/>
  <c r="S90" i="17" s="1"/>
  <c r="R112" i="16"/>
  <c r="R51" i="15"/>
  <c r="R112" i="17"/>
  <c r="Y118" i="16"/>
  <c r="Y57" i="15"/>
  <c r="Y118" i="17"/>
  <c r="S109" i="16"/>
  <c r="AH114" i="16"/>
  <c r="AH53" i="15"/>
  <c r="AI110" i="16"/>
  <c r="AI49" i="15"/>
  <c r="N119" i="17"/>
  <c r="N119" i="16"/>
  <c r="N58" i="15"/>
  <c r="R109" i="16"/>
  <c r="R48" i="15"/>
  <c r="N111" i="16"/>
  <c r="M110" i="16"/>
  <c r="M110" i="17"/>
  <c r="M118" i="16"/>
  <c r="M57" i="15"/>
  <c r="N111" i="17"/>
  <c r="AI110" i="17"/>
  <c r="AI114" i="16"/>
  <c r="AI105" i="17"/>
  <c r="AI102" i="17"/>
  <c r="AI103" i="17"/>
  <c r="AI53" i="15"/>
  <c r="AJ116" i="16"/>
  <c r="AJ55" i="15"/>
  <c r="AE116" i="16"/>
  <c r="AE55" i="15"/>
  <c r="AC55" i="15"/>
  <c r="AC116" i="16"/>
  <c r="AC104" i="17"/>
  <c r="Y116" i="16"/>
  <c r="Y55" i="15"/>
  <c r="Y104" i="17"/>
  <c r="W117" i="16"/>
  <c r="W56" i="15"/>
  <c r="V118" i="16"/>
  <c r="V57" i="15"/>
  <c r="V118" i="17"/>
  <c r="U113" i="16"/>
  <c r="U52" i="15"/>
  <c r="R108" i="16"/>
  <c r="R89" i="17"/>
  <c r="R90" i="17" s="1"/>
  <c r="R47" i="15"/>
  <c r="R111" i="16"/>
  <c r="R111" i="17"/>
  <c r="O109" i="16"/>
  <c r="O48" i="15"/>
  <c r="O119" i="16"/>
  <c r="O119" i="17"/>
  <c r="S119" i="16"/>
  <c r="S119" i="17"/>
  <c r="Q51" i="15"/>
  <c r="Q112" i="16"/>
  <c r="Q112" i="17"/>
  <c r="AC113" i="16"/>
  <c r="AC103" i="17"/>
  <c r="AC101" i="17"/>
  <c r="AA113" i="16"/>
  <c r="AA52" i="15"/>
  <c r="Y115" i="16"/>
  <c r="Y103" i="17"/>
  <c r="W118" i="16"/>
  <c r="W57" i="15"/>
  <c r="AF108" i="16"/>
  <c r="AF47" i="15"/>
  <c r="AD115" i="16"/>
  <c r="AD54" i="15"/>
  <c r="AC110" i="16"/>
  <c r="AC110" i="17"/>
  <c r="W110" i="16"/>
  <c r="W110" i="17"/>
  <c r="W49" i="15"/>
  <c r="U110" i="16"/>
  <c r="U49" i="15"/>
  <c r="S114" i="16"/>
  <c r="S53" i="15"/>
  <c r="Y113" i="16"/>
  <c r="Y105" i="17"/>
  <c r="Y102" i="17"/>
  <c r="AB101" i="17"/>
  <c r="AB55" i="15"/>
  <c r="V55" i="15"/>
  <c r="AC53" i="15"/>
  <c r="U55" i="15"/>
  <c r="Z120" i="17"/>
  <c r="S55" i="15"/>
  <c r="X54" i="15"/>
  <c r="AG111" i="17"/>
  <c r="AJ52" i="15"/>
  <c r="R55" i="15"/>
  <c r="W115" i="16"/>
  <c r="M89" i="17"/>
  <c r="AC51" i="15"/>
  <c r="AF104" i="17"/>
  <c r="AJ50" i="15"/>
  <c r="AB50" i="15"/>
  <c r="AI118" i="17"/>
  <c r="AH112" i="17"/>
  <c r="AE57" i="15"/>
  <c r="AG110" i="17"/>
  <c r="AC102" i="17"/>
  <c r="S57" i="15"/>
  <c r="AI104" i="17"/>
  <c r="AI101" i="17"/>
  <c r="M50" i="15"/>
  <c r="R57" i="15"/>
  <c r="P58" i="15"/>
  <c r="S50" i="15"/>
  <c r="Q120" i="17"/>
  <c r="M111" i="17"/>
  <c r="AB112" i="17"/>
  <c r="AE58" i="15"/>
  <c r="AG55" i="15"/>
  <c r="AA119" i="17"/>
  <c r="AE118" i="17"/>
  <c r="S118" i="17"/>
  <c r="U57" i="15"/>
  <c r="S49" i="15"/>
  <c r="Z59" i="15"/>
  <c r="M47" i="15"/>
  <c r="AG58" i="15"/>
  <c r="P105" i="17"/>
  <c r="U118" i="17"/>
  <c r="AE48" i="15"/>
  <c r="AI48" i="15"/>
  <c r="S48" i="15"/>
  <c r="AI120" i="17"/>
  <c r="AA49" i="15"/>
  <c r="AB52" i="15"/>
  <c r="AD55" i="15"/>
  <c r="M118" i="17"/>
  <c r="Z105" i="17"/>
  <c r="AF52" i="15"/>
  <c r="Q89" i="17"/>
  <c r="AK119" i="17"/>
  <c r="AA111" i="17"/>
  <c r="AD53" i="15"/>
  <c r="AF111" i="17"/>
  <c r="P104" i="17"/>
  <c r="T103" i="17"/>
  <c r="AE112" i="17"/>
  <c r="T109" i="16"/>
  <c r="P119" i="17"/>
  <c r="X120" i="17"/>
  <c r="AH118" i="17"/>
  <c r="AJ54" i="15"/>
  <c r="N49" i="15"/>
  <c r="AB113" i="16"/>
  <c r="R54" i="15"/>
  <c r="Z53" i="15"/>
  <c r="AF113" i="16"/>
  <c r="V89" i="17"/>
  <c r="AK48" i="15"/>
  <c r="AG51" i="15"/>
  <c r="AF50" i="15"/>
  <c r="V102" i="17"/>
  <c r="T104" i="17"/>
  <c r="AI59" i="15"/>
  <c r="M112" i="17"/>
  <c r="O103" i="17"/>
  <c r="U47" i="15"/>
  <c r="AJ102" i="17"/>
  <c r="Z101" i="17"/>
  <c r="S105" i="17"/>
  <c r="O102" i="17"/>
  <c r="P110" i="17"/>
  <c r="AF53" i="15"/>
  <c r="AE110" i="17"/>
  <c r="O54" i="15"/>
  <c r="M51" i="15"/>
  <c r="U119" i="17"/>
  <c r="W59" i="15"/>
  <c r="V47" i="15"/>
  <c r="AD119" i="17"/>
  <c r="V59" i="15"/>
  <c r="U89" i="17"/>
  <c r="AG89" i="17"/>
  <c r="AA59" i="15"/>
  <c r="AG112" i="17"/>
  <c r="AI57" i="15"/>
  <c r="AE49" i="15"/>
  <c r="V105" i="17"/>
  <c r="V101" i="17"/>
  <c r="AH57" i="15"/>
  <c r="U58" i="15"/>
  <c r="P103" i="17"/>
  <c r="N110" i="17"/>
  <c r="AK116" i="16"/>
  <c r="AB115" i="16"/>
  <c r="W120" i="16"/>
  <c r="S117" i="16"/>
  <c r="AA110" i="16"/>
  <c r="V115" i="16"/>
  <c r="N112" i="16"/>
  <c r="S17" i="38"/>
  <c r="S22" i="11"/>
  <c r="S26" i="16"/>
  <c r="AH11" i="11"/>
  <c r="AH9" i="38"/>
  <c r="R9" i="38"/>
  <c r="R14" i="16"/>
  <c r="AD22" i="11"/>
  <c r="AD17" i="38"/>
  <c r="AD24" i="11"/>
  <c r="N17" i="38"/>
  <c r="N22" i="11"/>
  <c r="N24" i="11"/>
  <c r="L11" i="11"/>
  <c r="L9" i="38"/>
  <c r="L14" i="16"/>
  <c r="AI20" i="11"/>
  <c r="AI15" i="38"/>
  <c r="AI26" i="16"/>
  <c r="Q40" i="11"/>
  <c r="Q28" i="38"/>
  <c r="AD31" i="11"/>
  <c r="AD47" i="16"/>
  <c r="AD24" i="38"/>
  <c r="AB37" i="11"/>
  <c r="AB38" i="11" s="1"/>
  <c r="AB38" i="16"/>
  <c r="AB27" i="38" s="1"/>
  <c r="V41" i="17"/>
  <c r="V41" i="18" s="1"/>
  <c r="V41" i="11"/>
  <c r="V43" i="11" s="1"/>
  <c r="AH50" i="11"/>
  <c r="AH35" i="38"/>
  <c r="AH61" i="16"/>
  <c r="AE36" i="11"/>
  <c r="AE38" i="11" s="1"/>
  <c r="AE38" i="16"/>
  <c r="AE27" i="38" s="1"/>
  <c r="AJ37" i="11"/>
  <c r="AJ38" i="11" s="1"/>
  <c r="AJ38" i="16"/>
  <c r="AJ27" i="38" s="1"/>
  <c r="AJ47" i="16"/>
  <c r="Z40" i="11"/>
  <c r="Z28" i="38"/>
  <c r="W119" i="16"/>
  <c r="W58" i="15"/>
  <c r="Q115" i="16"/>
  <c r="Q54" i="15"/>
  <c r="M102" i="17"/>
  <c r="M113" i="16"/>
  <c r="M52" i="15"/>
  <c r="X116" i="16"/>
  <c r="X55" i="15"/>
  <c r="P108" i="16"/>
  <c r="P47" i="15"/>
  <c r="P89" i="17"/>
  <c r="P111" i="16"/>
  <c r="P111" i="17"/>
  <c r="P50" i="15"/>
  <c r="N117" i="16"/>
  <c r="N56" i="15"/>
  <c r="AA54" i="11"/>
  <c r="AA61" i="16"/>
  <c r="AA39" i="38"/>
  <c r="L96" i="16"/>
  <c r="AK120" i="16"/>
  <c r="AK59" i="15"/>
  <c r="AK117" i="16"/>
  <c r="AK56" i="15"/>
  <c r="AK104" i="17"/>
  <c r="AA115" i="16"/>
  <c r="AA101" i="17"/>
  <c r="AA104" i="17"/>
  <c r="AA54" i="15"/>
  <c r="X114" i="16"/>
  <c r="X103" i="17"/>
  <c r="X101" i="17"/>
  <c r="AE120" i="16"/>
  <c r="AE120" i="17"/>
  <c r="AF120" i="16"/>
  <c r="AF120" i="17"/>
  <c r="V112" i="16"/>
  <c r="V112" i="17"/>
  <c r="V51" i="15"/>
  <c r="R117" i="16"/>
  <c r="R105" i="17"/>
  <c r="W108" i="16"/>
  <c r="W47" i="15"/>
  <c r="V113" i="16"/>
  <c r="V103" i="17"/>
  <c r="R114" i="16"/>
  <c r="R103" i="17"/>
  <c r="N108" i="16"/>
  <c r="N47" i="15"/>
  <c r="T115" i="16"/>
  <c r="T105" i="17"/>
  <c r="K57" i="15"/>
  <c r="K118" i="17"/>
  <c r="Z36" i="11"/>
  <c r="Z38" i="11" s="1"/>
  <c r="Z38" i="16"/>
  <c r="Z27" i="38" s="1"/>
  <c r="N26" i="16"/>
  <c r="N19" i="17"/>
  <c r="N19" i="18" s="1"/>
  <c r="AK103" i="17"/>
  <c r="AK105" i="17"/>
  <c r="AA105" i="17"/>
  <c r="Z103" i="17"/>
  <c r="X102" i="17"/>
  <c r="X105" i="17"/>
  <c r="N19" i="11"/>
  <c r="T102" i="17"/>
  <c r="V104" i="17"/>
  <c r="M116" i="16"/>
  <c r="M55" i="15"/>
  <c r="Z42" i="38"/>
  <c r="Z61" i="16"/>
  <c r="V61" i="16"/>
  <c r="V42" i="38"/>
  <c r="P10" i="38"/>
  <c r="P63" i="16"/>
  <c r="AC31" i="38"/>
  <c r="AC47" i="16"/>
  <c r="B20" i="11"/>
  <c r="B26" i="16"/>
  <c r="L36" i="11"/>
  <c r="L38" i="11" s="1"/>
  <c r="L38" i="16"/>
  <c r="L27" i="38" s="1"/>
  <c r="E17" i="11"/>
  <c r="E26" i="16"/>
  <c r="X34" i="17"/>
  <c r="X34" i="18" s="1"/>
  <c r="X47" i="16"/>
  <c r="AA103" i="17"/>
  <c r="AA102" i="17"/>
  <c r="AH102" i="17"/>
  <c r="U53" i="15"/>
  <c r="T101" i="17"/>
  <c r="O42" i="38"/>
  <c r="T112" i="17"/>
  <c r="T112" i="16"/>
  <c r="W54" i="11"/>
  <c r="W39" i="38"/>
  <c r="W61" i="16"/>
  <c r="AC38" i="11"/>
  <c r="AE108" i="16"/>
  <c r="X47" i="15"/>
  <c r="X108" i="16"/>
  <c r="S54" i="15"/>
  <c r="S115" i="16"/>
  <c r="AA10" i="38"/>
  <c r="AA11" i="38" s="1"/>
  <c r="AA14" i="16"/>
  <c r="V63" i="16"/>
  <c r="AD34" i="17"/>
  <c r="AD34" i="18" s="1"/>
  <c r="W53" i="15"/>
  <c r="W114" i="16"/>
  <c r="AK39" i="38"/>
  <c r="AD59" i="15"/>
  <c r="L54" i="15"/>
  <c r="AA63" i="16"/>
  <c r="R18" i="17"/>
  <c r="R18" i="18" s="1"/>
  <c r="N50" i="15"/>
  <c r="AE26" i="16"/>
  <c r="O73" i="11"/>
  <c r="T56" i="15"/>
  <c r="W14" i="16"/>
  <c r="AI38" i="11"/>
  <c r="Q38" i="11"/>
  <c r="AE115" i="16"/>
  <c r="AE54" i="15"/>
  <c r="N54" i="11"/>
  <c r="N39" i="38"/>
  <c r="S110" i="17"/>
  <c r="Q111" i="16"/>
  <c r="P112" i="17"/>
  <c r="V109" i="16"/>
  <c r="AG39" i="38"/>
  <c r="AG101" i="17"/>
  <c r="P37" i="11"/>
  <c r="P38" i="11" s="1"/>
  <c r="P47" i="16"/>
  <c r="AI22" i="11"/>
  <c r="AI50" i="15"/>
  <c r="AI111" i="16"/>
  <c r="AG118" i="16"/>
  <c r="AG57" i="15"/>
  <c r="AF119" i="16"/>
  <c r="AF58" i="15"/>
  <c r="AD108" i="16"/>
  <c r="AD47" i="15"/>
  <c r="AF112" i="16"/>
  <c r="AF51" i="15"/>
  <c r="AF118" i="16"/>
  <c r="AF118" i="17"/>
  <c r="Z111" i="16"/>
  <c r="Z50" i="15"/>
  <c r="AD113" i="16"/>
  <c r="AD101" i="17"/>
  <c r="AD102" i="17"/>
  <c r="AD104" i="17"/>
  <c r="Y119" i="16"/>
  <c r="Y58" i="15"/>
  <c r="U115" i="16"/>
  <c r="U102" i="17"/>
  <c r="Z58" i="15"/>
  <c r="Z119" i="16"/>
  <c r="Q117" i="16"/>
  <c r="Q105" i="17"/>
  <c r="Y111" i="16"/>
  <c r="Y111" i="17"/>
  <c r="Y50" i="15"/>
  <c r="R110" i="16"/>
  <c r="R110" i="17"/>
  <c r="M119" i="16"/>
  <c r="M58" i="15"/>
  <c r="O120" i="16"/>
  <c r="O120" i="17"/>
  <c r="O59" i="15"/>
  <c r="U56" i="15"/>
  <c r="Q56" i="15"/>
  <c r="AD89" i="17"/>
  <c r="AD90" i="17" s="1"/>
  <c r="AD103" i="17"/>
  <c r="X59" i="15"/>
  <c r="AK112" i="16"/>
  <c r="AK112" i="17"/>
  <c r="AK51" i="15"/>
  <c r="AJ110" i="16"/>
  <c r="AJ49" i="15"/>
  <c r="AH113" i="16"/>
  <c r="AH105" i="17"/>
  <c r="AH52" i="15"/>
  <c r="AH104" i="17"/>
  <c r="AA118" i="16"/>
  <c r="AA118" i="17"/>
  <c r="Z110" i="16"/>
  <c r="Z49" i="15"/>
  <c r="AB58" i="15"/>
  <c r="AB119" i="16"/>
  <c r="AE114" i="16"/>
  <c r="AE102" i="17"/>
  <c r="AB114" i="16"/>
  <c r="AB102" i="17"/>
  <c r="Q108" i="16"/>
  <c r="Q47" i="15"/>
  <c r="O111" i="16"/>
  <c r="O111" i="17"/>
  <c r="M53" i="15"/>
  <c r="M114" i="16"/>
  <c r="M104" i="17"/>
  <c r="M105" i="17"/>
  <c r="M101" i="17"/>
  <c r="M103" i="17"/>
  <c r="Q119" i="16"/>
  <c r="Q58" i="15"/>
  <c r="M120" i="16"/>
  <c r="M120" i="17"/>
  <c r="Q114" i="16"/>
  <c r="Q102" i="17"/>
  <c r="Q103" i="17"/>
  <c r="Q101" i="17"/>
  <c r="AD118" i="16"/>
  <c r="AD118" i="17"/>
  <c r="Q49" i="15"/>
  <c r="AD57" i="15"/>
  <c r="AD52" i="15"/>
  <c r="M119" i="17"/>
  <c r="M48" i="15"/>
  <c r="Y89" i="17"/>
  <c r="Y90" i="17" s="1"/>
  <c r="Q110" i="17"/>
  <c r="AK108" i="16"/>
  <c r="AK89" i="17"/>
  <c r="AK47" i="15"/>
  <c r="AJ117" i="16"/>
  <c r="AJ105" i="17"/>
  <c r="AG120" i="16"/>
  <c r="AG59" i="15"/>
  <c r="AG120" i="17"/>
  <c r="AH120" i="16"/>
  <c r="AH59" i="15"/>
  <c r="AD117" i="16"/>
  <c r="AD105" i="17"/>
  <c r="AC111" i="17"/>
  <c r="AC50" i="15"/>
  <c r="AB117" i="16"/>
  <c r="AB105" i="17"/>
  <c r="AC108" i="16"/>
  <c r="W55" i="15"/>
  <c r="W104" i="17"/>
  <c r="T118" i="16"/>
  <c r="T57" i="15"/>
  <c r="R101" i="17"/>
  <c r="R102" i="17"/>
  <c r="R104" i="17"/>
  <c r="X110" i="16"/>
  <c r="X110" i="17"/>
  <c r="X49" i="15"/>
  <c r="W113" i="16"/>
  <c r="W105" i="17"/>
  <c r="W101" i="17"/>
  <c r="R120" i="16"/>
  <c r="R120" i="17"/>
  <c r="T108" i="16"/>
  <c r="T47" i="15"/>
  <c r="AB110" i="16"/>
  <c r="U54" i="15"/>
  <c r="Z119" i="17"/>
  <c r="AF112" i="17"/>
  <c r="AJ114" i="16"/>
  <c r="AJ53" i="15"/>
  <c r="AJ101" i="17"/>
  <c r="AI119" i="16"/>
  <c r="AI58" i="15"/>
  <c r="AI119" i="17"/>
  <c r="AK118" i="17"/>
  <c r="AK118" i="16"/>
  <c r="AE113" i="16"/>
  <c r="AE105" i="17"/>
  <c r="AE103" i="17"/>
  <c r="AE104" i="17"/>
  <c r="AE101" i="17"/>
  <c r="X112" i="16"/>
  <c r="X112" i="17"/>
  <c r="AB120" i="16"/>
  <c r="AB120" i="17"/>
  <c r="T120" i="16"/>
  <c r="T59" i="15"/>
  <c r="S113" i="16"/>
  <c r="S104" i="17"/>
  <c r="S103" i="17"/>
  <c r="S102" i="17"/>
  <c r="S101" i="17"/>
  <c r="N115" i="16"/>
  <c r="N54" i="15"/>
  <c r="N105" i="17"/>
  <c r="N103" i="17"/>
  <c r="N101" i="17"/>
  <c r="N102" i="17"/>
  <c r="Q116" i="16"/>
  <c r="Q55" i="15"/>
  <c r="Q104" i="17"/>
  <c r="T111" i="16"/>
  <c r="T50" i="15"/>
  <c r="N120" i="16"/>
  <c r="N59" i="15"/>
  <c r="U110" i="17"/>
  <c r="Z104" i="17"/>
  <c r="Z55" i="15"/>
  <c r="Y101" i="17"/>
  <c r="T53" i="15"/>
  <c r="X119" i="17"/>
  <c r="S58" i="15"/>
  <c r="AC120" i="17"/>
  <c r="Z48" i="15"/>
  <c r="W103" i="17"/>
  <c r="AH101" i="17"/>
  <c r="AJ103" i="17"/>
  <c r="Q109" i="16"/>
  <c r="Q48" i="15"/>
  <c r="S108" i="16"/>
  <c r="W111" i="16"/>
  <c r="W111" i="17"/>
  <c r="X50" i="15"/>
  <c r="P54" i="15"/>
  <c r="O105" i="17"/>
  <c r="X104" i="17"/>
  <c r="AK52" i="15"/>
  <c r="AJ59" i="15"/>
  <c r="AH119" i="16"/>
  <c r="AF54" i="15"/>
  <c r="AI108" i="16"/>
  <c r="AD120" i="16"/>
  <c r="W48" i="15"/>
  <c r="W116" i="16"/>
  <c r="Y112" i="16"/>
  <c r="Y112" i="17"/>
  <c r="P120" i="16"/>
  <c r="P120" i="17"/>
  <c r="AK101" i="17"/>
  <c r="AK102" i="17"/>
  <c r="AK58" i="15"/>
  <c r="AJ104" i="17"/>
  <c r="AB104" i="17"/>
  <c r="AH103" i="17"/>
  <c r="AG103" i="17"/>
  <c r="AJ110" i="17"/>
  <c r="Z102" i="17"/>
  <c r="Z111" i="17"/>
  <c r="AF103" i="17"/>
  <c r="AG104" i="17"/>
  <c r="AB103" i="17"/>
  <c r="U101" i="17"/>
  <c r="P102" i="17"/>
  <c r="AI111" i="17"/>
  <c r="AF102" i="17"/>
  <c r="W102" i="17"/>
  <c r="AC49" i="15"/>
  <c r="U105" i="17"/>
  <c r="U104" i="17"/>
  <c r="U103" i="17"/>
  <c r="W50" i="15"/>
  <c r="O101" i="17"/>
  <c r="P101" i="17"/>
  <c r="AB47" i="15"/>
  <c r="V119" i="17"/>
  <c r="AF117" i="16"/>
  <c r="Y120" i="16"/>
  <c r="X111" i="16"/>
  <c r="Z113" i="16"/>
  <c r="Z52" i="15"/>
  <c r="P114" i="16"/>
  <c r="P53" i="15"/>
  <c r="O112" i="16"/>
  <c r="O112" i="17"/>
  <c r="O114" i="16"/>
  <c r="O53" i="15"/>
  <c r="W36" i="15"/>
  <c r="W36" i="36" s="1"/>
  <c r="W23" i="15"/>
  <c r="W23" i="36" s="1"/>
  <c r="K23" i="15"/>
  <c r="X23" i="15"/>
  <c r="X23" i="36" s="1"/>
  <c r="X16" i="15"/>
  <c r="X16" i="36" s="1"/>
  <c r="M36" i="15"/>
  <c r="AD16" i="15"/>
  <c r="AD36" i="15"/>
  <c r="AD36" i="36" s="1"/>
  <c r="AD23" i="15"/>
  <c r="N73" i="1"/>
  <c r="O73" i="1" s="1"/>
  <c r="Z36" i="15"/>
  <c r="Z36" i="36" s="1"/>
  <c r="Z16" i="15"/>
  <c r="U36" i="15"/>
  <c r="U36" i="36" s="1"/>
  <c r="AJ36" i="15"/>
  <c r="AJ23" i="15"/>
  <c r="AJ16" i="15"/>
  <c r="AJ21" i="17" s="1"/>
  <c r="AB16" i="15"/>
  <c r="AB36" i="15"/>
  <c r="AB36" i="36" s="1"/>
  <c r="AB23" i="15"/>
  <c r="AK36" i="15"/>
  <c r="AK36" i="36" s="1"/>
  <c r="AK23" i="15"/>
  <c r="AK23" i="36" s="1"/>
  <c r="AK16" i="15"/>
  <c r="AK16" i="36" s="1"/>
  <c r="L36" i="15"/>
  <c r="L16" i="15"/>
  <c r="S16" i="15"/>
  <c r="S16" i="36" s="1"/>
  <c r="S36" i="15"/>
  <c r="T36" i="15"/>
  <c r="T16" i="15"/>
  <c r="T23" i="15"/>
  <c r="V16" i="15"/>
  <c r="AI32" i="14"/>
  <c r="AI48" i="14" s="1"/>
  <c r="AI38" i="14"/>
  <c r="AI54" i="14" s="1"/>
  <c r="AI31" i="14"/>
  <c r="AI47" i="14" s="1"/>
  <c r="AI34" i="14"/>
  <c r="AI50" i="14" s="1"/>
  <c r="X30" i="14"/>
  <c r="X46" i="14" s="1"/>
  <c r="X31" i="14"/>
  <c r="X47" i="14" s="1"/>
  <c r="X37" i="14"/>
  <c r="X53" i="14" s="1"/>
  <c r="X32" i="14"/>
  <c r="X48" i="14" s="1"/>
  <c r="X42" i="14"/>
  <c r="X58" i="14" s="1"/>
  <c r="X38" i="14"/>
  <c r="X54" i="14" s="1"/>
  <c r="X40" i="14"/>
  <c r="X56" i="14" s="1"/>
  <c r="X41" i="14"/>
  <c r="X57" i="14" s="1"/>
  <c r="X39" i="14"/>
  <c r="X55" i="14" s="1"/>
  <c r="X29" i="14"/>
  <c r="X45" i="14" s="1"/>
  <c r="X36" i="14"/>
  <c r="X52" i="14" s="1"/>
  <c r="X34" i="14"/>
  <c r="X50" i="14" s="1"/>
  <c r="X33" i="14"/>
  <c r="X49" i="14" s="1"/>
  <c r="X35" i="14"/>
  <c r="X51" i="14" s="1"/>
  <c r="AL29" i="14"/>
  <c r="AL45" i="14" s="1"/>
  <c r="AL36" i="14"/>
  <c r="AL52" i="14" s="1"/>
  <c r="AL42" i="14"/>
  <c r="AL58" i="14" s="1"/>
  <c r="AL33" i="14"/>
  <c r="AL49" i="14" s="1"/>
  <c r="AL39" i="14"/>
  <c r="AL55" i="14" s="1"/>
  <c r="AL38" i="14"/>
  <c r="AL54" i="14" s="1"/>
  <c r="AL32" i="14"/>
  <c r="AL48" i="14" s="1"/>
  <c r="AL37" i="14"/>
  <c r="AL53" i="14" s="1"/>
  <c r="AL31" i="14"/>
  <c r="AL47" i="14" s="1"/>
  <c r="AL34" i="14"/>
  <c r="AL50" i="14" s="1"/>
  <c r="AL35" i="14"/>
  <c r="AL51" i="14" s="1"/>
  <c r="P40" i="14"/>
  <c r="P56" i="14" s="1"/>
  <c r="W40" i="14"/>
  <c r="W56" i="14" s="1"/>
  <c r="W38" i="14"/>
  <c r="W54" i="14" s="1"/>
  <c r="O38" i="14"/>
  <c r="O54" i="14" s="1"/>
  <c r="O10" i="14"/>
  <c r="O40" i="14"/>
  <c r="O56" i="14" s="1"/>
  <c r="O41" i="14"/>
  <c r="O57" i="14" s="1"/>
  <c r="Y41" i="14"/>
  <c r="Y57" i="14" s="1"/>
  <c r="Y42" i="14"/>
  <c r="Y58" i="14" s="1"/>
  <c r="Y32" i="14"/>
  <c r="Y48" i="14" s="1"/>
  <c r="Y37" i="14"/>
  <c r="Y53" i="14" s="1"/>
  <c r="Y35" i="14"/>
  <c r="Y51" i="14" s="1"/>
  <c r="Y38" i="14"/>
  <c r="Y54" i="14" s="1"/>
  <c r="Y40" i="14"/>
  <c r="Y56" i="14" s="1"/>
  <c r="Y30" i="14"/>
  <c r="Y46" i="14" s="1"/>
  <c r="Y39" i="14"/>
  <c r="Y55" i="14" s="1"/>
  <c r="Y31" i="14"/>
  <c r="Y47" i="14" s="1"/>
  <c r="Y36" i="14"/>
  <c r="Y52" i="14" s="1"/>
  <c r="Y34" i="14"/>
  <c r="Y50" i="14" s="1"/>
  <c r="Y33" i="14"/>
  <c r="Y49" i="14" s="1"/>
  <c r="Q32" i="14"/>
  <c r="Q48" i="14" s="1"/>
  <c r="E57" i="8" l="1"/>
  <c r="X97" i="11"/>
  <c r="AG16" i="15"/>
  <c r="AF16" i="15"/>
  <c r="AF21" i="17" s="1"/>
  <c r="AA36" i="15"/>
  <c r="AA36" i="36" s="1"/>
  <c r="O16" i="15"/>
  <c r="O21" i="17" s="1"/>
  <c r="AA32" i="17"/>
  <c r="AA33" i="10" s="1"/>
  <c r="AC36" i="15"/>
  <c r="AC36" i="36" s="1"/>
  <c r="Q23" i="15"/>
  <c r="Q23" i="36" s="1"/>
  <c r="Q26" i="35" s="1"/>
  <c r="R23" i="15"/>
  <c r="R32" i="17" s="1"/>
  <c r="X55" i="17"/>
  <c r="X55" i="18" s="1"/>
  <c r="Y23" i="15"/>
  <c r="U23" i="15"/>
  <c r="U23" i="36" s="1"/>
  <c r="U26" i="35" s="1"/>
  <c r="AF23" i="15"/>
  <c r="AF23" i="36" s="1"/>
  <c r="AF26" i="35" s="1"/>
  <c r="P16" i="15"/>
  <c r="P16" i="36" s="1"/>
  <c r="R36" i="15"/>
  <c r="R36" i="36" s="1"/>
  <c r="P23" i="15"/>
  <c r="P23" i="36" s="1"/>
  <c r="AH36" i="15"/>
  <c r="AH36" i="36" s="1"/>
  <c r="O36" i="15"/>
  <c r="N36" i="15"/>
  <c r="N36" i="36" s="1"/>
  <c r="L73" i="1"/>
  <c r="L53" i="17"/>
  <c r="L54" i="10" s="1"/>
  <c r="R53" i="17"/>
  <c r="R54" i="10" s="1"/>
  <c r="AI53" i="17"/>
  <c r="AI38" i="35" s="1"/>
  <c r="K108" i="11"/>
  <c r="C88" i="16"/>
  <c r="H95" i="16"/>
  <c r="I90" i="16"/>
  <c r="I81" i="11" s="1"/>
  <c r="G94" i="16"/>
  <c r="G95" i="16"/>
  <c r="G89" i="16"/>
  <c r="G80" i="11" s="1"/>
  <c r="N125" i="17"/>
  <c r="AI29" i="14"/>
  <c r="AI45" i="14" s="1"/>
  <c r="C87" i="16"/>
  <c r="G97" i="16"/>
  <c r="F58" i="8"/>
  <c r="B89" i="16"/>
  <c r="B80" i="11" s="1"/>
  <c r="K59" i="8"/>
  <c r="P34" i="17"/>
  <c r="P34" i="18" s="1"/>
  <c r="W97" i="11"/>
  <c r="Q97" i="11"/>
  <c r="AE16" i="15"/>
  <c r="AE16" i="36" s="1"/>
  <c r="K32" i="38"/>
  <c r="T40" i="14"/>
  <c r="T56" i="14" s="1"/>
  <c r="AC42" i="14"/>
  <c r="AC58" i="14" s="1"/>
  <c r="AB32" i="17" s="1"/>
  <c r="AC30" i="14"/>
  <c r="AC46" i="14" s="1"/>
  <c r="T34" i="14"/>
  <c r="T50" i="14" s="1"/>
  <c r="AC39" i="14"/>
  <c r="AC55" i="14" s="1"/>
  <c r="K78" i="11"/>
  <c r="AG33" i="17"/>
  <c r="AG33" i="18" s="1"/>
  <c r="U34" i="17"/>
  <c r="U34" i="18" s="1"/>
  <c r="W43" i="11"/>
  <c r="N43" i="11"/>
  <c r="M33" i="17"/>
  <c r="AJ31" i="14"/>
  <c r="AJ47" i="14" s="1"/>
  <c r="P31" i="14"/>
  <c r="P47" i="14" s="1"/>
  <c r="AJ40" i="14"/>
  <c r="AJ56" i="14" s="1"/>
  <c r="B97" i="16"/>
  <c r="H89" i="16"/>
  <c r="H80" i="11" s="1"/>
  <c r="AH97" i="11"/>
  <c r="K34" i="17"/>
  <c r="Q30" i="14"/>
  <c r="Q46" i="14" s="1"/>
  <c r="Y36" i="15"/>
  <c r="Y36" i="36" s="1"/>
  <c r="M16" i="15"/>
  <c r="M16" i="36" s="1"/>
  <c r="Q35" i="14"/>
  <c r="Q51" i="14" s="1"/>
  <c r="V59" i="18"/>
  <c r="Y97" i="11"/>
  <c r="AE97" i="11"/>
  <c r="T32" i="14"/>
  <c r="T48" i="14" s="1"/>
  <c r="T36" i="14"/>
  <c r="T52" i="14" s="1"/>
  <c r="U59" i="18"/>
  <c r="AJ33" i="17"/>
  <c r="AJ33" i="18" s="1"/>
  <c r="AH33" i="14"/>
  <c r="AH49" i="14" s="1"/>
  <c r="AG53" i="17" s="1"/>
  <c r="AJ37" i="14"/>
  <c r="AJ53" i="14" s="1"/>
  <c r="AH32" i="14"/>
  <c r="AH48" i="14" s="1"/>
  <c r="AA38" i="14"/>
  <c r="AA54" i="14" s="1"/>
  <c r="Z33" i="14"/>
  <c r="Z49" i="14" s="1"/>
  <c r="Y53" i="17" s="1"/>
  <c r="J89" i="16"/>
  <c r="J80" i="11" s="1"/>
  <c r="H94" i="16"/>
  <c r="B87" i="16"/>
  <c r="B91" i="16" s="1"/>
  <c r="H96" i="16"/>
  <c r="H98" i="16" s="1"/>
  <c r="J90" i="16"/>
  <c r="J81" i="11" s="1"/>
  <c r="L32" i="17"/>
  <c r="L33" i="10" s="1"/>
  <c r="T41" i="14"/>
  <c r="T57" i="14" s="1"/>
  <c r="AC29" i="14"/>
  <c r="AC45" i="14" s="1"/>
  <c r="AB52" i="17" s="1"/>
  <c r="Z35" i="14"/>
  <c r="Z51" i="14" s="1"/>
  <c r="Z37" i="14"/>
  <c r="Z53" i="14" s="1"/>
  <c r="K79" i="11"/>
  <c r="AA34" i="17"/>
  <c r="AA34" i="18" s="1"/>
  <c r="L34" i="17"/>
  <c r="AC36" i="14"/>
  <c r="AC52" i="14" s="1"/>
  <c r="AC35" i="14"/>
  <c r="AC51" i="14" s="1"/>
  <c r="AJ36" i="14"/>
  <c r="AJ52" i="14" s="1"/>
  <c r="H88" i="16"/>
  <c r="H79" i="11" s="1"/>
  <c r="J87" i="16"/>
  <c r="R73" i="18"/>
  <c r="R108" i="10" s="1"/>
  <c r="E107" i="11"/>
  <c r="E108" i="11" s="1"/>
  <c r="AK73" i="18"/>
  <c r="AK108" i="10" s="1"/>
  <c r="H90" i="16"/>
  <c r="H81" i="11" s="1"/>
  <c r="AC16" i="14"/>
  <c r="AB33" i="15" s="1"/>
  <c r="AB33" i="36" s="1"/>
  <c r="E145" i="49"/>
  <c r="E128" i="49"/>
  <c r="E147" i="49" s="1"/>
  <c r="E148" i="49" s="1"/>
  <c r="AC23" i="15"/>
  <c r="AC23" i="36" s="1"/>
  <c r="AA35" i="14"/>
  <c r="AA51" i="14" s="1"/>
  <c r="AH40" i="14"/>
  <c r="AH56" i="14" s="1"/>
  <c r="AC33" i="14"/>
  <c r="AC49" i="14" s="1"/>
  <c r="AC34" i="14"/>
  <c r="AC50" i="14" s="1"/>
  <c r="AF42" i="14"/>
  <c r="AF58" i="14" s="1"/>
  <c r="AF38" i="14"/>
  <c r="AF54" i="14" s="1"/>
  <c r="AC37" i="14"/>
  <c r="AC53" i="14" s="1"/>
  <c r="AA33" i="14"/>
  <c r="AA49" i="14" s="1"/>
  <c r="R30" i="14"/>
  <c r="R46" i="14" s="1"/>
  <c r="AA29" i="14"/>
  <c r="AA45" i="14" s="1"/>
  <c r="AA30" i="14"/>
  <c r="AA46" i="14" s="1"/>
  <c r="Z39" i="14"/>
  <c r="Z55" i="14" s="1"/>
  <c r="R36" i="14"/>
  <c r="R52" i="14" s="1"/>
  <c r="AH29" i="14"/>
  <c r="AH45" i="14" s="1"/>
  <c r="L34" i="14"/>
  <c r="L50" i="14" s="1"/>
  <c r="AJ39" i="14"/>
  <c r="AJ55" i="14" s="1"/>
  <c r="AJ32" i="14"/>
  <c r="AJ48" i="14" s="1"/>
  <c r="AI55" i="17" s="1"/>
  <c r="AH41" i="14"/>
  <c r="AH57" i="14" s="1"/>
  <c r="AJ35" i="14"/>
  <c r="AJ51" i="14" s="1"/>
  <c r="AC40" i="14"/>
  <c r="AC56" i="14" s="1"/>
  <c r="R41" i="14"/>
  <c r="R57" i="14" s="1"/>
  <c r="W23" i="14"/>
  <c r="V32" i="15" s="1"/>
  <c r="AA16" i="15"/>
  <c r="AA16" i="36" s="1"/>
  <c r="AH23" i="15"/>
  <c r="AH23" i="36" s="1"/>
  <c r="AH26" i="35" s="1"/>
  <c r="AA22" i="14"/>
  <c r="Z21" i="15" s="1"/>
  <c r="AF31" i="14"/>
  <c r="AF47" i="14" s="1"/>
  <c r="AE54" i="17" s="1"/>
  <c r="AE54" i="18" s="1"/>
  <c r="AF30" i="14"/>
  <c r="AF46" i="14" s="1"/>
  <c r="R37" i="14"/>
  <c r="R53" i="14" s="1"/>
  <c r="AA37" i="14"/>
  <c r="AA53" i="14" s="1"/>
  <c r="R32" i="14"/>
  <c r="R48" i="14" s="1"/>
  <c r="Q55" i="17" s="1"/>
  <c r="L37" i="14"/>
  <c r="L53" i="14" s="1"/>
  <c r="L39" i="14"/>
  <c r="L55" i="14" s="1"/>
  <c r="L36" i="14"/>
  <c r="L52" i="14" s="1"/>
  <c r="W36" i="14"/>
  <c r="W52" i="14" s="1"/>
  <c r="Q34" i="14"/>
  <c r="Q50" i="14" s="1"/>
  <c r="Q36" i="14"/>
  <c r="Q52" i="14" s="1"/>
  <c r="W42" i="14"/>
  <c r="W58" i="14" s="1"/>
  <c r="W30" i="14"/>
  <c r="W46" i="14" s="1"/>
  <c r="P38" i="14"/>
  <c r="P54" i="14" s="1"/>
  <c r="AK53" i="17"/>
  <c r="AK38" i="35" s="1"/>
  <c r="V23" i="15"/>
  <c r="V32" i="17" s="1"/>
  <c r="N16" i="15"/>
  <c r="N16" i="36" s="1"/>
  <c r="Q16" i="15"/>
  <c r="Q16" i="36" s="1"/>
  <c r="AJ20" i="14"/>
  <c r="AI15" i="15" s="1"/>
  <c r="AC55" i="17"/>
  <c r="AC55" i="18" s="1"/>
  <c r="R31" i="14"/>
  <c r="R47" i="14" s="1"/>
  <c r="Q40" i="14"/>
  <c r="Q56" i="14" s="1"/>
  <c r="Q29" i="14"/>
  <c r="Q45" i="14" s="1"/>
  <c r="W37" i="14"/>
  <c r="W53" i="14" s="1"/>
  <c r="W29" i="14"/>
  <c r="W45" i="14" s="1"/>
  <c r="AD18" i="14"/>
  <c r="T20" i="14"/>
  <c r="S44" i="15" s="1"/>
  <c r="S47" i="36" s="1"/>
  <c r="T30" i="14"/>
  <c r="T46" i="14" s="1"/>
  <c r="T29" i="14"/>
  <c r="T45" i="14" s="1"/>
  <c r="AF29" i="14"/>
  <c r="AF45" i="14" s="1"/>
  <c r="Z18" i="14"/>
  <c r="Y26" i="15" s="1"/>
  <c r="Z29" i="14"/>
  <c r="Z45" i="14" s="1"/>
  <c r="R33" i="14"/>
  <c r="R49" i="14" s="1"/>
  <c r="Q53" i="17" s="1"/>
  <c r="Q38" i="35" s="1"/>
  <c r="AA42" i="14"/>
  <c r="AA58" i="14" s="1"/>
  <c r="Z32" i="17" s="1"/>
  <c r="Z25" i="35" s="1"/>
  <c r="R35" i="14"/>
  <c r="R51" i="14" s="1"/>
  <c r="AA41" i="14"/>
  <c r="AA57" i="14" s="1"/>
  <c r="AA34" i="14"/>
  <c r="AA50" i="14" s="1"/>
  <c r="Z41" i="14"/>
  <c r="Z57" i="14" s="1"/>
  <c r="AH31" i="14"/>
  <c r="AH47" i="14" s="1"/>
  <c r="L33" i="14"/>
  <c r="L49" i="14" s="1"/>
  <c r="K53" i="17" s="1"/>
  <c r="K54" i="10" s="1"/>
  <c r="AJ38" i="14"/>
  <c r="AJ54" i="14" s="1"/>
  <c r="AJ42" i="14"/>
  <c r="AJ58" i="14" s="1"/>
  <c r="AI32" i="17" s="1"/>
  <c r="AI32" i="18" s="1"/>
  <c r="AH35" i="14"/>
  <c r="AH51" i="14" s="1"/>
  <c r="T35" i="14"/>
  <c r="T51" i="14" s="1"/>
  <c r="S21" i="17" s="1"/>
  <c r="S21" i="18" s="1"/>
  <c r="AF40" i="14"/>
  <c r="AF56" i="14" s="1"/>
  <c r="W41" i="14"/>
  <c r="W57" i="14" s="1"/>
  <c r="P42" i="14"/>
  <c r="P58" i="14" s="1"/>
  <c r="O32" i="17" s="1"/>
  <c r="O33" i="10" s="1"/>
  <c r="R29" i="14"/>
  <c r="R45" i="14" s="1"/>
  <c r="Q51" i="17" s="1"/>
  <c r="AH37" i="14"/>
  <c r="AH53" i="14" s="1"/>
  <c r="AD73" i="18"/>
  <c r="AD105" i="10" s="1"/>
  <c r="AD107" i="10" s="1"/>
  <c r="E98" i="16"/>
  <c r="K98" i="16"/>
  <c r="G79" i="11"/>
  <c r="G58" i="8"/>
  <c r="L88" i="16"/>
  <c r="L58" i="8" s="1"/>
  <c r="I88" i="16"/>
  <c r="I95" i="16"/>
  <c r="I97" i="16"/>
  <c r="L94" i="16"/>
  <c r="L97" i="16"/>
  <c r="AB97" i="17"/>
  <c r="AB109" i="17" s="1"/>
  <c r="AB124" i="17" s="1"/>
  <c r="R95" i="16"/>
  <c r="B94" i="16"/>
  <c r="I94" i="16"/>
  <c r="J95" i="16"/>
  <c r="F98" i="16"/>
  <c r="J88" i="16"/>
  <c r="G87" i="16"/>
  <c r="K60" i="15"/>
  <c r="L87" i="16"/>
  <c r="L57" i="8" s="1"/>
  <c r="K91" i="16"/>
  <c r="P26" i="35"/>
  <c r="L89" i="16"/>
  <c r="L80" i="11" s="1"/>
  <c r="E58" i="8"/>
  <c r="AI11" i="38"/>
  <c r="L95" i="16"/>
  <c r="AE60" i="10"/>
  <c r="J94" i="16"/>
  <c r="J96" i="16"/>
  <c r="F91" i="16"/>
  <c r="E81" i="11"/>
  <c r="E91" i="11" s="1"/>
  <c r="E25" i="11" s="1"/>
  <c r="E26" i="11" s="1"/>
  <c r="E91" i="16"/>
  <c r="L121" i="16"/>
  <c r="C98" i="16"/>
  <c r="H97" i="16"/>
  <c r="W73" i="18"/>
  <c r="W108" i="10" s="1"/>
  <c r="L126" i="17"/>
  <c r="AG95" i="11"/>
  <c r="L39" i="1"/>
  <c r="M39" i="1" s="1"/>
  <c r="AJ95" i="11"/>
  <c r="AI95" i="11"/>
  <c r="AH95" i="11"/>
  <c r="AK95" i="11"/>
  <c r="Q42" i="14"/>
  <c r="Q58" i="14" s="1"/>
  <c r="Q41" i="14"/>
  <c r="Q57" i="14" s="1"/>
  <c r="Q37" i="14"/>
  <c r="Q53" i="14" s="1"/>
  <c r="P10" i="14"/>
  <c r="P23" i="14" s="1"/>
  <c r="O32" i="15" s="1"/>
  <c r="AI35" i="14"/>
  <c r="AI51" i="14" s="1"/>
  <c r="AI42" i="14"/>
  <c r="AI58" i="14" s="1"/>
  <c r="AI37" i="14"/>
  <c r="AI53" i="14" s="1"/>
  <c r="T96" i="17"/>
  <c r="T108" i="17" s="1"/>
  <c r="T97" i="11"/>
  <c r="Z97" i="11"/>
  <c r="R97" i="11"/>
  <c r="AD97" i="11"/>
  <c r="AB97" i="11"/>
  <c r="V97" i="11"/>
  <c r="AI18" i="14"/>
  <c r="AE42" i="14"/>
  <c r="AE58" i="14" s="1"/>
  <c r="Z34" i="14"/>
  <c r="Z50" i="14" s="1"/>
  <c r="Z32" i="14"/>
  <c r="Z48" i="14" s="1"/>
  <c r="Y55" i="17" s="1"/>
  <c r="AB11" i="38"/>
  <c r="AC11" i="38"/>
  <c r="Y34" i="17"/>
  <c r="Y34" i="18" s="1"/>
  <c r="L125" i="17"/>
  <c r="P36" i="14"/>
  <c r="P52" i="14" s="1"/>
  <c r="P32" i="14"/>
  <c r="P48" i="14" s="1"/>
  <c r="O55" i="17" s="1"/>
  <c r="Z31" i="14"/>
  <c r="Z47" i="14" s="1"/>
  <c r="B90" i="16"/>
  <c r="B81" i="11" s="1"/>
  <c r="O65" i="17"/>
  <c r="AK97" i="11"/>
  <c r="AI97" i="11"/>
  <c r="X73" i="18"/>
  <c r="X108" i="10" s="1"/>
  <c r="AG73" i="18"/>
  <c r="AG108" i="10" s="1"/>
  <c r="AE36" i="15"/>
  <c r="AE36" i="36" s="1"/>
  <c r="T43" i="11"/>
  <c r="P33" i="14"/>
  <c r="P49" i="14" s="1"/>
  <c r="O53" i="17" s="1"/>
  <c r="O54" i="10" s="1"/>
  <c r="P35" i="14"/>
  <c r="P51" i="14" s="1"/>
  <c r="G98" i="16"/>
  <c r="AJ97" i="11"/>
  <c r="AG97" i="11"/>
  <c r="U73" i="18"/>
  <c r="U108" i="10" s="1"/>
  <c r="Q31" i="14"/>
  <c r="Q47" i="14" s="1"/>
  <c r="Q38" i="14"/>
  <c r="Q54" i="14" s="1"/>
  <c r="Q33" i="14"/>
  <c r="Q49" i="14" s="1"/>
  <c r="AI41" i="14"/>
  <c r="AI57" i="14" s="1"/>
  <c r="AI33" i="14"/>
  <c r="AI49" i="14" s="1"/>
  <c r="AH53" i="17" s="1"/>
  <c r="AH38" i="35" s="1"/>
  <c r="R22" i="14"/>
  <c r="Q14" i="15" s="1"/>
  <c r="Z17" i="14"/>
  <c r="Y10" i="15" s="1"/>
  <c r="Y10" i="36" s="1"/>
  <c r="S97" i="11"/>
  <c r="AA97" i="11"/>
  <c r="AC97" i="11"/>
  <c r="F57" i="8"/>
  <c r="F59" i="8" s="1"/>
  <c r="S32" i="17"/>
  <c r="S33" i="10" s="1"/>
  <c r="AE36" i="14"/>
  <c r="AE52" i="14" s="1"/>
  <c r="AE33" i="14"/>
  <c r="AE49" i="14" s="1"/>
  <c r="AE41" i="14"/>
  <c r="AE57" i="14" s="1"/>
  <c r="AE40" i="14"/>
  <c r="AE56" i="14" s="1"/>
  <c r="Q10" i="14"/>
  <c r="Z42" i="14"/>
  <c r="Z58" i="14" s="1"/>
  <c r="Z30" i="14"/>
  <c r="Z46" i="14" s="1"/>
  <c r="AC34" i="17"/>
  <c r="AC34" i="18" s="1"/>
  <c r="Y43" i="11"/>
  <c r="V19" i="38"/>
  <c r="AI30" i="14"/>
  <c r="AI46" i="14" s="1"/>
  <c r="AE35" i="14"/>
  <c r="AE51" i="14" s="1"/>
  <c r="Z38" i="14"/>
  <c r="Z54" i="14" s="1"/>
  <c r="B95" i="16"/>
  <c r="K106" i="17"/>
  <c r="AF97" i="11"/>
  <c r="B96" i="16"/>
  <c r="AI73" i="18"/>
  <c r="AI108" i="10" s="1"/>
  <c r="Z34" i="17"/>
  <c r="Z34" i="18" s="1"/>
  <c r="Z36" i="14"/>
  <c r="Z52" i="14" s="1"/>
  <c r="AH73" i="18"/>
  <c r="AH108" i="10" s="1"/>
  <c r="W79" i="11"/>
  <c r="V73" i="18"/>
  <c r="V108" i="10" s="1"/>
  <c r="I89" i="16"/>
  <c r="I80" i="11" s="1"/>
  <c r="S73" i="18"/>
  <c r="S108" i="10" s="1"/>
  <c r="AE73" i="18"/>
  <c r="AE108" i="10" s="1"/>
  <c r="AB73" i="18"/>
  <c r="AB108" i="10" s="1"/>
  <c r="Z73" i="18"/>
  <c r="Z108" i="10" s="1"/>
  <c r="AA73" i="18"/>
  <c r="AA108" i="10" s="1"/>
  <c r="AF73" i="18"/>
  <c r="AF108" i="10" s="1"/>
  <c r="AJ73" i="18"/>
  <c r="AJ108" i="10" s="1"/>
  <c r="Q73" i="18"/>
  <c r="Q108" i="10" s="1"/>
  <c r="Y73" i="18"/>
  <c r="Y108" i="10" s="1"/>
  <c r="AI40" i="14"/>
  <c r="AI56" i="14" s="1"/>
  <c r="L41" i="14"/>
  <c r="L57" i="14" s="1"/>
  <c r="K25" i="17" s="1"/>
  <c r="K18" i="35" s="1"/>
  <c r="AH42" i="14"/>
  <c r="AH58" i="14" s="1"/>
  <c r="L32" i="14"/>
  <c r="L48" i="14" s="1"/>
  <c r="L38" i="14"/>
  <c r="L54" i="14" s="1"/>
  <c r="L29" i="14"/>
  <c r="L45" i="14" s="1"/>
  <c r="K58" i="17" s="1"/>
  <c r="W33" i="14"/>
  <c r="W49" i="14" s="1"/>
  <c r="V53" i="17" s="1"/>
  <c r="V53" i="18" s="1"/>
  <c r="AF33" i="14"/>
  <c r="AF49" i="14" s="1"/>
  <c r="AE53" i="17" s="1"/>
  <c r="AE53" i="18" s="1"/>
  <c r="AA32" i="14"/>
  <c r="AA48" i="14" s="1"/>
  <c r="Z55" i="17" s="1"/>
  <c r="Z40" i="35" s="1"/>
  <c r="AA36" i="14"/>
  <c r="AA52" i="14" s="1"/>
  <c r="L42" i="14"/>
  <c r="L58" i="14" s="1"/>
  <c r="K46" i="17" s="1"/>
  <c r="K31" i="35" s="1"/>
  <c r="L31" i="14"/>
  <c r="L47" i="14" s="1"/>
  <c r="AC21" i="15"/>
  <c r="AC21" i="36" s="1"/>
  <c r="AH30" i="14"/>
  <c r="AH46" i="14" s="1"/>
  <c r="L10" i="14"/>
  <c r="AH39" i="14"/>
  <c r="AH55" i="14" s="1"/>
  <c r="AE31" i="14"/>
  <c r="AE47" i="14" s="1"/>
  <c r="R38" i="14"/>
  <c r="R54" i="14" s="1"/>
  <c r="S53" i="17"/>
  <c r="S54" i="10" s="1"/>
  <c r="AA39" i="14"/>
  <c r="AA55" i="14" s="1"/>
  <c r="AB36" i="14"/>
  <c r="AB52" i="14" s="1"/>
  <c r="AB30" i="14"/>
  <c r="AB46" i="14" s="1"/>
  <c r="AE39" i="14"/>
  <c r="AE55" i="14" s="1"/>
  <c r="AE37" i="14"/>
  <c r="AE53" i="14" s="1"/>
  <c r="AE34" i="14"/>
  <c r="AE50" i="14" s="1"/>
  <c r="V38" i="14"/>
  <c r="V54" i="14" s="1"/>
  <c r="V35" i="14"/>
  <c r="V51" i="14" s="1"/>
  <c r="U21" i="17" s="1"/>
  <c r="U22" i="10" s="1"/>
  <c r="V40" i="14"/>
  <c r="V56" i="14" s="1"/>
  <c r="V41" i="14"/>
  <c r="V57" i="14" s="1"/>
  <c r="V29" i="14"/>
  <c r="V45" i="14" s="1"/>
  <c r="V32" i="14"/>
  <c r="V48" i="14" s="1"/>
  <c r="U55" i="17" s="1"/>
  <c r="U56" i="10" s="1"/>
  <c r="V34" i="14"/>
  <c r="V50" i="14" s="1"/>
  <c r="U10" i="17" s="1"/>
  <c r="V39" i="14"/>
  <c r="V55" i="14" s="1"/>
  <c r="V30" i="14"/>
  <c r="V46" i="14" s="1"/>
  <c r="V37" i="14"/>
  <c r="V53" i="14" s="1"/>
  <c r="V33" i="14"/>
  <c r="V49" i="14" s="1"/>
  <c r="U53" i="17" s="1"/>
  <c r="U54" i="10" s="1"/>
  <c r="V31" i="14"/>
  <c r="V47" i="14" s="1"/>
  <c r="V36" i="14"/>
  <c r="V52" i="14" s="1"/>
  <c r="V42" i="14"/>
  <c r="V58" i="14" s="1"/>
  <c r="U32" i="17" s="1"/>
  <c r="U33" i="10" s="1"/>
  <c r="W31" i="14"/>
  <c r="W47" i="14" s="1"/>
  <c r="W34" i="14"/>
  <c r="W50" i="14" s="1"/>
  <c r="W39" i="14"/>
  <c r="W55" i="14" s="1"/>
  <c r="S39" i="14"/>
  <c r="S55" i="14" s="1"/>
  <c r="S36" i="14"/>
  <c r="S52" i="14" s="1"/>
  <c r="S29" i="14"/>
  <c r="S45" i="14" s="1"/>
  <c r="U40" i="14"/>
  <c r="U56" i="14" s="1"/>
  <c r="U34" i="14"/>
  <c r="U50" i="14" s="1"/>
  <c r="P39" i="14"/>
  <c r="P55" i="14" s="1"/>
  <c r="P34" i="14"/>
  <c r="P50" i="14" s="1"/>
  <c r="P41" i="14"/>
  <c r="P57" i="14" s="1"/>
  <c r="P37" i="14"/>
  <c r="P53" i="14" s="1"/>
  <c r="P30" i="14"/>
  <c r="P46" i="14" s="1"/>
  <c r="AG33" i="14"/>
  <c r="AG49" i="14" s="1"/>
  <c r="AF53" i="17" s="1"/>
  <c r="AF54" i="10" s="1"/>
  <c r="AG31" i="14"/>
  <c r="AG47" i="14" s="1"/>
  <c r="AG35" i="14"/>
  <c r="AG51" i="14" s="1"/>
  <c r="AG39" i="14"/>
  <c r="AG55" i="14" s="1"/>
  <c r="AG30" i="14"/>
  <c r="AG46" i="14" s="1"/>
  <c r="AG42" i="14"/>
  <c r="AG58" i="14" s="1"/>
  <c r="AG38" i="14"/>
  <c r="AG54" i="14" s="1"/>
  <c r="AG40" i="14"/>
  <c r="AG56" i="14" s="1"/>
  <c r="AG41" i="14"/>
  <c r="AG57" i="14" s="1"/>
  <c r="AG32" i="14"/>
  <c r="AG48" i="14" s="1"/>
  <c r="AF55" i="17" s="1"/>
  <c r="AG29" i="14"/>
  <c r="AG45" i="14" s="1"/>
  <c r="AG37" i="14"/>
  <c r="AG53" i="14" s="1"/>
  <c r="AG36" i="14"/>
  <c r="AG52" i="14" s="1"/>
  <c r="AG34" i="14"/>
  <c r="AG50" i="14" s="1"/>
  <c r="AF36" i="14"/>
  <c r="AF52" i="14" s="1"/>
  <c r="AF39" i="14"/>
  <c r="AF55" i="14" s="1"/>
  <c r="AF35" i="14"/>
  <c r="AF51" i="14" s="1"/>
  <c r="L40" i="14"/>
  <c r="L56" i="14" s="1"/>
  <c r="K13" i="17" s="1"/>
  <c r="K10" i="35" s="1"/>
  <c r="L35" i="14"/>
  <c r="L51" i="14" s="1"/>
  <c r="K21" i="17" s="1"/>
  <c r="K22" i="10" s="1"/>
  <c r="AH38" i="14"/>
  <c r="AH54" i="14" s="1"/>
  <c r="AH34" i="14"/>
  <c r="AH50" i="14" s="1"/>
  <c r="N38" i="14"/>
  <c r="N54" i="14" s="1"/>
  <c r="N29" i="14"/>
  <c r="N45" i="14" s="1"/>
  <c r="N30" i="14"/>
  <c r="N46" i="14" s="1"/>
  <c r="N36" i="14"/>
  <c r="N52" i="14" s="1"/>
  <c r="N34" i="14"/>
  <c r="N50" i="14" s="1"/>
  <c r="N10" i="14"/>
  <c r="N19" i="14" s="1"/>
  <c r="M35" i="15" s="1"/>
  <c r="M35" i="36" s="1"/>
  <c r="N40" i="14"/>
  <c r="N56" i="14" s="1"/>
  <c r="N37" i="14"/>
  <c r="N53" i="14" s="1"/>
  <c r="N35" i="14"/>
  <c r="N51" i="14" s="1"/>
  <c r="N33" i="14"/>
  <c r="N49" i="14" s="1"/>
  <c r="M53" i="17" s="1"/>
  <c r="M54" i="10" s="1"/>
  <c r="N31" i="14"/>
  <c r="N47" i="14" s="1"/>
  <c r="N41" i="14"/>
  <c r="N57" i="14" s="1"/>
  <c r="N42" i="14"/>
  <c r="N58" i="14" s="1"/>
  <c r="M32" i="17" s="1"/>
  <c r="M33" i="10" s="1"/>
  <c r="N32" i="14"/>
  <c r="N48" i="14" s="1"/>
  <c r="N39" i="14"/>
  <c r="N55" i="14" s="1"/>
  <c r="AF51" i="17"/>
  <c r="AF51" i="18" s="1"/>
  <c r="T31" i="14"/>
  <c r="T47" i="14" s="1"/>
  <c r="T38" i="14"/>
  <c r="T54" i="14" s="1"/>
  <c r="T39" i="14"/>
  <c r="T55" i="14" s="1"/>
  <c r="AC38" i="14"/>
  <c r="AC54" i="14" s="1"/>
  <c r="AC32" i="14"/>
  <c r="AC48" i="14" s="1"/>
  <c r="AB55" i="17" s="1"/>
  <c r="AB40" i="35" s="1"/>
  <c r="AC31" i="14"/>
  <c r="AC47" i="14" s="1"/>
  <c r="AJ29" i="14"/>
  <c r="AJ45" i="14" s="1"/>
  <c r="AJ41" i="14"/>
  <c r="AJ57" i="14" s="1"/>
  <c r="O37" i="14"/>
  <c r="O53" i="14" s="1"/>
  <c r="O39" i="14"/>
  <c r="O55" i="14" s="1"/>
  <c r="O42" i="14"/>
  <c r="O58" i="14" s="1"/>
  <c r="N32" i="17" s="1"/>
  <c r="N32" i="18" s="1"/>
  <c r="O36" i="14"/>
  <c r="O52" i="14" s="1"/>
  <c r="M38" i="14"/>
  <c r="M54" i="14" s="1"/>
  <c r="M39" i="14"/>
  <c r="M55" i="14" s="1"/>
  <c r="M30" i="14"/>
  <c r="M46" i="14" s="1"/>
  <c r="M32" i="14"/>
  <c r="M48" i="14" s="1"/>
  <c r="AJ97" i="17"/>
  <c r="AJ109" i="17" s="1"/>
  <c r="AC97" i="17"/>
  <c r="AC109" i="17" s="1"/>
  <c r="L106" i="17"/>
  <c r="AD11" i="38"/>
  <c r="B58" i="8"/>
  <c r="B79" i="11"/>
  <c r="H78" i="11"/>
  <c r="H57" i="8"/>
  <c r="S26" i="35"/>
  <c r="I57" i="8"/>
  <c r="I78" i="11"/>
  <c r="I96" i="16"/>
  <c r="P73" i="18"/>
  <c r="P108" i="10" s="1"/>
  <c r="R126" i="11"/>
  <c r="R107" i="11"/>
  <c r="R108" i="11" s="1"/>
  <c r="M53" i="8"/>
  <c r="AA19" i="38"/>
  <c r="T73" i="18"/>
  <c r="T108" i="10" s="1"/>
  <c r="T107" i="11"/>
  <c r="T108" i="11" s="1"/>
  <c r="T126" i="11"/>
  <c r="R102" i="14"/>
  <c r="Q103" i="14"/>
  <c r="P65" i="17" s="1"/>
  <c r="AE34" i="17"/>
  <c r="AE34" i="18" s="1"/>
  <c r="S126" i="11"/>
  <c r="C91" i="16"/>
  <c r="K43" i="38"/>
  <c r="K45" i="38" s="1"/>
  <c r="M81" i="16"/>
  <c r="N81" i="16"/>
  <c r="L50" i="8"/>
  <c r="L19" i="38"/>
  <c r="AC73" i="18"/>
  <c r="AC108" i="10" s="1"/>
  <c r="N83" i="16"/>
  <c r="L53" i="8"/>
  <c r="O84" i="16"/>
  <c r="AD82" i="16"/>
  <c r="AC51" i="8"/>
  <c r="C57" i="8"/>
  <c r="AE95" i="16"/>
  <c r="L60" i="15"/>
  <c r="L11" i="38"/>
  <c r="C78" i="11"/>
  <c r="AE94" i="16"/>
  <c r="N73" i="18"/>
  <c r="O73" i="18"/>
  <c r="H91" i="16"/>
  <c r="W96" i="17"/>
  <c r="W108" i="17" s="1"/>
  <c r="AB19" i="38"/>
  <c r="AG95" i="16"/>
  <c r="R11" i="38"/>
  <c r="L43" i="38"/>
  <c r="AJ19" i="38"/>
  <c r="N11" i="38"/>
  <c r="AE11" i="38"/>
  <c r="D88" i="16"/>
  <c r="D95" i="16"/>
  <c r="D87" i="16"/>
  <c r="D96" i="16"/>
  <c r="D97" i="16"/>
  <c r="D89" i="16"/>
  <c r="D80" i="11" s="1"/>
  <c r="D90" i="16"/>
  <c r="D81" i="11" s="1"/>
  <c r="D94" i="16"/>
  <c r="AF97" i="17"/>
  <c r="AF109" i="17" s="1"/>
  <c r="Y11" i="38"/>
  <c r="G47" i="8"/>
  <c r="K47" i="8"/>
  <c r="V11" i="38"/>
  <c r="AE43" i="38"/>
  <c r="Z19" i="38"/>
  <c r="AG11" i="38"/>
  <c r="P19" i="38"/>
  <c r="AA97" i="17"/>
  <c r="AA109" i="17" s="1"/>
  <c r="AA124" i="17" s="1"/>
  <c r="L8" i="15"/>
  <c r="L8" i="36" s="1"/>
  <c r="R17" i="14"/>
  <c r="Q37" i="15" s="1"/>
  <c r="Q57" i="17" s="1"/>
  <c r="Q32" i="36"/>
  <c r="M20" i="14"/>
  <c r="R18" i="14"/>
  <c r="Q40" i="10" s="1"/>
  <c r="AD53" i="17"/>
  <c r="AD54" i="10" s="1"/>
  <c r="AL16" i="14"/>
  <c r="AK33" i="15" s="1"/>
  <c r="R19" i="14"/>
  <c r="Q35" i="15" s="1"/>
  <c r="Q35" i="36" s="1"/>
  <c r="R20" i="14"/>
  <c r="Q22" i="15" s="1"/>
  <c r="U17" i="14"/>
  <c r="T24" i="15" s="1"/>
  <c r="T36" i="17" s="1"/>
  <c r="T37" i="10" s="1"/>
  <c r="AK17" i="14"/>
  <c r="AJ37" i="15" s="1"/>
  <c r="R16" i="14"/>
  <c r="Q31" i="10" s="1"/>
  <c r="Q93" i="10"/>
  <c r="N53" i="17"/>
  <c r="N54" i="10" s="1"/>
  <c r="Q105" i="10"/>
  <c r="Q107" i="10" s="1"/>
  <c r="AA53" i="17"/>
  <c r="AA54" i="10" s="1"/>
  <c r="AF19" i="14"/>
  <c r="AE35" i="15" s="1"/>
  <c r="AE35" i="36" s="1"/>
  <c r="M19" i="14"/>
  <c r="L35" i="15" s="1"/>
  <c r="L54" i="17" s="1"/>
  <c r="L55" i="10" s="1"/>
  <c r="Q19" i="14"/>
  <c r="P35" i="15" s="1"/>
  <c r="P35" i="36" s="1"/>
  <c r="M17" i="14"/>
  <c r="L10" i="15" s="1"/>
  <c r="M16" i="14"/>
  <c r="L21" i="15"/>
  <c r="L29" i="17" s="1"/>
  <c r="L30" i="10" s="1"/>
  <c r="Q20" i="14"/>
  <c r="P22" i="15" s="1"/>
  <c r="P22" i="36" s="1"/>
  <c r="Z53" i="17"/>
  <c r="Z54" i="10" s="1"/>
  <c r="L14" i="15"/>
  <c r="L14" i="36" s="1"/>
  <c r="Q16" i="14"/>
  <c r="P33" i="15" s="1"/>
  <c r="P33" i="36" s="1"/>
  <c r="P23" i="35" s="1"/>
  <c r="M18" i="14"/>
  <c r="L24" i="10" s="1"/>
  <c r="Q18" i="14"/>
  <c r="P26" i="15" s="1"/>
  <c r="Q17" i="14"/>
  <c r="P43" i="15" s="1"/>
  <c r="P43" i="36" s="1"/>
  <c r="P65" i="15" s="1"/>
  <c r="R15" i="15"/>
  <c r="R15" i="36" s="1"/>
  <c r="Q23" i="14"/>
  <c r="P32" i="15" s="1"/>
  <c r="P32" i="36" s="1"/>
  <c r="AF105" i="10"/>
  <c r="AF107" i="10" s="1"/>
  <c r="M23" i="14"/>
  <c r="L32" i="15" s="1"/>
  <c r="L51" i="17" s="1"/>
  <c r="L52" i="10" s="1"/>
  <c r="AK22" i="14"/>
  <c r="AJ14" i="15" s="1"/>
  <c r="AG55" i="17"/>
  <c r="AG40" i="35" s="1"/>
  <c r="AG22" i="14"/>
  <c r="AF14" i="15" s="1"/>
  <c r="AK23" i="14"/>
  <c r="AJ32" i="15" s="1"/>
  <c r="AJ32" i="36" s="1"/>
  <c r="AK20" i="14"/>
  <c r="AJ15" i="15" s="1"/>
  <c r="AJ20" i="17" s="1"/>
  <c r="Y40" i="10"/>
  <c r="AG19" i="14"/>
  <c r="AF35" i="15" s="1"/>
  <c r="AF35" i="36" s="1"/>
  <c r="AG18" i="14"/>
  <c r="AF42" i="10" s="1"/>
  <c r="K55" i="17"/>
  <c r="K56" i="10" s="1"/>
  <c r="Z16" i="14"/>
  <c r="Y31" i="10" s="1"/>
  <c r="N59" i="18"/>
  <c r="AG59" i="18"/>
  <c r="AC125" i="17"/>
  <c r="O43" i="11"/>
  <c r="Q89" i="16"/>
  <c r="Q80" i="11" s="1"/>
  <c r="AD43" i="11"/>
  <c r="O19" i="38"/>
  <c r="R88" i="16"/>
  <c r="AJ11" i="38"/>
  <c r="U11" i="38"/>
  <c r="T94" i="17"/>
  <c r="T97" i="17" s="1"/>
  <c r="T109" i="17" s="1"/>
  <c r="AF43" i="38"/>
  <c r="L60" i="1" s="1"/>
  <c r="M43" i="38"/>
  <c r="N126" i="17"/>
  <c r="AA43" i="38"/>
  <c r="S43" i="38"/>
  <c r="Q125" i="17"/>
  <c r="N88" i="16"/>
  <c r="O43" i="38"/>
  <c r="AC89" i="16"/>
  <c r="AC80" i="11" s="1"/>
  <c r="M96" i="16"/>
  <c r="M88" i="16"/>
  <c r="Q43" i="11"/>
  <c r="M87" i="16"/>
  <c r="M78" i="11" s="1"/>
  <c r="X89" i="16"/>
  <c r="X80" i="11" s="1"/>
  <c r="M89" i="16"/>
  <c r="M80" i="11" s="1"/>
  <c r="N26" i="35"/>
  <c r="O32" i="38"/>
  <c r="Q96" i="16"/>
  <c r="X94" i="16"/>
  <c r="M126" i="17"/>
  <c r="M125" i="17"/>
  <c r="AD125" i="17"/>
  <c r="M94" i="16"/>
  <c r="AK94" i="16"/>
  <c r="AC95" i="16"/>
  <c r="AG96" i="16"/>
  <c r="AA32" i="38"/>
  <c r="R43" i="11"/>
  <c r="AK95" i="16"/>
  <c r="M95" i="16"/>
  <c r="Z125" i="17"/>
  <c r="L32" i="38"/>
  <c r="Z95" i="16"/>
  <c r="Z43" i="11"/>
  <c r="AH97" i="16"/>
  <c r="W26" i="35"/>
  <c r="Z89" i="16"/>
  <c r="Z80" i="11" s="1"/>
  <c r="AC32" i="38"/>
  <c r="AK32" i="38"/>
  <c r="M90" i="16"/>
  <c r="M81" i="11" s="1"/>
  <c r="AB89" i="16"/>
  <c r="AB80" i="11" s="1"/>
  <c r="R125" i="17"/>
  <c r="Y97" i="16"/>
  <c r="AB125" i="17"/>
  <c r="AB88" i="16"/>
  <c r="AE19" i="38"/>
  <c r="R94" i="16"/>
  <c r="Y125" i="17"/>
  <c r="T125" i="17"/>
  <c r="W89" i="16"/>
  <c r="W80" i="11" s="1"/>
  <c r="R19" i="38"/>
  <c r="T96" i="16"/>
  <c r="T95" i="16"/>
  <c r="AD94" i="16"/>
  <c r="T97" i="16"/>
  <c r="X88" i="16"/>
  <c r="O125" i="17"/>
  <c r="Y89" i="16"/>
  <c r="Y80" i="11" s="1"/>
  <c r="X95" i="16"/>
  <c r="O94" i="16"/>
  <c r="Y88" i="16"/>
  <c r="N90" i="16"/>
  <c r="N81" i="11" s="1"/>
  <c r="R89" i="16"/>
  <c r="R80" i="11" s="1"/>
  <c r="AD88" i="16"/>
  <c r="AF94" i="16"/>
  <c r="AF97" i="16"/>
  <c r="AD89" i="16"/>
  <c r="AD80" i="11" s="1"/>
  <c r="AF95" i="16"/>
  <c r="O97" i="16"/>
  <c r="Y95" i="16"/>
  <c r="N89" i="16"/>
  <c r="N80" i="11" s="1"/>
  <c r="T89" i="16"/>
  <c r="T80" i="11" s="1"/>
  <c r="X125" i="17"/>
  <c r="P11" i="38"/>
  <c r="X96" i="16"/>
  <c r="O95" i="16"/>
  <c r="Y96" i="16"/>
  <c r="N87" i="16"/>
  <c r="N78" i="11" s="1"/>
  <c r="O88" i="16"/>
  <c r="O89" i="16"/>
  <c r="O80" i="11" s="1"/>
  <c r="R96" i="16"/>
  <c r="AF96" i="16"/>
  <c r="Y106" i="17"/>
  <c r="U121" i="16"/>
  <c r="AG121" i="16"/>
  <c r="R97" i="17"/>
  <c r="R109" i="17" s="1"/>
  <c r="AF121" i="16"/>
  <c r="X106" i="17"/>
  <c r="AH121" i="16"/>
  <c r="AF96" i="17"/>
  <c r="AF60" i="15"/>
  <c r="S60" i="15"/>
  <c r="T88" i="16"/>
  <c r="AD95" i="16"/>
  <c r="AD96" i="16"/>
  <c r="X43" i="38"/>
  <c r="M32" i="38"/>
  <c r="AF19" i="38"/>
  <c r="L58" i="1" s="1"/>
  <c r="AJ43" i="38"/>
  <c r="U43" i="38"/>
  <c r="X32" i="38"/>
  <c r="AB43" i="38"/>
  <c r="AC94" i="16"/>
  <c r="T11" i="38"/>
  <c r="U19" i="38"/>
  <c r="Q19" i="38"/>
  <c r="I58" i="1" s="1"/>
  <c r="Z11" i="38"/>
  <c r="T43" i="38"/>
  <c r="U43" i="11"/>
  <c r="Q88" i="16"/>
  <c r="AC88" i="16"/>
  <c r="W125" i="17"/>
  <c r="AG19" i="38"/>
  <c r="AH19" i="38"/>
  <c r="S11" i="38"/>
  <c r="Q97" i="16"/>
  <c r="AG97" i="16"/>
  <c r="AG94" i="16"/>
  <c r="AJ32" i="38"/>
  <c r="X26" i="35"/>
  <c r="AC96" i="16"/>
  <c r="AC124" i="17"/>
  <c r="M19" i="38"/>
  <c r="AD43" i="38"/>
  <c r="AF11" i="38"/>
  <c r="L57" i="1" s="1"/>
  <c r="O11" i="38"/>
  <c r="Q94" i="16"/>
  <c r="P43" i="38"/>
  <c r="AG43" i="38"/>
  <c r="W43" i="38"/>
  <c r="N19" i="38"/>
  <c r="S89" i="16"/>
  <c r="S80" i="11" s="1"/>
  <c r="S88" i="16"/>
  <c r="X11" i="38"/>
  <c r="AI32" i="38"/>
  <c r="Y32" i="38"/>
  <c r="W32" i="38"/>
  <c r="AJ60" i="10"/>
  <c r="AJ59" i="18"/>
  <c r="S125" i="17"/>
  <c r="AB32" i="38"/>
  <c r="S32" i="38"/>
  <c r="V32" i="38"/>
  <c r="Y43" i="38"/>
  <c r="M11" i="38"/>
  <c r="W19" i="38"/>
  <c r="AC43" i="38"/>
  <c r="AK96" i="16"/>
  <c r="AD59" i="18"/>
  <c r="AD60" i="10"/>
  <c r="R53" i="18"/>
  <c r="Y19" i="38"/>
  <c r="W11" i="38"/>
  <c r="T19" i="38"/>
  <c r="AK19" i="38"/>
  <c r="AI43" i="38"/>
  <c r="AA43" i="11"/>
  <c r="AF59" i="18"/>
  <c r="AF60" i="10"/>
  <c r="T32" i="38"/>
  <c r="U95" i="16"/>
  <c r="U96" i="16"/>
  <c r="U97" i="16"/>
  <c r="R38" i="35"/>
  <c r="R43" i="38"/>
  <c r="X19" i="38"/>
  <c r="O60" i="10"/>
  <c r="O59" i="18"/>
  <c r="Z96" i="16"/>
  <c r="N43" i="38"/>
  <c r="Z43" i="38"/>
  <c r="AH43" i="38"/>
  <c r="AC19" i="38"/>
  <c r="Q43" i="38"/>
  <c r="I60" i="1" s="1"/>
  <c r="P32" i="38"/>
  <c r="Z97" i="16"/>
  <c r="N94" i="16"/>
  <c r="N97" i="16"/>
  <c r="N95" i="16"/>
  <c r="AH94" i="16"/>
  <c r="AJ95" i="16"/>
  <c r="AJ94" i="16"/>
  <c r="AJ97" i="16"/>
  <c r="AJ96" i="16"/>
  <c r="W94" i="16"/>
  <c r="W96" i="16"/>
  <c r="W97" i="16"/>
  <c r="U94" i="16"/>
  <c r="U89" i="16"/>
  <c r="U80" i="11" s="1"/>
  <c r="R32" i="38"/>
  <c r="N32" i="38"/>
  <c r="AH32" i="38"/>
  <c r="U88" i="16"/>
  <c r="U125" i="17"/>
  <c r="V43" i="38"/>
  <c r="AE32" i="38"/>
  <c r="Q32" i="38"/>
  <c r="I59" i="1" s="1"/>
  <c r="AD19" i="38"/>
  <c r="AH11" i="38"/>
  <c r="S19" i="38"/>
  <c r="AH95" i="16"/>
  <c r="AG32" i="38"/>
  <c r="Z88" i="16"/>
  <c r="AB97" i="16"/>
  <c r="AB96" i="16"/>
  <c r="AB95" i="16"/>
  <c r="S96" i="16"/>
  <c r="S97" i="16"/>
  <c r="S94" i="16"/>
  <c r="S95" i="16"/>
  <c r="W95" i="16"/>
  <c r="AH96" i="16"/>
  <c r="W94" i="17"/>
  <c r="W97" i="17" s="1"/>
  <c r="W109" i="17" s="1"/>
  <c r="W124" i="17" s="1"/>
  <c r="AC106" i="17"/>
  <c r="AA60" i="15"/>
  <c r="R60" i="15"/>
  <c r="O96" i="17"/>
  <c r="O108" i="17" s="1"/>
  <c r="O97" i="17"/>
  <c r="O109" i="17" s="1"/>
  <c r="O124" i="17" s="1"/>
  <c r="AC60" i="15"/>
  <c r="U60" i="15"/>
  <c r="E59" i="8"/>
  <c r="AC23" i="14"/>
  <c r="AB32" i="15" s="1"/>
  <c r="AB51" i="17" s="1"/>
  <c r="AL19" i="14"/>
  <c r="AK35" i="15" s="1"/>
  <c r="AK35" i="36" s="1"/>
  <c r="U34" i="36"/>
  <c r="AB20" i="14"/>
  <c r="AA15" i="15" s="1"/>
  <c r="AA15" i="36" s="1"/>
  <c r="W21" i="17"/>
  <c r="W21" i="18" s="1"/>
  <c r="AL18" i="14"/>
  <c r="AK24" i="10" s="1"/>
  <c r="AJ22" i="14"/>
  <c r="AI31" i="15" s="1"/>
  <c r="S17" i="14"/>
  <c r="R10" i="15" s="1"/>
  <c r="S19" i="14"/>
  <c r="R35" i="15" s="1"/>
  <c r="R35" i="36" s="1"/>
  <c r="N55" i="17"/>
  <c r="N55" i="18" s="1"/>
  <c r="S22" i="14"/>
  <c r="R31" i="15" s="1"/>
  <c r="R9" i="15"/>
  <c r="R10" i="17" s="1"/>
  <c r="AD17" i="14"/>
  <c r="AC17" i="15" s="1"/>
  <c r="AC8" i="15"/>
  <c r="AC8" i="17" s="1"/>
  <c r="AI19" i="14"/>
  <c r="AH35" i="15" s="1"/>
  <c r="AH35" i="36" s="1"/>
  <c r="V16" i="14"/>
  <c r="U93" i="10"/>
  <c r="AE32" i="17"/>
  <c r="AE33" i="10" s="1"/>
  <c r="AF18" i="14"/>
  <c r="AD20" i="14"/>
  <c r="AC9" i="15" s="1"/>
  <c r="AC14" i="15"/>
  <c r="AC14" i="36" s="1"/>
  <c r="AH20" i="14"/>
  <c r="AG9" i="15" s="1"/>
  <c r="AF20" i="14"/>
  <c r="AE44" i="15" s="1"/>
  <c r="AE48" i="36" s="1"/>
  <c r="AF16" i="14"/>
  <c r="AE33" i="15" s="1"/>
  <c r="AD16" i="14"/>
  <c r="AB19" i="14"/>
  <c r="AA35" i="15" s="1"/>
  <c r="AA35" i="36" s="1"/>
  <c r="AH19" i="14"/>
  <c r="AG35" i="15" s="1"/>
  <c r="AG35" i="36" s="1"/>
  <c r="AD23" i="14"/>
  <c r="AC32" i="15" s="1"/>
  <c r="AC51" i="17" s="1"/>
  <c r="AD19" i="14"/>
  <c r="AC35" i="15" s="1"/>
  <c r="AC35" i="36" s="1"/>
  <c r="AF17" i="14"/>
  <c r="AE24" i="15" s="1"/>
  <c r="AE105" i="10"/>
  <c r="AE107" i="10" s="1"/>
  <c r="V55" i="17"/>
  <c r="V40" i="35" s="1"/>
  <c r="AL17" i="14"/>
  <c r="AK43" i="15" s="1"/>
  <c r="AL22" i="14"/>
  <c r="AK31" i="15" s="1"/>
  <c r="AL23" i="14"/>
  <c r="AK32" i="15" s="1"/>
  <c r="AK32" i="36" s="1"/>
  <c r="AC20" i="14"/>
  <c r="AB44" i="15" s="1"/>
  <c r="AB47" i="36" s="1"/>
  <c r="T40" i="10"/>
  <c r="AE20" i="14"/>
  <c r="AD22" i="15" s="1"/>
  <c r="AD22" i="36" s="1"/>
  <c r="AE17" i="14"/>
  <c r="AD37" i="15" s="1"/>
  <c r="AD57" i="17" s="1"/>
  <c r="U20" i="14"/>
  <c r="T44" i="15" s="1"/>
  <c r="T133" i="17" s="1"/>
  <c r="T148" i="17" s="1"/>
  <c r="T93" i="10"/>
  <c r="AA19" i="14"/>
  <c r="Z35" i="15" s="1"/>
  <c r="Z54" i="17" s="1"/>
  <c r="Z54" i="18" s="1"/>
  <c r="AE16" i="14"/>
  <c r="AD31" i="10" s="1"/>
  <c r="F91" i="11"/>
  <c r="AH96" i="17"/>
  <c r="AH108" i="17" s="1"/>
  <c r="AA96" i="17"/>
  <c r="AA108" i="17" s="1"/>
  <c r="AB19" i="10"/>
  <c r="N96" i="17"/>
  <c r="N108" i="17" s="1"/>
  <c r="N94" i="17"/>
  <c r="N97" i="17" s="1"/>
  <c r="N109" i="17" s="1"/>
  <c r="N124" i="17" s="1"/>
  <c r="S22" i="15"/>
  <c r="S31" i="17" s="1"/>
  <c r="S15" i="15"/>
  <c r="S20" i="17" s="1"/>
  <c r="S21" i="10" s="1"/>
  <c r="T17" i="15"/>
  <c r="T22" i="17" s="1"/>
  <c r="AJ18" i="14"/>
  <c r="AI26" i="15" s="1"/>
  <c r="U22" i="14"/>
  <c r="T21" i="15" s="1"/>
  <c r="AD24" i="10"/>
  <c r="AD26" i="15"/>
  <c r="U19" i="14"/>
  <c r="T35" i="15" s="1"/>
  <c r="T35" i="36" s="1"/>
  <c r="AE19" i="14"/>
  <c r="AD35" i="15" s="1"/>
  <c r="AD35" i="36" s="1"/>
  <c r="T24" i="10"/>
  <c r="T43" i="15"/>
  <c r="T132" i="17" s="1"/>
  <c r="T147" i="17" s="1"/>
  <c r="T42" i="10"/>
  <c r="U23" i="14"/>
  <c r="T32" i="15" s="1"/>
  <c r="T51" i="17" s="1"/>
  <c r="T52" i="10" s="1"/>
  <c r="AG16" i="14"/>
  <c r="AF31" i="10" s="1"/>
  <c r="AD40" i="10"/>
  <c r="AD41" i="15"/>
  <c r="L50" i="17"/>
  <c r="L51" i="10" s="1"/>
  <c r="AD42" i="10"/>
  <c r="AB23" i="14"/>
  <c r="AA32" i="15" s="1"/>
  <c r="AA51" i="17" s="1"/>
  <c r="AA52" i="10" s="1"/>
  <c r="U15" i="15"/>
  <c r="U20" i="17" s="1"/>
  <c r="AC18" i="14"/>
  <c r="AF22" i="14"/>
  <c r="T41" i="15"/>
  <c r="T130" i="17" s="1"/>
  <c r="T26" i="15"/>
  <c r="T26" i="36" s="1"/>
  <c r="U16" i="14"/>
  <c r="AB16" i="14"/>
  <c r="AA33" i="15" s="1"/>
  <c r="AA33" i="36" s="1"/>
  <c r="AE22" i="14"/>
  <c r="AC17" i="14"/>
  <c r="AB10" i="15" s="1"/>
  <c r="AC19" i="14"/>
  <c r="AB35" i="15" s="1"/>
  <c r="AB35" i="36" s="1"/>
  <c r="AC22" i="14"/>
  <c r="AE23" i="14"/>
  <c r="AD32" i="15" s="1"/>
  <c r="AK16" i="14"/>
  <c r="AJ33" i="15" s="1"/>
  <c r="R93" i="10"/>
  <c r="S23" i="14"/>
  <c r="R32" i="15" s="1"/>
  <c r="Y37" i="15"/>
  <c r="T23" i="14"/>
  <c r="S32" i="15" s="1"/>
  <c r="T17" i="14"/>
  <c r="S93" i="10"/>
  <c r="AK18" i="14"/>
  <c r="AJ26" i="15" s="1"/>
  <c r="S18" i="14"/>
  <c r="R41" i="15" s="1"/>
  <c r="R130" i="17" s="1"/>
  <c r="S16" i="14"/>
  <c r="R33" i="15" s="1"/>
  <c r="R22" i="15"/>
  <c r="R31" i="17" s="1"/>
  <c r="R32" i="10" s="1"/>
  <c r="Y17" i="15"/>
  <c r="Y17" i="36" s="1"/>
  <c r="AA16" i="14"/>
  <c r="Z31" i="10" s="1"/>
  <c r="R105" i="10"/>
  <c r="R107" i="10" s="1"/>
  <c r="V19" i="14"/>
  <c r="U35" i="15" s="1"/>
  <c r="V17" i="14"/>
  <c r="V23" i="14"/>
  <c r="U32" i="15" s="1"/>
  <c r="V18" i="14"/>
  <c r="V22" i="14"/>
  <c r="AG17" i="14"/>
  <c r="AG20" i="14"/>
  <c r="AB22" i="14"/>
  <c r="AB18" i="14"/>
  <c r="AB17" i="14"/>
  <c r="AI17" i="14"/>
  <c r="AH16" i="14"/>
  <c r="AH18" i="14"/>
  <c r="AH23" i="14"/>
  <c r="AG32" i="15" s="1"/>
  <c r="AH22" i="14"/>
  <c r="U9" i="36"/>
  <c r="K36" i="36"/>
  <c r="T53" i="17"/>
  <c r="T54" i="10" s="1"/>
  <c r="L46" i="8"/>
  <c r="L47" i="8"/>
  <c r="D46" i="8"/>
  <c r="D47" i="8"/>
  <c r="X53" i="17"/>
  <c r="X38" i="35" s="1"/>
  <c r="W53" i="17"/>
  <c r="W53" i="18" s="1"/>
  <c r="L23" i="36"/>
  <c r="L25" i="35" s="1"/>
  <c r="AD34" i="36"/>
  <c r="AA34" i="36"/>
  <c r="Z32" i="38"/>
  <c r="AD32" i="38"/>
  <c r="U32" i="38"/>
  <c r="AF32" i="38"/>
  <c r="L59" i="1" s="1"/>
  <c r="I46" i="8"/>
  <c r="I47" i="8"/>
  <c r="H46" i="8"/>
  <c r="H47" i="8"/>
  <c r="C46" i="8"/>
  <c r="C47" i="8"/>
  <c r="AC53" i="17"/>
  <c r="AC38" i="35" s="1"/>
  <c r="F46" i="8"/>
  <c r="F47" i="8"/>
  <c r="E46" i="8"/>
  <c r="E47" i="8"/>
  <c r="J47" i="8"/>
  <c r="AI36" i="36"/>
  <c r="AB53" i="17"/>
  <c r="AB53" i="18" s="1"/>
  <c r="AJ54" i="17"/>
  <c r="AJ55" i="10" s="1"/>
  <c r="Q11" i="38"/>
  <c r="I57" i="1" s="1"/>
  <c r="AF32" i="36"/>
  <c r="AJ16" i="36"/>
  <c r="AJ16" i="35" s="1"/>
  <c r="AK43" i="38"/>
  <c r="P53" i="17"/>
  <c r="P54" i="10" s="1"/>
  <c r="W32" i="17"/>
  <c r="W32" i="18" s="1"/>
  <c r="AE51" i="17"/>
  <c r="AE51" i="18" s="1"/>
  <c r="AJ53" i="18"/>
  <c r="Z34" i="36"/>
  <c r="W55" i="17"/>
  <c r="W55" i="18" s="1"/>
  <c r="AJ34" i="36"/>
  <c r="AJ38" i="35" s="1"/>
  <c r="AK11" i="38"/>
  <c r="X32" i="17"/>
  <c r="X25" i="35" s="1"/>
  <c r="AK55" i="17"/>
  <c r="AK40" i="35" s="1"/>
  <c r="G46" i="8"/>
  <c r="K46" i="8"/>
  <c r="AE23" i="36"/>
  <c r="J46" i="8"/>
  <c r="AC96" i="17"/>
  <c r="AC108" i="17" s="1"/>
  <c r="AJ96" i="17"/>
  <c r="AI106" i="17"/>
  <c r="V107" i="11"/>
  <c r="V108" i="11" s="1"/>
  <c r="V126" i="11"/>
  <c r="AI97" i="16"/>
  <c r="AI94" i="16"/>
  <c r="AI95" i="16"/>
  <c r="AI96" i="16"/>
  <c r="AE121" i="16"/>
  <c r="P126" i="11"/>
  <c r="P107" i="11"/>
  <c r="P108" i="11" s="1"/>
  <c r="U126" i="11"/>
  <c r="Q126" i="11"/>
  <c r="Y60" i="15"/>
  <c r="U44" i="15"/>
  <c r="U22" i="15"/>
  <c r="P55" i="17"/>
  <c r="P56" i="10" s="1"/>
  <c r="K23" i="36"/>
  <c r="AI19" i="38"/>
  <c r="AI21" i="17"/>
  <c r="AI16" i="35" s="1"/>
  <c r="AA20" i="14"/>
  <c r="AG32" i="17"/>
  <c r="AG33" i="10" s="1"/>
  <c r="AH97" i="17"/>
  <c r="AH109" i="17" s="1"/>
  <c r="AK21" i="17"/>
  <c r="AK22" i="10" s="1"/>
  <c r="X21" i="17"/>
  <c r="X21" i="18" s="1"/>
  <c r="AC16" i="36"/>
  <c r="AC21" i="17"/>
  <c r="AI94" i="17"/>
  <c r="AI97" i="17" s="1"/>
  <c r="AI109" i="17" s="1"/>
  <c r="AI96" i="17"/>
  <c r="L94" i="17"/>
  <c r="L97" i="17" s="1"/>
  <c r="L96" i="17"/>
  <c r="L108" i="17" s="1"/>
  <c r="L123" i="17" s="1"/>
  <c r="K94" i="17"/>
  <c r="K97" i="17" s="1"/>
  <c r="K109" i="17" s="1"/>
  <c r="K124" i="17" s="1"/>
  <c r="K96" i="17"/>
  <c r="AC121" i="16"/>
  <c r="M96" i="17"/>
  <c r="M90" i="17"/>
  <c r="M97" i="17" s="1"/>
  <c r="M109" i="17" s="1"/>
  <c r="M124" i="17" s="1"/>
  <c r="Q121" i="16"/>
  <c r="AJ121" i="16"/>
  <c r="O60" i="15"/>
  <c r="R96" i="17"/>
  <c r="R108" i="17" s="1"/>
  <c r="R121" i="16"/>
  <c r="T106" i="17"/>
  <c r="AE60" i="15"/>
  <c r="AA106" i="17"/>
  <c r="N60" i="15"/>
  <c r="V96" i="17"/>
  <c r="V90" i="17"/>
  <c r="V97" i="17" s="1"/>
  <c r="V109" i="17" s="1"/>
  <c r="V124" i="17" s="1"/>
  <c r="AD60" i="15"/>
  <c r="V106" i="17"/>
  <c r="AB60" i="15"/>
  <c r="AH106" i="17"/>
  <c r="X97" i="17"/>
  <c r="X109" i="17" s="1"/>
  <c r="X124" i="17" s="1"/>
  <c r="M121" i="16"/>
  <c r="AA121" i="16"/>
  <c r="AG96" i="17"/>
  <c r="AG90" i="17"/>
  <c r="AG97" i="17" s="1"/>
  <c r="AG109" i="17" s="1"/>
  <c r="AG60" i="15"/>
  <c r="X96" i="17"/>
  <c r="X108" i="17" s="1"/>
  <c r="AI60" i="15"/>
  <c r="M60" i="15"/>
  <c r="V121" i="16"/>
  <c r="V60" i="15"/>
  <c r="U96" i="17"/>
  <c r="U90" i="17"/>
  <c r="U97" i="17" s="1"/>
  <c r="U109" i="17" s="1"/>
  <c r="U124" i="17" s="1"/>
  <c r="Q96" i="17"/>
  <c r="Q108" i="17" s="1"/>
  <c r="Q90" i="17"/>
  <c r="Q97" i="17" s="1"/>
  <c r="Q109" i="17" s="1"/>
  <c r="Q124" i="17" s="1"/>
  <c r="Z60" i="15"/>
  <c r="W106" i="17"/>
  <c r="N121" i="16"/>
  <c r="R106" i="17"/>
  <c r="V88" i="16"/>
  <c r="V96" i="16"/>
  <c r="V125" i="17"/>
  <c r="V97" i="16"/>
  <c r="V95" i="16"/>
  <c r="V89" i="16"/>
  <c r="V80" i="11" s="1"/>
  <c r="V94" i="16"/>
  <c r="AE94" i="17"/>
  <c r="AE97" i="17" s="1"/>
  <c r="AE109" i="17" s="1"/>
  <c r="AE96" i="17"/>
  <c r="L78" i="11"/>
  <c r="AD108" i="10"/>
  <c r="P96" i="17"/>
  <c r="P108" i="17" s="1"/>
  <c r="P90" i="17"/>
  <c r="P97" i="17" s="1"/>
  <c r="P109" i="17" s="1"/>
  <c r="AH60" i="15"/>
  <c r="P94" i="16"/>
  <c r="P96" i="16"/>
  <c r="P89" i="16"/>
  <c r="P80" i="11" s="1"/>
  <c r="P88" i="16"/>
  <c r="P97" i="16"/>
  <c r="P95" i="16"/>
  <c r="P125" i="17"/>
  <c r="AF106" i="17"/>
  <c r="AJ60" i="15"/>
  <c r="S106" i="17"/>
  <c r="AK121" i="16"/>
  <c r="AA94" i="16"/>
  <c r="AA96" i="16"/>
  <c r="AA88" i="16"/>
  <c r="AA89" i="16"/>
  <c r="AA80" i="11" s="1"/>
  <c r="AA95" i="16"/>
  <c r="AA97" i="16"/>
  <c r="AA125" i="17"/>
  <c r="Z121" i="16"/>
  <c r="AB106" i="17"/>
  <c r="Z106" i="17"/>
  <c r="AD121" i="16"/>
  <c r="AB121" i="16"/>
  <c r="AD106" i="17"/>
  <c r="P60" i="15"/>
  <c r="X121" i="16"/>
  <c r="O106" i="17"/>
  <c r="Y121" i="16"/>
  <c r="AI121" i="16"/>
  <c r="AK60" i="15"/>
  <c r="X60" i="15"/>
  <c r="S121" i="16"/>
  <c r="N106" i="17"/>
  <c r="T60" i="15"/>
  <c r="T121" i="16"/>
  <c r="Q106" i="17"/>
  <c r="M79" i="11"/>
  <c r="P121" i="16"/>
  <c r="AJ106" i="17"/>
  <c r="Q60" i="15"/>
  <c r="AE106" i="17"/>
  <c r="AK90" i="17"/>
  <c r="AK97" i="17" s="1"/>
  <c r="AK109" i="17" s="1"/>
  <c r="AK96" i="17"/>
  <c r="M106" i="17"/>
  <c r="U106" i="17"/>
  <c r="AG106" i="17"/>
  <c r="W60" i="15"/>
  <c r="W121" i="16"/>
  <c r="Y94" i="17"/>
  <c r="Y97" i="17" s="1"/>
  <c r="Y109" i="17" s="1"/>
  <c r="Y124" i="17" s="1"/>
  <c r="Y96" i="17"/>
  <c r="O121" i="16"/>
  <c r="Z94" i="17"/>
  <c r="Z97" i="17" s="1"/>
  <c r="Z109" i="17" s="1"/>
  <c r="Z124" i="17" s="1"/>
  <c r="Z96" i="17"/>
  <c r="P106" i="17"/>
  <c r="S94" i="17"/>
  <c r="S97" i="17" s="1"/>
  <c r="S109" i="17" s="1"/>
  <c r="S124" i="17" s="1"/>
  <c r="S96" i="17"/>
  <c r="AB96" i="17"/>
  <c r="AD96" i="17"/>
  <c r="AD94" i="17"/>
  <c r="AD97" i="17" s="1"/>
  <c r="AD109" i="17" s="1"/>
  <c r="AD124" i="17" s="1"/>
  <c r="AK106" i="17"/>
  <c r="AG24" i="15"/>
  <c r="AG43" i="15"/>
  <c r="AG42" i="15"/>
  <c r="AG37" i="15"/>
  <c r="AG10" i="15"/>
  <c r="AG17" i="15"/>
  <c r="Y24" i="15"/>
  <c r="Y42" i="15"/>
  <c r="Y131" i="17" s="1"/>
  <c r="Y43" i="15"/>
  <c r="R21" i="17"/>
  <c r="R22" i="10" s="1"/>
  <c r="AF40" i="10"/>
  <c r="Y11" i="17"/>
  <c r="AD55" i="17"/>
  <c r="AD40" i="35" s="1"/>
  <c r="AD16" i="36"/>
  <c r="AD21" i="17"/>
  <c r="R48" i="36"/>
  <c r="R47" i="36"/>
  <c r="R133" i="17"/>
  <c r="R148" i="17" s="1"/>
  <c r="AK32" i="17"/>
  <c r="AK32" i="18" s="1"/>
  <c r="Z21" i="17"/>
  <c r="Z16" i="36"/>
  <c r="M36" i="36"/>
  <c r="M55" i="17"/>
  <c r="M56" i="10" s="1"/>
  <c r="L38" i="35"/>
  <c r="O32" i="18"/>
  <c r="M23" i="36"/>
  <c r="O26" i="35"/>
  <c r="AD23" i="36"/>
  <c r="AD32" i="17"/>
  <c r="O36" i="36"/>
  <c r="Z33" i="10"/>
  <c r="AC19" i="10"/>
  <c r="AC31" i="10"/>
  <c r="AC33" i="15"/>
  <c r="AJ32" i="17"/>
  <c r="AJ23" i="36"/>
  <c r="AC50" i="17"/>
  <c r="AC31" i="36"/>
  <c r="AI43" i="10"/>
  <c r="AC54" i="17"/>
  <c r="AF16" i="36"/>
  <c r="AC22" i="15"/>
  <c r="AJ36" i="36"/>
  <c r="AJ55" i="17"/>
  <c r="AG16" i="36"/>
  <c r="AG21" i="17"/>
  <c r="AF36" i="36"/>
  <c r="Q41" i="15"/>
  <c r="Q130" i="17" s="1"/>
  <c r="Q26" i="15"/>
  <c r="AC42" i="10"/>
  <c r="AC26" i="15"/>
  <c r="AC40" i="10"/>
  <c r="AC24" i="10"/>
  <c r="AC43" i="10"/>
  <c r="AC41" i="15"/>
  <c r="AC130" i="17" s="1"/>
  <c r="AG26" i="35"/>
  <c r="Q31" i="15"/>
  <c r="AC24" i="15"/>
  <c r="AC17" i="17"/>
  <c r="AI9" i="15"/>
  <c r="AI22" i="15"/>
  <c r="L36" i="36"/>
  <c r="L55" i="17"/>
  <c r="L56" i="10" s="1"/>
  <c r="P9" i="15"/>
  <c r="P9" i="36" s="1"/>
  <c r="P37" i="15"/>
  <c r="P37" i="36" s="1"/>
  <c r="P42" i="15"/>
  <c r="P131" i="17" s="1"/>
  <c r="P17" i="15"/>
  <c r="P17" i="36" s="1"/>
  <c r="P10" i="15"/>
  <c r="P10" i="36" s="1"/>
  <c r="S55" i="17"/>
  <c r="S36" i="36"/>
  <c r="L8" i="17"/>
  <c r="L9" i="10" s="1"/>
  <c r="AB23" i="36"/>
  <c r="L16" i="36"/>
  <c r="L21" i="17"/>
  <c r="L22" i="10" s="1"/>
  <c r="AK26" i="35"/>
  <c r="N70" i="1"/>
  <c r="O70" i="1" s="1"/>
  <c r="AI26" i="35"/>
  <c r="AJ21" i="15"/>
  <c r="P31" i="10"/>
  <c r="R42" i="15"/>
  <c r="R131" i="17" s="1"/>
  <c r="T37" i="17"/>
  <c r="T24" i="36"/>
  <c r="T35" i="17"/>
  <c r="AB16" i="36"/>
  <c r="AB21" i="17"/>
  <c r="Y16" i="14"/>
  <c r="Y17" i="14"/>
  <c r="Y23" i="14"/>
  <c r="X32" i="15" s="1"/>
  <c r="Y22" i="14"/>
  <c r="Y20" i="14"/>
  <c r="Y18" i="14"/>
  <c r="Y19" i="14"/>
  <c r="X35" i="15" s="1"/>
  <c r="P19" i="14"/>
  <c r="O35" i="15" s="1"/>
  <c r="P18" i="14"/>
  <c r="X19" i="14"/>
  <c r="W35" i="15" s="1"/>
  <c r="X17" i="14"/>
  <c r="X23" i="14"/>
  <c r="W32" i="15" s="1"/>
  <c r="X18" i="14"/>
  <c r="X16" i="14"/>
  <c r="X22" i="14"/>
  <c r="X20" i="14"/>
  <c r="W93" i="10"/>
  <c r="L35" i="36"/>
  <c r="AK14" i="15"/>
  <c r="AK21" i="15"/>
  <c r="T16" i="36"/>
  <c r="T21" i="17"/>
  <c r="AH21" i="17"/>
  <c r="L37" i="15"/>
  <c r="L33" i="15"/>
  <c r="L19" i="10"/>
  <c r="L31" i="10"/>
  <c r="AK9" i="15"/>
  <c r="AK44" i="15"/>
  <c r="AK15" i="15"/>
  <c r="AK22" i="15"/>
  <c r="AJ21" i="18"/>
  <c r="AJ22" i="10"/>
  <c r="Y16" i="36"/>
  <c r="Y21" i="17"/>
  <c r="T36" i="36"/>
  <c r="T55" i="17"/>
  <c r="O23" i="14"/>
  <c r="N32" i="15" s="1"/>
  <c r="O17" i="14"/>
  <c r="O16" i="14"/>
  <c r="O20" i="14"/>
  <c r="O19" i="14"/>
  <c r="N35" i="15" s="1"/>
  <c r="O22" i="14"/>
  <c r="O18" i="14"/>
  <c r="AK53" i="18"/>
  <c r="AK54" i="10"/>
  <c r="L42" i="10"/>
  <c r="L26" i="15"/>
  <c r="L41" i="15"/>
  <c r="V21" i="17"/>
  <c r="V16" i="36"/>
  <c r="AA55" i="17"/>
  <c r="AK43" i="10"/>
  <c r="Y23" i="36"/>
  <c r="Y32" i="17"/>
  <c r="W19" i="14"/>
  <c r="V35" i="15" s="1"/>
  <c r="V93" i="10"/>
  <c r="L44" i="15"/>
  <c r="L22" i="15"/>
  <c r="L9" i="15"/>
  <c r="L15" i="15"/>
  <c r="AK31" i="10"/>
  <c r="T32" i="17"/>
  <c r="T23" i="36"/>
  <c r="K91" i="11" l="1"/>
  <c r="K60" i="11" s="1"/>
  <c r="K61" i="11" s="1"/>
  <c r="L79" i="11"/>
  <c r="AK19" i="10"/>
  <c r="AK8" i="15"/>
  <c r="AK8" i="36" s="1"/>
  <c r="AB31" i="10"/>
  <c r="AK24" i="15"/>
  <c r="AK42" i="10"/>
  <c r="AC8" i="36"/>
  <c r="AI44" i="15"/>
  <c r="AI48" i="36" s="1"/>
  <c r="AH55" i="17"/>
  <c r="AH40" i="35" s="1"/>
  <c r="AA54" i="17"/>
  <c r="X40" i="35"/>
  <c r="R23" i="36"/>
  <c r="Q24" i="10"/>
  <c r="Q54" i="17"/>
  <c r="Q55" i="10" s="1"/>
  <c r="Q21" i="15"/>
  <c r="X56" i="10"/>
  <c r="Z8" i="15"/>
  <c r="Z8" i="17" s="1"/>
  <c r="Q8" i="15"/>
  <c r="Q8" i="17" s="1"/>
  <c r="Y42" i="10"/>
  <c r="Q32" i="17"/>
  <c r="Q32" i="18" s="1"/>
  <c r="AA32" i="18"/>
  <c r="AA25" i="35"/>
  <c r="O16" i="36"/>
  <c r="K70" i="1"/>
  <c r="L70" i="1" s="1"/>
  <c r="AI25" i="35"/>
  <c r="Z32" i="18"/>
  <c r="AI33" i="10"/>
  <c r="AC32" i="17"/>
  <c r="AC25" i="35" s="1"/>
  <c r="AA21" i="17"/>
  <c r="AA16" i="35" s="1"/>
  <c r="K16" i="35"/>
  <c r="AF32" i="17"/>
  <c r="AF25" i="35" s="1"/>
  <c r="P32" i="17"/>
  <c r="P32" i="18" s="1"/>
  <c r="R55" i="17"/>
  <c r="R40" i="35" s="1"/>
  <c r="AC56" i="10"/>
  <c r="AE21" i="17"/>
  <c r="AE16" i="35" s="1"/>
  <c r="M21" i="17"/>
  <c r="M22" i="10" s="1"/>
  <c r="AH32" i="17"/>
  <c r="AH32" i="18" s="1"/>
  <c r="U16" i="35"/>
  <c r="P21" i="17"/>
  <c r="P22" i="10" s="1"/>
  <c r="AI53" i="18"/>
  <c r="AI54" i="10"/>
  <c r="AE38" i="35"/>
  <c r="V54" i="10"/>
  <c r="S53" i="18"/>
  <c r="S38" i="35"/>
  <c r="Q53" i="18"/>
  <c r="V38" i="35"/>
  <c r="M38" i="35"/>
  <c r="AE54" i="10"/>
  <c r="Q56" i="10"/>
  <c r="Q55" i="18"/>
  <c r="Q40" i="35"/>
  <c r="AG53" i="18"/>
  <c r="AG38" i="35"/>
  <c r="AG54" i="10"/>
  <c r="Y54" i="10"/>
  <c r="Y38" i="35"/>
  <c r="Y53" i="18"/>
  <c r="W16" i="14"/>
  <c r="P22" i="14"/>
  <c r="R43" i="15"/>
  <c r="R132" i="17" s="1"/>
  <c r="R147" i="17" s="1"/>
  <c r="AA20" i="17"/>
  <c r="AA15" i="35" s="1"/>
  <c r="L91" i="16"/>
  <c r="W20" i="14"/>
  <c r="V15" i="15" s="1"/>
  <c r="Q42" i="15"/>
  <c r="Q131" i="17" s="1"/>
  <c r="K26" i="35"/>
  <c r="W17" i="14"/>
  <c r="W22" i="14"/>
  <c r="L17" i="15"/>
  <c r="L22" i="17" s="1"/>
  <c r="L23" i="10" s="1"/>
  <c r="L24" i="15"/>
  <c r="P16" i="14"/>
  <c r="P17" i="14"/>
  <c r="Q54" i="10"/>
  <c r="R8" i="15"/>
  <c r="R8" i="36" s="1"/>
  <c r="R9" i="36"/>
  <c r="T8" i="15"/>
  <c r="AE31" i="10"/>
  <c r="AG131" i="17"/>
  <c r="N21" i="17"/>
  <c r="N21" i="18" s="1"/>
  <c r="AJ9" i="15"/>
  <c r="AJ10" i="17" s="1"/>
  <c r="AJ10" i="18" s="1"/>
  <c r="AJ22" i="15"/>
  <c r="AJ22" i="36" s="1"/>
  <c r="AF98" i="17"/>
  <c r="T136" i="17"/>
  <c r="AF54" i="17"/>
  <c r="AF39" i="35" s="1"/>
  <c r="L43" i="15"/>
  <c r="P20" i="14"/>
  <c r="P24" i="10"/>
  <c r="W18" i="14"/>
  <c r="V42" i="10" s="1"/>
  <c r="L42" i="15"/>
  <c r="O93" i="10"/>
  <c r="R17" i="15"/>
  <c r="R17" i="36" s="1"/>
  <c r="Q43" i="10"/>
  <c r="AA26" i="35"/>
  <c r="AJ15" i="36"/>
  <c r="AD38" i="35"/>
  <c r="AD40" i="17"/>
  <c r="AD41" i="10" s="1"/>
  <c r="C79" i="11"/>
  <c r="C91" i="11" s="1"/>
  <c r="C58" i="8"/>
  <c r="C59" i="8" s="1"/>
  <c r="R21" i="15"/>
  <c r="R29" i="17" s="1"/>
  <c r="R14" i="15"/>
  <c r="T31" i="15"/>
  <c r="S22" i="36"/>
  <c r="T14" i="15"/>
  <c r="T14" i="36" s="1"/>
  <c r="U11" i="10"/>
  <c r="U10" i="18"/>
  <c r="Q33" i="15"/>
  <c r="J98" i="16"/>
  <c r="J91" i="16"/>
  <c r="Q21" i="17"/>
  <c r="Q22" i="10" s="1"/>
  <c r="J57" i="8"/>
  <c r="J78" i="11"/>
  <c r="H58" i="8"/>
  <c r="AC32" i="36"/>
  <c r="T48" i="36"/>
  <c r="B78" i="11"/>
  <c r="B91" i="11" s="1"/>
  <c r="B57" i="8"/>
  <c r="B59" i="8" s="1"/>
  <c r="S105" i="10"/>
  <c r="S107" i="10" s="1"/>
  <c r="H91" i="11"/>
  <c r="H25" i="11" s="1"/>
  <c r="H26" i="11" s="1"/>
  <c r="U105" i="10"/>
  <c r="U107" i="10" s="1"/>
  <c r="T105" i="10"/>
  <c r="T107" i="10" s="1"/>
  <c r="AK105" i="10"/>
  <c r="AK107" i="10" s="1"/>
  <c r="W105" i="10"/>
  <c r="W107" i="10" s="1"/>
  <c r="X105" i="10"/>
  <c r="X107" i="10" s="1"/>
  <c r="B98" i="16"/>
  <c r="Q52" i="10"/>
  <c r="Q36" i="35"/>
  <c r="Q51" i="18"/>
  <c r="AI55" i="18"/>
  <c r="AI56" i="10"/>
  <c r="Y40" i="17"/>
  <c r="Y26" i="36"/>
  <c r="V23" i="36"/>
  <c r="V26" i="35" s="1"/>
  <c r="P19" i="10"/>
  <c r="S25" i="35"/>
  <c r="P15" i="15"/>
  <c r="P15" i="36" s="1"/>
  <c r="R20" i="17"/>
  <c r="R20" i="18" s="1"/>
  <c r="N53" i="18"/>
  <c r="Z14" i="15"/>
  <c r="Z33" i="15"/>
  <c r="Z33" i="36" s="1"/>
  <c r="Q24" i="15"/>
  <c r="Q37" i="17" s="1"/>
  <c r="Q38" i="10" s="1"/>
  <c r="AA18" i="14"/>
  <c r="Z40" i="10" s="1"/>
  <c r="AD53" i="18"/>
  <c r="L32" i="36"/>
  <c r="L36" i="35" s="1"/>
  <c r="AJ51" i="17"/>
  <c r="AJ52" i="10" s="1"/>
  <c r="AI16" i="14"/>
  <c r="AH31" i="10" s="1"/>
  <c r="AI105" i="10"/>
  <c r="AI107" i="10" s="1"/>
  <c r="T16" i="14"/>
  <c r="S31" i="10" s="1"/>
  <c r="AJ19" i="14"/>
  <c r="AI35" i="15" s="1"/>
  <c r="AI54" i="17" s="1"/>
  <c r="AI54" i="18" s="1"/>
  <c r="T22" i="14"/>
  <c r="S8" i="15" s="1"/>
  <c r="K38" i="35"/>
  <c r="AJ23" i="14"/>
  <c r="AI32" i="15" s="1"/>
  <c r="AI51" i="17" s="1"/>
  <c r="AI52" i="10" s="1"/>
  <c r="AJ44" i="15"/>
  <c r="AJ133" i="17" s="1"/>
  <c r="AJ148" i="17" s="1"/>
  <c r="S9" i="15"/>
  <c r="S9" i="36" s="1"/>
  <c r="Y43" i="10"/>
  <c r="AH105" i="10"/>
  <c r="AH107" i="10" s="1"/>
  <c r="Z23" i="14"/>
  <c r="Y32" i="15" s="1"/>
  <c r="Y41" i="15"/>
  <c r="Z19" i="14"/>
  <c r="Y35" i="15" s="1"/>
  <c r="P44" i="15"/>
  <c r="P133" i="17" s="1"/>
  <c r="P148" i="17" s="1"/>
  <c r="AI8" i="15"/>
  <c r="AI8" i="17" s="1"/>
  <c r="Q37" i="36"/>
  <c r="AA23" i="14"/>
  <c r="Z32" i="15" s="1"/>
  <c r="Z31" i="15"/>
  <c r="Z31" i="36" s="1"/>
  <c r="Y57" i="17"/>
  <c r="Y57" i="18" s="1"/>
  <c r="Q10" i="15"/>
  <c r="Q10" i="36" s="1"/>
  <c r="AG10" i="17"/>
  <c r="AG11" i="10" s="1"/>
  <c r="AF31" i="15"/>
  <c r="AF31" i="36" s="1"/>
  <c r="AI20" i="14"/>
  <c r="P24" i="15"/>
  <c r="P24" i="36" s="1"/>
  <c r="Q42" i="10"/>
  <c r="O25" i="35"/>
  <c r="Q43" i="15"/>
  <c r="Q43" i="36" s="1"/>
  <c r="Q65" i="15" s="1"/>
  <c r="Q17" i="15"/>
  <c r="Q22" i="17" s="1"/>
  <c r="Q23" i="10" s="1"/>
  <c r="AC40" i="35"/>
  <c r="Z105" i="10"/>
  <c r="Z107" i="10" s="1"/>
  <c r="AA17" i="14"/>
  <c r="Z42" i="15" s="1"/>
  <c r="Z131" i="17" s="1"/>
  <c r="AI40" i="35"/>
  <c r="T18" i="14"/>
  <c r="S24" i="10" s="1"/>
  <c r="AJ16" i="14"/>
  <c r="AI19" i="10" s="1"/>
  <c r="AJ17" i="14"/>
  <c r="AI42" i="15" s="1"/>
  <c r="AI131" i="17" s="1"/>
  <c r="T19" i="14"/>
  <c r="S35" i="15" s="1"/>
  <c r="Q19" i="10"/>
  <c r="AC29" i="17"/>
  <c r="AC30" i="10" s="1"/>
  <c r="T10" i="15"/>
  <c r="Y19" i="10"/>
  <c r="T42" i="15"/>
  <c r="T131" i="17" s="1"/>
  <c r="T37" i="15"/>
  <c r="T57" i="17" s="1"/>
  <c r="T58" i="10" s="1"/>
  <c r="Y24" i="10"/>
  <c r="Z20" i="14"/>
  <c r="Y22" i="15" s="1"/>
  <c r="Z22" i="14"/>
  <c r="AE55" i="17"/>
  <c r="AF38" i="35"/>
  <c r="L98" i="16"/>
  <c r="L59" i="8"/>
  <c r="L61" i="8" s="1"/>
  <c r="L65" i="8" s="1"/>
  <c r="L91" i="11"/>
  <c r="L13" i="11" s="1"/>
  <c r="L14" i="11" s="1"/>
  <c r="AJ105" i="10"/>
  <c r="AJ107" i="10" s="1"/>
  <c r="AB105" i="10"/>
  <c r="AB107" i="10" s="1"/>
  <c r="J79" i="11"/>
  <c r="J58" i="8"/>
  <c r="I79" i="11"/>
  <c r="I91" i="11" s="1"/>
  <c r="I58" i="8"/>
  <c r="I59" i="8" s="1"/>
  <c r="AF33" i="10"/>
  <c r="AG55" i="18"/>
  <c r="AF108" i="17"/>
  <c r="AF136" i="17" s="1"/>
  <c r="AF140" i="17" s="1"/>
  <c r="Q33" i="10"/>
  <c r="AF52" i="10"/>
  <c r="AF32" i="18"/>
  <c r="AG56" i="10"/>
  <c r="N38" i="35"/>
  <c r="AF53" i="18"/>
  <c r="I98" i="16"/>
  <c r="G57" i="8"/>
  <c r="G59" i="8" s="1"/>
  <c r="G91" i="16"/>
  <c r="G78" i="11"/>
  <c r="G91" i="11" s="1"/>
  <c r="G25" i="11" s="1"/>
  <c r="G26" i="11" s="1"/>
  <c r="S32" i="18"/>
  <c r="V105" i="10"/>
  <c r="V107" i="10" s="1"/>
  <c r="Q25" i="35"/>
  <c r="AF36" i="35"/>
  <c r="K40" i="35"/>
  <c r="AG105" i="10"/>
  <c r="AG107" i="10" s="1"/>
  <c r="AC26" i="35"/>
  <c r="M53" i="36"/>
  <c r="I91" i="16"/>
  <c r="Y105" i="10"/>
  <c r="Y107" i="10" s="1"/>
  <c r="H59" i="8"/>
  <c r="AA105" i="10"/>
  <c r="AA107" i="10" s="1"/>
  <c r="Z26" i="35"/>
  <c r="Q22" i="14"/>
  <c r="P93" i="10"/>
  <c r="AI23" i="14"/>
  <c r="AH32" i="15" s="1"/>
  <c r="AI22" i="14"/>
  <c r="S79" i="11"/>
  <c r="T79" i="11"/>
  <c r="Y79" i="11"/>
  <c r="AB79" i="11"/>
  <c r="Z79" i="11"/>
  <c r="AD79" i="11"/>
  <c r="X79" i="11"/>
  <c r="R79" i="11"/>
  <c r="V79" i="11"/>
  <c r="AC79" i="11"/>
  <c r="O79" i="11"/>
  <c r="N79" i="11"/>
  <c r="N53" i="36"/>
  <c r="L45" i="38"/>
  <c r="AA79" i="11"/>
  <c r="P79" i="11"/>
  <c r="U79" i="11"/>
  <c r="Q79" i="11"/>
  <c r="AC105" i="10"/>
  <c r="AC107" i="10" s="1"/>
  <c r="P105" i="10"/>
  <c r="P107" i="10" s="1"/>
  <c r="L22" i="14"/>
  <c r="L20" i="14"/>
  <c r="L16" i="14"/>
  <c r="L19" i="14"/>
  <c r="K35" i="15" s="1"/>
  <c r="L23" i="14"/>
  <c r="K32" i="15" s="1"/>
  <c r="L18" i="14"/>
  <c r="L17" i="14"/>
  <c r="K32" i="17"/>
  <c r="K33" i="10" s="1"/>
  <c r="P43" i="10"/>
  <c r="P41" i="15"/>
  <c r="P130" i="17" s="1"/>
  <c r="AK40" i="10"/>
  <c r="AK26" i="15"/>
  <c r="AK40" i="17" s="1"/>
  <c r="AJ31" i="15"/>
  <c r="AJ31" i="36" s="1"/>
  <c r="L17" i="17"/>
  <c r="L18" i="10" s="1"/>
  <c r="T17" i="36"/>
  <c r="T17" i="35" s="1"/>
  <c r="U21" i="18"/>
  <c r="AF41" i="15"/>
  <c r="AF130" i="17" s="1"/>
  <c r="Y44" i="15"/>
  <c r="Y133" i="17" s="1"/>
  <c r="Y148" i="17" s="1"/>
  <c r="AD130" i="17"/>
  <c r="Y50" i="36"/>
  <c r="Y130" i="17"/>
  <c r="M54" i="17"/>
  <c r="M55" i="10" s="1"/>
  <c r="N20" i="14"/>
  <c r="N23" i="14"/>
  <c r="M32" i="15" s="1"/>
  <c r="N17" i="14"/>
  <c r="N22" i="14"/>
  <c r="N18" i="14"/>
  <c r="P42" i="10"/>
  <c r="L21" i="36"/>
  <c r="AJ24" i="15"/>
  <c r="AJ36" i="17" s="1"/>
  <c r="R31" i="10"/>
  <c r="U15" i="36"/>
  <c r="U15" i="35" s="1"/>
  <c r="AK54" i="17"/>
  <c r="AK54" i="18" s="1"/>
  <c r="R51" i="17"/>
  <c r="R52" i="10" s="1"/>
  <c r="N16" i="14"/>
  <c r="K60" i="17"/>
  <c r="P40" i="10"/>
  <c r="AK41" i="15"/>
  <c r="AK130" i="17" s="1"/>
  <c r="P54" i="17"/>
  <c r="AJ8" i="15"/>
  <c r="AJ8" i="17" s="1"/>
  <c r="AJ42" i="15"/>
  <c r="AJ131" i="17" s="1"/>
  <c r="T42" i="36"/>
  <c r="T64" i="15" s="1"/>
  <c r="Q9" i="15"/>
  <c r="Q9" i="36" s="1"/>
  <c r="AF43" i="10"/>
  <c r="U53" i="18"/>
  <c r="U8" i="35"/>
  <c r="U38" i="35"/>
  <c r="E60" i="11"/>
  <c r="E61" i="11" s="1"/>
  <c r="K64" i="11"/>
  <c r="K46" i="11"/>
  <c r="K47" i="11" s="1"/>
  <c r="K25" i="11"/>
  <c r="K26" i="11" s="1"/>
  <c r="K13" i="11"/>
  <c r="K14" i="11" s="1"/>
  <c r="AJ36" i="35"/>
  <c r="AC39" i="35"/>
  <c r="T98" i="17"/>
  <c r="T113" i="17" s="1"/>
  <c r="AI10" i="15"/>
  <c r="AI10" i="36" s="1"/>
  <c r="AD42" i="15"/>
  <c r="AD131" i="17" s="1"/>
  <c r="AB9" i="15"/>
  <c r="AH54" i="17"/>
  <c r="AH39" i="35" s="1"/>
  <c r="T22" i="15"/>
  <c r="T31" i="17" s="1"/>
  <c r="T32" i="10" s="1"/>
  <c r="AA22" i="15"/>
  <c r="AA22" i="36" s="1"/>
  <c r="R98" i="10"/>
  <c r="R128" i="11"/>
  <c r="Y37" i="36"/>
  <c r="AF19" i="10"/>
  <c r="T124" i="17"/>
  <c r="N50" i="8"/>
  <c r="T128" i="11"/>
  <c r="T98" i="10"/>
  <c r="O83" i="16"/>
  <c r="P83" i="16" s="1"/>
  <c r="AE98" i="16"/>
  <c r="S128" i="11"/>
  <c r="S98" i="10"/>
  <c r="N53" i="8"/>
  <c r="P84" i="16"/>
  <c r="Q84" i="16" s="1"/>
  <c r="R84" i="16" s="1"/>
  <c r="O81" i="16"/>
  <c r="AE82" i="16"/>
  <c r="AE124" i="17" s="1"/>
  <c r="AD51" i="8"/>
  <c r="AD52" i="8"/>
  <c r="M50" i="8"/>
  <c r="R103" i="14"/>
  <c r="Q65" i="17" s="1"/>
  <c r="S102" i="14"/>
  <c r="W22" i="10"/>
  <c r="D58" i="8"/>
  <c r="D79" i="11"/>
  <c r="T53" i="18"/>
  <c r="D98" i="16"/>
  <c r="D91" i="16"/>
  <c r="D78" i="11"/>
  <c r="D57" i="8"/>
  <c r="W98" i="17"/>
  <c r="W116" i="17" s="1"/>
  <c r="AA45" i="38"/>
  <c r="AJ45" i="38"/>
  <c r="AB32" i="36"/>
  <c r="AB36" i="35" s="1"/>
  <c r="R45" i="38"/>
  <c r="AA52" i="17"/>
  <c r="AA53" i="10" s="1"/>
  <c r="M45" i="38"/>
  <c r="O45" i="38"/>
  <c r="U45" i="38"/>
  <c r="E13" i="11"/>
  <c r="E14" i="11" s="1"/>
  <c r="E46" i="11"/>
  <c r="E47" i="11" s="1"/>
  <c r="AA38" i="35"/>
  <c r="AA53" i="18"/>
  <c r="T36" i="18"/>
  <c r="N56" i="10"/>
  <c r="Z55" i="10"/>
  <c r="S22" i="10"/>
  <c r="L43" i="10"/>
  <c r="T43" i="36"/>
  <c r="T65" i="15" s="1"/>
  <c r="T71" i="15" s="1"/>
  <c r="AJ17" i="15"/>
  <c r="AJ22" i="17" s="1"/>
  <c r="AJ10" i="15"/>
  <c r="AJ10" i="36" s="1"/>
  <c r="AI21" i="15"/>
  <c r="AI21" i="36" s="1"/>
  <c r="Q15" i="15"/>
  <c r="Q15" i="36" s="1"/>
  <c r="AF21" i="15"/>
  <c r="AF29" i="17" s="1"/>
  <c r="AG54" i="17"/>
  <c r="AG54" i="18" s="1"/>
  <c r="Y33" i="15"/>
  <c r="Y52" i="17" s="1"/>
  <c r="Y53" i="10" s="1"/>
  <c r="L40" i="10"/>
  <c r="AH53" i="18"/>
  <c r="P51" i="17"/>
  <c r="P51" i="18" s="1"/>
  <c r="AJ43" i="15"/>
  <c r="AI14" i="15"/>
  <c r="AI17" i="17" s="1"/>
  <c r="Q44" i="15"/>
  <c r="Q48" i="36" s="1"/>
  <c r="AF8" i="15"/>
  <c r="AF8" i="36" s="1"/>
  <c r="AD44" i="15"/>
  <c r="AD47" i="36" s="1"/>
  <c r="R26" i="15"/>
  <c r="R26" i="36" s="1"/>
  <c r="AH44" i="15"/>
  <c r="AH133" i="17" s="1"/>
  <c r="AH148" i="17" s="1"/>
  <c r="AA19" i="10"/>
  <c r="Z38" i="35"/>
  <c r="Z53" i="18"/>
  <c r="AK51" i="17"/>
  <c r="AK51" i="18" s="1"/>
  <c r="AA9" i="15"/>
  <c r="AA9" i="36" s="1"/>
  <c r="AA44" i="15"/>
  <c r="T40" i="17"/>
  <c r="T40" i="18" s="1"/>
  <c r="T43" i="18" s="1"/>
  <c r="AK17" i="15"/>
  <c r="AK22" i="17" s="1"/>
  <c r="R37" i="15"/>
  <c r="R57" i="17" s="1"/>
  <c r="AC43" i="15"/>
  <c r="AC43" i="36" s="1"/>
  <c r="AC65" i="15" s="1"/>
  <c r="AC44" i="15"/>
  <c r="AC48" i="36" s="1"/>
  <c r="AD37" i="36"/>
  <c r="AB48" i="36"/>
  <c r="AF24" i="10"/>
  <c r="AE19" i="10"/>
  <c r="AB22" i="15"/>
  <c r="AB22" i="36" s="1"/>
  <c r="R54" i="17"/>
  <c r="R54" i="18" s="1"/>
  <c r="AB133" i="17"/>
  <c r="AB148" i="17" s="1"/>
  <c r="AF26" i="15"/>
  <c r="AF26" i="36" s="1"/>
  <c r="AD17" i="15"/>
  <c r="AD22" i="17" s="1"/>
  <c r="AD23" i="10" s="1"/>
  <c r="AD43" i="15"/>
  <c r="AD132" i="17" s="1"/>
  <c r="AD147" i="17" s="1"/>
  <c r="AJ9" i="36"/>
  <c r="AJ8" i="35" s="1"/>
  <c r="AB43" i="15"/>
  <c r="AB43" i="36" s="1"/>
  <c r="AB65" i="15" s="1"/>
  <c r="AD19" i="10"/>
  <c r="AC37" i="15"/>
  <c r="AC57" i="17" s="1"/>
  <c r="AC42" i="15"/>
  <c r="AC131" i="17" s="1"/>
  <c r="AC15" i="15"/>
  <c r="AC20" i="17" s="1"/>
  <c r="R24" i="15"/>
  <c r="R37" i="17" s="1"/>
  <c r="AC10" i="15"/>
  <c r="AC10" i="36" s="1"/>
  <c r="L35" i="35"/>
  <c r="AD10" i="15"/>
  <c r="AD11" i="17" s="1"/>
  <c r="AB15" i="15"/>
  <c r="AB20" i="17" s="1"/>
  <c r="AD24" i="15"/>
  <c r="AD35" i="17" s="1"/>
  <c r="AD36" i="10" s="1"/>
  <c r="AD33" i="15"/>
  <c r="O98" i="17"/>
  <c r="O115" i="17" s="1"/>
  <c r="Y45" i="38"/>
  <c r="AG98" i="16"/>
  <c r="M98" i="16"/>
  <c r="R98" i="16"/>
  <c r="S45" i="38"/>
  <c r="AH54" i="10"/>
  <c r="AC98" i="16"/>
  <c r="O53" i="18"/>
  <c r="AD45" i="38"/>
  <c r="AB45" i="38"/>
  <c r="AH56" i="10"/>
  <c r="N40" i="35"/>
  <c r="Z45" i="38"/>
  <c r="T98" i="16"/>
  <c r="AF45" i="38"/>
  <c r="L61" i="1" s="1"/>
  <c r="AK98" i="16"/>
  <c r="T45" i="38"/>
  <c r="AG45" i="38"/>
  <c r="X98" i="16"/>
  <c r="AE45" i="38"/>
  <c r="R31" i="18"/>
  <c r="W45" i="38"/>
  <c r="M91" i="11"/>
  <c r="M46" i="11" s="1"/>
  <c r="M47" i="11" s="1"/>
  <c r="M91" i="16"/>
  <c r="AI45" i="38"/>
  <c r="Q98" i="16"/>
  <c r="AD98" i="16"/>
  <c r="N45" i="38"/>
  <c r="AF98" i="16"/>
  <c r="N91" i="11"/>
  <c r="N13" i="11" s="1"/>
  <c r="N14" i="11" s="1"/>
  <c r="Y98" i="16"/>
  <c r="O98" i="16"/>
  <c r="AH98" i="16"/>
  <c r="P45" i="38"/>
  <c r="Z98" i="16"/>
  <c r="N91" i="16"/>
  <c r="AC98" i="17"/>
  <c r="AC113" i="17" s="1"/>
  <c r="AC45" i="38"/>
  <c r="X45" i="38"/>
  <c r="AB98" i="16"/>
  <c r="AH45" i="38"/>
  <c r="V45" i="38"/>
  <c r="U98" i="16"/>
  <c r="W16" i="35"/>
  <c r="X32" i="18"/>
  <c r="T51" i="18"/>
  <c r="AJ98" i="16"/>
  <c r="V55" i="18"/>
  <c r="N98" i="16"/>
  <c r="Q45" i="38"/>
  <c r="I61" i="1" s="1"/>
  <c r="S98" i="16"/>
  <c r="W98" i="16"/>
  <c r="AB56" i="10"/>
  <c r="W54" i="10"/>
  <c r="AE32" i="18"/>
  <c r="T140" i="17"/>
  <c r="AJ108" i="17"/>
  <c r="T115" i="17"/>
  <c r="W136" i="17"/>
  <c r="W140" i="17" s="1"/>
  <c r="AJ98" i="17"/>
  <c r="AJ115" i="17" s="1"/>
  <c r="O136" i="17"/>
  <c r="O140" i="17" s="1"/>
  <c r="N98" i="17"/>
  <c r="N116" i="17" s="1"/>
  <c r="AA136" i="17"/>
  <c r="AA140" i="17" s="1"/>
  <c r="AA98" i="17"/>
  <c r="AA113" i="17" s="1"/>
  <c r="AG15" i="15"/>
  <c r="AE37" i="15"/>
  <c r="AE17" i="15"/>
  <c r="AE42" i="15"/>
  <c r="AE131" i="17" s="1"/>
  <c r="AE42" i="10"/>
  <c r="AE24" i="10"/>
  <c r="AE41" i="15"/>
  <c r="AE130" i="17" s="1"/>
  <c r="T50" i="36"/>
  <c r="AB55" i="18"/>
  <c r="AE55" i="10"/>
  <c r="AI43" i="15"/>
  <c r="AI132" i="17" s="1"/>
  <c r="AI147" i="17" s="1"/>
  <c r="V56" i="10"/>
  <c r="O38" i="35"/>
  <c r="Z19" i="10"/>
  <c r="AE133" i="17"/>
  <c r="AE148" i="17" s="1"/>
  <c r="AD17" i="36"/>
  <c r="T32" i="36"/>
  <c r="T36" i="35" s="1"/>
  <c r="S133" i="17"/>
  <c r="S148" i="17" s="1"/>
  <c r="AB54" i="17"/>
  <c r="AB55" i="10" s="1"/>
  <c r="AE40" i="10"/>
  <c r="AE15" i="15"/>
  <c r="AE15" i="36" s="1"/>
  <c r="AE26" i="15"/>
  <c r="AE26" i="36" s="1"/>
  <c r="AE43" i="15"/>
  <c r="AE10" i="15"/>
  <c r="AG22" i="15"/>
  <c r="AG44" i="15"/>
  <c r="AE22" i="15"/>
  <c r="AE31" i="17" s="1"/>
  <c r="AE32" i="10" s="1"/>
  <c r="AE43" i="10"/>
  <c r="AE9" i="15"/>
  <c r="AE9" i="36" s="1"/>
  <c r="X54" i="10"/>
  <c r="AA10" i="17"/>
  <c r="AA10" i="18" s="1"/>
  <c r="AE47" i="36"/>
  <c r="T54" i="17"/>
  <c r="T39" i="35" s="1"/>
  <c r="U19" i="10"/>
  <c r="U31" i="10"/>
  <c r="U33" i="15"/>
  <c r="AI40" i="10"/>
  <c r="AI42" i="10"/>
  <c r="AD15" i="15"/>
  <c r="AD15" i="36" s="1"/>
  <c r="S20" i="18"/>
  <c r="T15" i="15"/>
  <c r="T9" i="15"/>
  <c r="AK37" i="15"/>
  <c r="AK57" i="17" s="1"/>
  <c r="AK10" i="15"/>
  <c r="AK10" i="36" s="1"/>
  <c r="Q11" i="17"/>
  <c r="Q9" i="35" s="1"/>
  <c r="AI24" i="10"/>
  <c r="AI41" i="15"/>
  <c r="AD31" i="17"/>
  <c r="AD32" i="10" s="1"/>
  <c r="T47" i="36"/>
  <c r="Z35" i="36"/>
  <c r="Z39" i="35" s="1"/>
  <c r="AD9" i="15"/>
  <c r="AK42" i="15"/>
  <c r="AK131" i="17" s="1"/>
  <c r="S15" i="36"/>
  <c r="S15" i="35" s="1"/>
  <c r="F61" i="8"/>
  <c r="F65" i="8" s="1"/>
  <c r="F46" i="11"/>
  <c r="F47" i="11" s="1"/>
  <c r="F60" i="11"/>
  <c r="F61" i="11" s="1"/>
  <c r="F25" i="11"/>
  <c r="F26" i="11" s="1"/>
  <c r="F13" i="11"/>
  <c r="F14" i="11" s="1"/>
  <c r="AJ19" i="10"/>
  <c r="AD54" i="17"/>
  <c r="AJ31" i="10"/>
  <c r="R19" i="10"/>
  <c r="AH136" i="17"/>
  <c r="AH140" i="17" s="1"/>
  <c r="AH98" i="17"/>
  <c r="AH114" i="17" s="1"/>
  <c r="P38" i="35"/>
  <c r="AH55" i="18"/>
  <c r="R43" i="10"/>
  <c r="AB24" i="15"/>
  <c r="AB36" i="17" s="1"/>
  <c r="AD32" i="36"/>
  <c r="AD51" i="17"/>
  <c r="AD31" i="15"/>
  <c r="AD8" i="15"/>
  <c r="AD21" i="15"/>
  <c r="AD14" i="15"/>
  <c r="AB26" i="15"/>
  <c r="AB41" i="15"/>
  <c r="AB130" i="17" s="1"/>
  <c r="AB43" i="10"/>
  <c r="AB42" i="10"/>
  <c r="AB24" i="10"/>
  <c r="AB40" i="10"/>
  <c r="T38" i="35"/>
  <c r="Y22" i="17"/>
  <c r="Y23" i="10" s="1"/>
  <c r="AB17" i="15"/>
  <c r="AB17" i="36" s="1"/>
  <c r="S21" i="15"/>
  <c r="S21" i="36" s="1"/>
  <c r="X53" i="18"/>
  <c r="R24" i="10"/>
  <c r="R40" i="10"/>
  <c r="AJ41" i="15"/>
  <c r="AJ130" i="17" s="1"/>
  <c r="R32" i="36"/>
  <c r="AJ54" i="18"/>
  <c r="AG9" i="36"/>
  <c r="AG8" i="35" s="1"/>
  <c r="AA51" i="18"/>
  <c r="AF33" i="15"/>
  <c r="AF52" i="17" s="1"/>
  <c r="AB37" i="15"/>
  <c r="AB37" i="36" s="1"/>
  <c r="AB42" i="15"/>
  <c r="AB131" i="17" s="1"/>
  <c r="S31" i="15"/>
  <c r="S50" i="17" s="1"/>
  <c r="AD40" i="18"/>
  <c r="AD43" i="18" s="1"/>
  <c r="AD26" i="36"/>
  <c r="AD28" i="35" s="1"/>
  <c r="AB14" i="15"/>
  <c r="AB21" i="15"/>
  <c r="AB31" i="15"/>
  <c r="AB8" i="15"/>
  <c r="T31" i="10"/>
  <c r="T19" i="10"/>
  <c r="T33" i="15"/>
  <c r="AE14" i="15"/>
  <c r="AE31" i="15"/>
  <c r="AE8" i="15"/>
  <c r="AE21" i="15"/>
  <c r="R42" i="10"/>
  <c r="AA31" i="10"/>
  <c r="AD50" i="36"/>
  <c r="AA32" i="36"/>
  <c r="AA36" i="35" s="1"/>
  <c r="S54" i="17"/>
  <c r="S35" i="36"/>
  <c r="S48" i="36"/>
  <c r="AG51" i="17"/>
  <c r="AG32" i="36"/>
  <c r="U35" i="36"/>
  <c r="U54" i="17"/>
  <c r="P53" i="18"/>
  <c r="W38" i="35"/>
  <c r="AJ42" i="10"/>
  <c r="AJ40" i="10"/>
  <c r="N33" i="10"/>
  <c r="N25" i="35"/>
  <c r="AG41" i="15"/>
  <c r="AG130" i="17" s="1"/>
  <c r="AG26" i="15"/>
  <c r="AG24" i="10"/>
  <c r="AG40" i="10"/>
  <c r="AG42" i="10"/>
  <c r="AG43" i="10"/>
  <c r="AH42" i="15"/>
  <c r="AH131" i="17" s="1"/>
  <c r="AH17" i="15"/>
  <c r="AH24" i="15"/>
  <c r="AH10" i="15"/>
  <c r="AH43" i="15"/>
  <c r="AH37" i="15"/>
  <c r="AA8" i="15"/>
  <c r="AA21" i="15"/>
  <c r="AA31" i="15"/>
  <c r="AA14" i="15"/>
  <c r="U42" i="10"/>
  <c r="U26" i="15"/>
  <c r="U40" i="10"/>
  <c r="U41" i="15"/>
  <c r="U130" i="17" s="1"/>
  <c r="U24" i="10"/>
  <c r="U43" i="10"/>
  <c r="S51" i="17"/>
  <c r="S32" i="36"/>
  <c r="AA41" i="15"/>
  <c r="AA130" i="17" s="1"/>
  <c r="AA40" i="10"/>
  <c r="AA24" i="10"/>
  <c r="AA43" i="10"/>
  <c r="AA42" i="10"/>
  <c r="AA26" i="15"/>
  <c r="AJ43" i="10"/>
  <c r="AJ24" i="10"/>
  <c r="R22" i="36"/>
  <c r="R24" i="35" s="1"/>
  <c r="AG19" i="10"/>
  <c r="AG33" i="15"/>
  <c r="AG31" i="10"/>
  <c r="AF15" i="15"/>
  <c r="AF9" i="15"/>
  <c r="AF22" i="15"/>
  <c r="AF44" i="15"/>
  <c r="U32" i="36"/>
  <c r="U51" i="17"/>
  <c r="S42" i="15"/>
  <c r="S131" i="17" s="1"/>
  <c r="S24" i="15"/>
  <c r="S43" i="15"/>
  <c r="S17" i="15"/>
  <c r="S37" i="15"/>
  <c r="S10" i="15"/>
  <c r="AH33" i="15"/>
  <c r="U14" i="15"/>
  <c r="U31" i="15"/>
  <c r="U21" i="15"/>
  <c r="U8" i="15"/>
  <c r="AG31" i="15"/>
  <c r="AG14" i="15"/>
  <c r="AG8" i="15"/>
  <c r="AG21" i="15"/>
  <c r="AH40" i="10"/>
  <c r="AH26" i="15"/>
  <c r="AH24" i="10"/>
  <c r="AH42" i="10"/>
  <c r="AH41" i="15"/>
  <c r="AH130" i="17" s="1"/>
  <c r="AH43" i="10"/>
  <c r="AA43" i="15"/>
  <c r="AA42" i="15"/>
  <c r="AA131" i="17" s="1"/>
  <c r="AA17" i="15"/>
  <c r="AA24" i="15"/>
  <c r="AA37" i="15"/>
  <c r="AA10" i="15"/>
  <c r="AF37" i="15"/>
  <c r="AF10" i="15"/>
  <c r="AF43" i="15"/>
  <c r="AF24" i="15"/>
  <c r="AF17" i="15"/>
  <c r="AF42" i="15"/>
  <c r="AF131" i="17" s="1"/>
  <c r="U43" i="15"/>
  <c r="U42" i="15"/>
  <c r="U131" i="17" s="1"/>
  <c r="U17" i="15"/>
  <c r="U37" i="15"/>
  <c r="U10" i="15"/>
  <c r="U24" i="15"/>
  <c r="S43" i="10"/>
  <c r="S42" i="10"/>
  <c r="S41" i="15"/>
  <c r="S130" i="17" s="1"/>
  <c r="S40" i="10"/>
  <c r="AK56" i="10"/>
  <c r="L26" i="35"/>
  <c r="AB38" i="35"/>
  <c r="AC53" i="18"/>
  <c r="AB54" i="10"/>
  <c r="AC54" i="10"/>
  <c r="AK21" i="18"/>
  <c r="X22" i="10"/>
  <c r="AJ39" i="35"/>
  <c r="AK16" i="35"/>
  <c r="X16" i="35"/>
  <c r="Q16" i="35"/>
  <c r="U25" i="35"/>
  <c r="AK55" i="18"/>
  <c r="P55" i="18"/>
  <c r="AE39" i="35"/>
  <c r="P57" i="17"/>
  <c r="P58" i="10" s="1"/>
  <c r="U32" i="18"/>
  <c r="AD55" i="18"/>
  <c r="AD56" i="10"/>
  <c r="W25" i="35"/>
  <c r="Z55" i="18"/>
  <c r="W33" i="10"/>
  <c r="Q35" i="17"/>
  <c r="AK45" i="38"/>
  <c r="W56" i="10"/>
  <c r="W40" i="35"/>
  <c r="AI22" i="10"/>
  <c r="Q17" i="36"/>
  <c r="Q17" i="35" s="1"/>
  <c r="AI21" i="18"/>
  <c r="AE36" i="35"/>
  <c r="X33" i="10"/>
  <c r="AE52" i="10"/>
  <c r="M46" i="8"/>
  <c r="Z56" i="10"/>
  <c r="AE26" i="35"/>
  <c r="AE25" i="35"/>
  <c r="U47" i="36"/>
  <c r="U48" i="36"/>
  <c r="U133" i="17"/>
  <c r="U148" i="17" s="1"/>
  <c r="R16" i="35"/>
  <c r="Z41" i="15"/>
  <c r="Z130" i="17" s="1"/>
  <c r="O116" i="17"/>
  <c r="AA98" i="16"/>
  <c r="U98" i="10"/>
  <c r="U128" i="11"/>
  <c r="P98" i="10"/>
  <c r="P128" i="11"/>
  <c r="S8" i="17"/>
  <c r="S8" i="36"/>
  <c r="V98" i="10"/>
  <c r="V128" i="11"/>
  <c r="P40" i="35"/>
  <c r="AK33" i="10"/>
  <c r="R98" i="17"/>
  <c r="R116" i="17" s="1"/>
  <c r="Q98" i="10"/>
  <c r="Q128" i="11"/>
  <c r="AF50" i="36"/>
  <c r="Z42" i="10"/>
  <c r="U31" i="17"/>
  <c r="U22" i="36"/>
  <c r="AI98" i="16"/>
  <c r="S16" i="35"/>
  <c r="Q21" i="18"/>
  <c r="U55" i="18"/>
  <c r="AG32" i="18"/>
  <c r="P22" i="17"/>
  <c r="P17" i="35" s="1"/>
  <c r="U40" i="35"/>
  <c r="AG25" i="35"/>
  <c r="Z9" i="15"/>
  <c r="Z22" i="15"/>
  <c r="Z44" i="15"/>
  <c r="Z15" i="15"/>
  <c r="Z43" i="15"/>
  <c r="Z37" i="15"/>
  <c r="AE24" i="36"/>
  <c r="AE35" i="17"/>
  <c r="AE37" i="17"/>
  <c r="AE36" i="17"/>
  <c r="Z26" i="15"/>
  <c r="Z40" i="17" s="1"/>
  <c r="Z24" i="10"/>
  <c r="AB11" i="17"/>
  <c r="AB10" i="36"/>
  <c r="AJ20" i="18"/>
  <c r="AJ21" i="10"/>
  <c r="Z32" i="36"/>
  <c r="Z51" i="17"/>
  <c r="AB9" i="36"/>
  <c r="AB10" i="17"/>
  <c r="AJ15" i="35"/>
  <c r="AB24" i="36"/>
  <c r="AB52" i="10"/>
  <c r="AB51" i="18"/>
  <c r="U21" i="10"/>
  <c r="U20" i="18"/>
  <c r="AD49" i="36"/>
  <c r="R21" i="18"/>
  <c r="AC21" i="18"/>
  <c r="AC22" i="10"/>
  <c r="AC16" i="35"/>
  <c r="N22" i="10"/>
  <c r="O40" i="35"/>
  <c r="P124" i="17"/>
  <c r="P136" i="17"/>
  <c r="P140" i="17" s="1"/>
  <c r="T116" i="17"/>
  <c r="L98" i="17"/>
  <c r="L109" i="17"/>
  <c r="T117" i="17"/>
  <c r="K108" i="17"/>
  <c r="K98" i="17"/>
  <c r="AI108" i="17"/>
  <c r="AI98" i="17"/>
  <c r="M108" i="17"/>
  <c r="M98" i="17"/>
  <c r="Q98" i="17"/>
  <c r="X98" i="17"/>
  <c r="X115" i="17" s="1"/>
  <c r="AG108" i="17"/>
  <c r="AG98" i="17"/>
  <c r="V108" i="17"/>
  <c r="V98" i="17"/>
  <c r="U98" i="17"/>
  <c r="U108" i="17"/>
  <c r="V98" i="16"/>
  <c r="P98" i="17"/>
  <c r="P98" i="16"/>
  <c r="AE108" i="17"/>
  <c r="AE98" i="17"/>
  <c r="AA39" i="35"/>
  <c r="AK108" i="17"/>
  <c r="AK98" i="17"/>
  <c r="AD98" i="17"/>
  <c r="AD108" i="17"/>
  <c r="Z108" i="17"/>
  <c r="Z98" i="17"/>
  <c r="R124" i="17"/>
  <c r="R136" i="17"/>
  <c r="R140" i="17" s="1"/>
  <c r="AC136" i="17"/>
  <c r="AC140" i="17" s="1"/>
  <c r="S98" i="17"/>
  <c r="S108" i="17"/>
  <c r="AB108" i="17"/>
  <c r="AB98" i="17"/>
  <c r="X136" i="17"/>
  <c r="X140" i="17" s="1"/>
  <c r="N123" i="17"/>
  <c r="N127" i="17" s="1"/>
  <c r="N136" i="17"/>
  <c r="N140" i="17" s="1"/>
  <c r="AF116" i="17"/>
  <c r="AF113" i="17"/>
  <c r="AF115" i="17"/>
  <c r="AF114" i="17"/>
  <c r="AF117" i="17"/>
  <c r="Y108" i="17"/>
  <c r="Y98" i="17"/>
  <c r="P11" i="17"/>
  <c r="P9" i="35" s="1"/>
  <c r="AG16" i="35"/>
  <c r="AG22" i="17"/>
  <c r="AG17" i="36"/>
  <c r="AG132" i="17"/>
  <c r="AG147" i="17" s="1"/>
  <c r="AE52" i="17"/>
  <c r="AE33" i="36"/>
  <c r="AG10" i="36"/>
  <c r="AG11" i="17"/>
  <c r="AG36" i="17"/>
  <c r="AG37" i="17"/>
  <c r="AG24" i="36"/>
  <c r="AG35" i="17"/>
  <c r="AG37" i="36"/>
  <c r="AG57" i="17"/>
  <c r="AA21" i="10"/>
  <c r="AA54" i="18"/>
  <c r="AA55" i="10"/>
  <c r="AG49" i="36"/>
  <c r="P31" i="17"/>
  <c r="P24" i="35" s="1"/>
  <c r="AK25" i="35"/>
  <c r="Z17" i="17"/>
  <c r="Z14" i="36"/>
  <c r="AA23" i="35"/>
  <c r="Y132" i="17"/>
  <c r="Y147" i="17" s="1"/>
  <c r="Y43" i="36"/>
  <c r="Y65" i="15" s="1"/>
  <c r="P10" i="17"/>
  <c r="P11" i="10" s="1"/>
  <c r="AA52" i="18"/>
  <c r="Y42" i="36"/>
  <c r="Y64" i="15" s="1"/>
  <c r="Y49" i="36"/>
  <c r="L7" i="35"/>
  <c r="M40" i="35"/>
  <c r="Y35" i="17"/>
  <c r="Y37" i="17"/>
  <c r="Y36" i="17"/>
  <c r="Y24" i="36"/>
  <c r="Z29" i="17"/>
  <c r="Z21" i="36"/>
  <c r="L40" i="35"/>
  <c r="N72" i="1"/>
  <c r="O72" i="1" s="1"/>
  <c r="AD57" i="18"/>
  <c r="AD58" i="10"/>
  <c r="T8" i="17"/>
  <c r="T8" i="36"/>
  <c r="S24" i="35"/>
  <c r="AF17" i="17"/>
  <c r="AF14" i="36"/>
  <c r="P52" i="17"/>
  <c r="P52" i="18" s="1"/>
  <c r="AF55" i="10"/>
  <c r="T29" i="17"/>
  <c r="T21" i="36"/>
  <c r="Y9" i="35"/>
  <c r="AF50" i="17"/>
  <c r="T50" i="17"/>
  <c r="T31" i="36"/>
  <c r="Y12" i="10"/>
  <c r="Y11" i="18"/>
  <c r="Y58" i="10"/>
  <c r="T17" i="17"/>
  <c r="S31" i="18"/>
  <c r="S32" i="10"/>
  <c r="R10" i="18"/>
  <c r="R11" i="10"/>
  <c r="Z21" i="18"/>
  <c r="Z22" i="10"/>
  <c r="AD22" i="10"/>
  <c r="AD21" i="18"/>
  <c r="P37" i="17"/>
  <c r="P37" i="18" s="1"/>
  <c r="L16" i="35"/>
  <c r="AJ40" i="35"/>
  <c r="Y40" i="18"/>
  <c r="Y43" i="18" s="1"/>
  <c r="Y41" i="10"/>
  <c r="AD33" i="10"/>
  <c r="AD32" i="18"/>
  <c r="R8" i="35"/>
  <c r="Q58" i="10"/>
  <c r="Q57" i="18"/>
  <c r="AD16" i="35"/>
  <c r="AC14" i="35"/>
  <c r="AF40" i="35"/>
  <c r="O56" i="10"/>
  <c r="O55" i="18"/>
  <c r="AD25" i="35"/>
  <c r="AD26" i="35"/>
  <c r="M26" i="35"/>
  <c r="M25" i="35"/>
  <c r="O21" i="18"/>
  <c r="O22" i="10"/>
  <c r="P36" i="17"/>
  <c r="P37" i="10" s="1"/>
  <c r="AC35" i="35"/>
  <c r="Z16" i="35"/>
  <c r="O16" i="35"/>
  <c r="K66" i="1"/>
  <c r="L66" i="1" s="1"/>
  <c r="AI15" i="36"/>
  <c r="AI20" i="17"/>
  <c r="R26" i="35"/>
  <c r="R25" i="35"/>
  <c r="AC35" i="17"/>
  <c r="AC36" i="17"/>
  <c r="AC24" i="36"/>
  <c r="AC37" i="17"/>
  <c r="AC7" i="35"/>
  <c r="Q50" i="36"/>
  <c r="AF55" i="18"/>
  <c r="AF56" i="10"/>
  <c r="AG21" i="18"/>
  <c r="AG22" i="10"/>
  <c r="AC31" i="17"/>
  <c r="AC22" i="36"/>
  <c r="AC36" i="35"/>
  <c r="AF16" i="35"/>
  <c r="AC55" i="10"/>
  <c r="AC54" i="18"/>
  <c r="AJ26" i="35"/>
  <c r="AJ25" i="35"/>
  <c r="Q31" i="17"/>
  <c r="Q22" i="36"/>
  <c r="K72" i="1"/>
  <c r="L72" i="1" s="1"/>
  <c r="Q39" i="35"/>
  <c r="AI10" i="17"/>
  <c r="AI9" i="36"/>
  <c r="R33" i="10"/>
  <c r="R32" i="18"/>
  <c r="Q14" i="36"/>
  <c r="Q17" i="17"/>
  <c r="AC9" i="10"/>
  <c r="AC8" i="18"/>
  <c r="Q40" i="17"/>
  <c r="Q26" i="36"/>
  <c r="AC51" i="18"/>
  <c r="AC52" i="10"/>
  <c r="AJ32" i="18"/>
  <c r="AJ33" i="10"/>
  <c r="P132" i="17"/>
  <c r="P147" i="17" s="1"/>
  <c r="P71" i="15" s="1"/>
  <c r="AI133" i="17"/>
  <c r="AI148" i="17" s="1"/>
  <c r="AC18" i="10"/>
  <c r="AC17" i="18"/>
  <c r="Q50" i="17"/>
  <c r="Q31" i="36"/>
  <c r="Q37" i="18"/>
  <c r="AI14" i="36"/>
  <c r="AJ55" i="18"/>
  <c r="AJ56" i="10"/>
  <c r="AC51" i="10"/>
  <c r="AC50" i="18"/>
  <c r="AC33" i="36"/>
  <c r="AC52" i="17"/>
  <c r="AI31" i="17"/>
  <c r="AI22" i="36"/>
  <c r="AC17" i="36"/>
  <c r="AC22" i="17"/>
  <c r="Q29" i="17"/>
  <c r="Q21" i="36"/>
  <c r="Q22" i="18"/>
  <c r="AC50" i="36"/>
  <c r="AC40" i="17"/>
  <c r="AC26" i="36"/>
  <c r="AI50" i="17"/>
  <c r="AI31" i="36"/>
  <c r="AC9" i="36"/>
  <c r="AC10" i="17"/>
  <c r="AF22" i="10"/>
  <c r="AF21" i="18"/>
  <c r="AI26" i="36"/>
  <c r="AI40" i="17"/>
  <c r="Q54" i="18"/>
  <c r="V16" i="35"/>
  <c r="AJ33" i="36"/>
  <c r="AJ52" i="17"/>
  <c r="L22" i="35"/>
  <c r="R43" i="36"/>
  <c r="R65" i="15" s="1"/>
  <c r="R31" i="36"/>
  <c r="R50" i="17"/>
  <c r="AB23" i="35"/>
  <c r="AB37" i="35"/>
  <c r="R33" i="36"/>
  <c r="R52" i="17"/>
  <c r="AB21" i="18"/>
  <c r="AB22" i="10"/>
  <c r="T35" i="18"/>
  <c r="T38" i="17"/>
  <c r="T38" i="18" s="1"/>
  <c r="T36" i="10"/>
  <c r="R8" i="17"/>
  <c r="AJ132" i="17"/>
  <c r="AJ147" i="17" s="1"/>
  <c r="AJ57" i="17"/>
  <c r="AJ37" i="36"/>
  <c r="AB52" i="18"/>
  <c r="AB53" i="10"/>
  <c r="AB25" i="35"/>
  <c r="AB26" i="35"/>
  <c r="L39" i="35"/>
  <c r="AB16" i="35"/>
  <c r="R49" i="36"/>
  <c r="R42" i="36"/>
  <c r="R64" i="15" s="1"/>
  <c r="R21" i="36"/>
  <c r="AJ17" i="17"/>
  <c r="AJ14" i="36"/>
  <c r="AB33" i="10"/>
  <c r="AB32" i="18"/>
  <c r="S40" i="35"/>
  <c r="R50" i="36"/>
  <c r="P49" i="36"/>
  <c r="P42" i="36"/>
  <c r="P64" i="15" s="1"/>
  <c r="P35" i="17"/>
  <c r="T38" i="10"/>
  <c r="T37" i="18"/>
  <c r="R11" i="17"/>
  <c r="R10" i="36"/>
  <c r="R14" i="36"/>
  <c r="R17" i="17"/>
  <c r="AJ21" i="36"/>
  <c r="AJ29" i="17"/>
  <c r="T23" i="10"/>
  <c r="T22" i="18"/>
  <c r="S56" i="10"/>
  <c r="S55" i="18"/>
  <c r="AJ26" i="36"/>
  <c r="AJ40" i="17"/>
  <c r="AJ11" i="10"/>
  <c r="P47" i="36"/>
  <c r="T33" i="10"/>
  <c r="T32" i="18"/>
  <c r="AA21" i="18"/>
  <c r="P26" i="36"/>
  <c r="P40" i="17"/>
  <c r="L15" i="36"/>
  <c r="L20" i="17"/>
  <c r="L21" i="10" s="1"/>
  <c r="V9" i="15"/>
  <c r="V22" i="15"/>
  <c r="V33" i="15"/>
  <c r="V19" i="10"/>
  <c r="V31" i="10"/>
  <c r="AA40" i="35"/>
  <c r="P39" i="35"/>
  <c r="L40" i="17"/>
  <c r="L41" i="10" s="1"/>
  <c r="L26" i="36"/>
  <c r="N9" i="15"/>
  <c r="N15" i="15"/>
  <c r="N44" i="15"/>
  <c r="N22" i="15"/>
  <c r="T40" i="35"/>
  <c r="AK15" i="36"/>
  <c r="AK20" i="17"/>
  <c r="L24" i="36"/>
  <c r="L37" i="17"/>
  <c r="L38" i="10" s="1"/>
  <c r="L36" i="17"/>
  <c r="L37" i="10" s="1"/>
  <c r="L35" i="17"/>
  <c r="Y40" i="35"/>
  <c r="AK29" i="17"/>
  <c r="AK21" i="36"/>
  <c r="W26" i="15"/>
  <c r="W41" i="15"/>
  <c r="W130" i="17" s="1"/>
  <c r="W24" i="10"/>
  <c r="W43" i="10"/>
  <c r="W40" i="10"/>
  <c r="W42" i="10"/>
  <c r="O32" i="36"/>
  <c r="O51" i="17"/>
  <c r="X8" i="15"/>
  <c r="X31" i="15"/>
  <c r="X14" i="15"/>
  <c r="X21" i="15"/>
  <c r="L9" i="36"/>
  <c r="L10" i="17"/>
  <c r="L11" i="10" s="1"/>
  <c r="V24" i="15"/>
  <c r="V37" i="15"/>
  <c r="V10" i="15"/>
  <c r="V43" i="15"/>
  <c r="V17" i="15"/>
  <c r="V42" i="15"/>
  <c r="V131" i="17" s="1"/>
  <c r="V14" i="15"/>
  <c r="V31" i="15"/>
  <c r="V21" i="15"/>
  <c r="V8" i="15"/>
  <c r="L41" i="36"/>
  <c r="L63" i="15" s="1"/>
  <c r="L130" i="17"/>
  <c r="N24" i="10"/>
  <c r="N26" i="15"/>
  <c r="N40" i="10"/>
  <c r="N43" i="10"/>
  <c r="N42" i="10"/>
  <c r="N41" i="15"/>
  <c r="N130" i="17" s="1"/>
  <c r="N33" i="15"/>
  <c r="N19" i="10"/>
  <c r="N31" i="10"/>
  <c r="Y22" i="10"/>
  <c r="Y21" i="18"/>
  <c r="AK48" i="36"/>
  <c r="AK133" i="17"/>
  <c r="AK148" i="17" s="1"/>
  <c r="AK47" i="36"/>
  <c r="L42" i="36"/>
  <c r="L64" i="15" s="1"/>
  <c r="L131" i="17"/>
  <c r="L10" i="36"/>
  <c r="L11" i="17"/>
  <c r="L12" i="10" s="1"/>
  <c r="AH33" i="10"/>
  <c r="AH25" i="35"/>
  <c r="AH16" i="35"/>
  <c r="AH21" i="18"/>
  <c r="AH22" i="10"/>
  <c r="T22" i="10"/>
  <c r="T21" i="18"/>
  <c r="AK14" i="36"/>
  <c r="AK17" i="17"/>
  <c r="AK11" i="17"/>
  <c r="W44" i="15"/>
  <c r="W22" i="15"/>
  <c r="W15" i="15"/>
  <c r="W9" i="15"/>
  <c r="W32" i="36"/>
  <c r="W51" i="17"/>
  <c r="O40" i="10"/>
  <c r="O41" i="15"/>
  <c r="O130" i="17" s="1"/>
  <c r="O26" i="15"/>
  <c r="O24" i="10"/>
  <c r="O43" i="10"/>
  <c r="O42" i="10"/>
  <c r="O54" i="17"/>
  <c r="O35" i="36"/>
  <c r="X54" i="17"/>
  <c r="X35" i="36"/>
  <c r="X51" i="17"/>
  <c r="X32" i="36"/>
  <c r="AK33" i="36"/>
  <c r="AK52" i="17"/>
  <c r="V25" i="35"/>
  <c r="P50" i="36"/>
  <c r="L22" i="36"/>
  <c r="L31" i="17"/>
  <c r="L32" i="10" s="1"/>
  <c r="V43" i="10"/>
  <c r="V32" i="36"/>
  <c r="V51" i="17"/>
  <c r="Y32" i="18"/>
  <c r="Y33" i="10"/>
  <c r="V22" i="10"/>
  <c r="V21" i="18"/>
  <c r="N8" i="15"/>
  <c r="N21" i="15"/>
  <c r="N31" i="15"/>
  <c r="N14" i="15"/>
  <c r="N37" i="15"/>
  <c r="N17" i="15"/>
  <c r="N10" i="15"/>
  <c r="N42" i="15"/>
  <c r="N131" i="17" s="1"/>
  <c r="N43" i="15"/>
  <c r="N24" i="15"/>
  <c r="Y16" i="35"/>
  <c r="AK9" i="36"/>
  <c r="AK10" i="17"/>
  <c r="L57" i="17"/>
  <c r="L58" i="10" s="1"/>
  <c r="L37" i="36"/>
  <c r="T16" i="35"/>
  <c r="AK132" i="17"/>
  <c r="AK147" i="17" s="1"/>
  <c r="W8" i="15"/>
  <c r="W31" i="15"/>
  <c r="W14" i="15"/>
  <c r="W21" i="15"/>
  <c r="W42" i="15"/>
  <c r="W131" i="17" s="1"/>
  <c r="W17" i="15"/>
  <c r="W43" i="15"/>
  <c r="W10" i="15"/>
  <c r="W24" i="15"/>
  <c r="W37" i="15"/>
  <c r="O22" i="15"/>
  <c r="O15" i="15"/>
  <c r="O44" i="15"/>
  <c r="O9" i="15"/>
  <c r="O21" i="15"/>
  <c r="O31" i="15"/>
  <c r="O8" i="15"/>
  <c r="O14" i="15"/>
  <c r="X41" i="15"/>
  <c r="X130" i="17" s="1"/>
  <c r="X42" i="10"/>
  <c r="X40" i="10"/>
  <c r="X43" i="10"/>
  <c r="X24" i="10"/>
  <c r="X26" i="15"/>
  <c r="X42" i="15"/>
  <c r="X131" i="17" s="1"/>
  <c r="X24" i="15"/>
  <c r="X43" i="15"/>
  <c r="X37" i="15"/>
  <c r="X17" i="15"/>
  <c r="X10" i="15"/>
  <c r="T26" i="35"/>
  <c r="T25" i="35"/>
  <c r="V33" i="10"/>
  <c r="V32" i="18"/>
  <c r="L44" i="36"/>
  <c r="L66" i="15" s="1"/>
  <c r="L133" i="17"/>
  <c r="L148" i="17" s="1"/>
  <c r="V35" i="36"/>
  <c r="V54" i="17"/>
  <c r="Y25" i="35"/>
  <c r="Y26" i="35"/>
  <c r="AA55" i="18"/>
  <c r="AA56" i="10"/>
  <c r="P55" i="10"/>
  <c r="P54" i="18"/>
  <c r="N35" i="36"/>
  <c r="N54" i="17"/>
  <c r="N32" i="36"/>
  <c r="N51" i="17"/>
  <c r="P21" i="18"/>
  <c r="T55" i="18"/>
  <c r="T56" i="10"/>
  <c r="AK31" i="17"/>
  <c r="AK22" i="36"/>
  <c r="L33" i="36"/>
  <c r="L52" i="17"/>
  <c r="L132" i="17"/>
  <c r="L147" i="17" s="1"/>
  <c r="L43" i="36"/>
  <c r="L65" i="15" s="1"/>
  <c r="Y55" i="18"/>
  <c r="Y56" i="10"/>
  <c r="AK50" i="17"/>
  <c r="AK31" i="36"/>
  <c r="AK36" i="17"/>
  <c r="AK37" i="17"/>
  <c r="AK24" i="36"/>
  <c r="AK35" i="17"/>
  <c r="W33" i="15"/>
  <c r="W19" i="10"/>
  <c r="W31" i="10"/>
  <c r="W54" i="17"/>
  <c r="W35" i="36"/>
  <c r="O31" i="10"/>
  <c r="O33" i="15"/>
  <c r="O19" i="10"/>
  <c r="O43" i="15"/>
  <c r="O10" i="15"/>
  <c r="O24" i="15"/>
  <c r="O37" i="15"/>
  <c r="O17" i="15"/>
  <c r="O42" i="15"/>
  <c r="O131" i="17" s="1"/>
  <c r="X15" i="15"/>
  <c r="X9" i="15"/>
  <c r="X22" i="15"/>
  <c r="X44" i="15"/>
  <c r="X19" i="10"/>
  <c r="X33" i="15"/>
  <c r="X31" i="10"/>
  <c r="C13" i="11" l="1"/>
  <c r="C14" i="11" s="1"/>
  <c r="C46" i="11"/>
  <c r="C47" i="11" s="1"/>
  <c r="D91" i="11"/>
  <c r="D60" i="11" s="1"/>
  <c r="D61" i="11" s="1"/>
  <c r="L64" i="8"/>
  <c r="C25" i="11"/>
  <c r="C26" i="11" s="1"/>
  <c r="H13" i="11"/>
  <c r="H14" i="11" s="1"/>
  <c r="AF54" i="18"/>
  <c r="AB15" i="36"/>
  <c r="AK37" i="36"/>
  <c r="AJ37" i="17"/>
  <c r="AH19" i="10"/>
  <c r="AK8" i="17"/>
  <c r="AK7" i="35" s="1"/>
  <c r="AJ17" i="36"/>
  <c r="AJ17" i="35" s="1"/>
  <c r="AD48" i="36"/>
  <c r="AK26" i="36"/>
  <c r="AG10" i="18"/>
  <c r="AI47" i="36"/>
  <c r="AF21" i="36"/>
  <c r="AD133" i="17"/>
  <c r="AD148" i="17" s="1"/>
  <c r="AA31" i="17"/>
  <c r="AA31" i="18" s="1"/>
  <c r="AA20" i="18"/>
  <c r="Y22" i="36"/>
  <c r="Y31" i="17"/>
  <c r="Y24" i="35" s="1"/>
  <c r="V24" i="10"/>
  <c r="Q10" i="17"/>
  <c r="Q10" i="18" s="1"/>
  <c r="Z8" i="36"/>
  <c r="Z43" i="10"/>
  <c r="S26" i="15"/>
  <c r="S40" i="17" s="1"/>
  <c r="S14" i="15"/>
  <c r="S14" i="36" s="1"/>
  <c r="V40" i="10"/>
  <c r="V26" i="15"/>
  <c r="V41" i="15"/>
  <c r="V130" i="17" s="1"/>
  <c r="V44" i="15"/>
  <c r="V48" i="36" s="1"/>
  <c r="Q133" i="17"/>
  <c r="Q148" i="17" s="1"/>
  <c r="Q8" i="36"/>
  <c r="Q7" i="35" s="1"/>
  <c r="Q42" i="36"/>
  <c r="Q64" i="15" s="1"/>
  <c r="R55" i="18"/>
  <c r="T49" i="36"/>
  <c r="Y28" i="35"/>
  <c r="S10" i="17"/>
  <c r="S8" i="35" s="1"/>
  <c r="AC32" i="18"/>
  <c r="K25" i="35"/>
  <c r="AC33" i="10"/>
  <c r="AE22" i="10"/>
  <c r="P16" i="35"/>
  <c r="N16" i="35"/>
  <c r="M16" i="35"/>
  <c r="AE21" i="18"/>
  <c r="P25" i="35"/>
  <c r="P33" i="10"/>
  <c r="AA22" i="10"/>
  <c r="R56" i="10"/>
  <c r="B13" i="11"/>
  <c r="B14" i="11" s="1"/>
  <c r="B46" i="11"/>
  <c r="B47" i="11" s="1"/>
  <c r="AJ8" i="36"/>
  <c r="Y47" i="36"/>
  <c r="Z52" i="17"/>
  <c r="Z52" i="18" s="1"/>
  <c r="L25" i="11"/>
  <c r="L26" i="11" s="1"/>
  <c r="C60" i="11"/>
  <c r="C61" i="11" s="1"/>
  <c r="AJ31" i="17"/>
  <c r="AJ31" i="18" s="1"/>
  <c r="Q49" i="36"/>
  <c r="AJ24" i="36"/>
  <c r="AK49" i="36"/>
  <c r="L17" i="36"/>
  <c r="AJ35" i="17"/>
  <c r="AJ36" i="10" s="1"/>
  <c r="T57" i="18"/>
  <c r="R22" i="17"/>
  <c r="R17" i="35" s="1"/>
  <c r="AC11" i="17"/>
  <c r="AC9" i="35" s="1"/>
  <c r="Y48" i="36"/>
  <c r="L46" i="11"/>
  <c r="L47" i="11" s="1"/>
  <c r="S33" i="15"/>
  <c r="AC29" i="18"/>
  <c r="R40" i="17"/>
  <c r="P48" i="36"/>
  <c r="L60" i="11"/>
  <c r="L61" i="11" s="1"/>
  <c r="P20" i="17"/>
  <c r="P15" i="35" s="1"/>
  <c r="AI32" i="36"/>
  <c r="AI36" i="35" s="1"/>
  <c r="T37" i="36"/>
  <c r="J59" i="8"/>
  <c r="K61" i="8" s="1"/>
  <c r="F60" i="8"/>
  <c r="F63" i="8" s="1"/>
  <c r="K60" i="8"/>
  <c r="K63" i="8" s="1"/>
  <c r="C61" i="8"/>
  <c r="C64" i="8" s="1"/>
  <c r="C60" i="8"/>
  <c r="C63" i="8" s="1"/>
  <c r="H60" i="8"/>
  <c r="H63" i="8" s="1"/>
  <c r="E60" i="8"/>
  <c r="E63" i="8" s="1"/>
  <c r="H60" i="11"/>
  <c r="H61" i="11" s="1"/>
  <c r="L60" i="8"/>
  <c r="L63" i="8" s="1"/>
  <c r="B25" i="11"/>
  <c r="B26" i="11" s="1"/>
  <c r="B63" i="11" s="1"/>
  <c r="B75" i="11" s="1"/>
  <c r="Q33" i="36"/>
  <c r="Q52" i="17"/>
  <c r="H46" i="11"/>
  <c r="H47" i="11" s="1"/>
  <c r="H64" i="11"/>
  <c r="B60" i="11"/>
  <c r="B61" i="11" s="1"/>
  <c r="AB57" i="17"/>
  <c r="AB58" i="10" s="1"/>
  <c r="J91" i="11"/>
  <c r="J25" i="11" s="1"/>
  <c r="J26" i="11" s="1"/>
  <c r="G61" i="8"/>
  <c r="G64" i="8" s="1"/>
  <c r="G60" i="8"/>
  <c r="G63" i="8" s="1"/>
  <c r="L64" i="11"/>
  <c r="I61" i="8"/>
  <c r="I64" i="8" s="1"/>
  <c r="T11" i="17"/>
  <c r="T10" i="36"/>
  <c r="AH9" i="15"/>
  <c r="AH22" i="15"/>
  <c r="Y32" i="36"/>
  <c r="Y51" i="17"/>
  <c r="R15" i="35"/>
  <c r="Z17" i="15"/>
  <c r="Z22" i="17" s="1"/>
  <c r="AJ48" i="36"/>
  <c r="AI17" i="15"/>
  <c r="AE56" i="10"/>
  <c r="AE40" i="35"/>
  <c r="AE55" i="18"/>
  <c r="AI33" i="15"/>
  <c r="AI31" i="10"/>
  <c r="AJ49" i="36"/>
  <c r="T31" i="18"/>
  <c r="AJ50" i="17"/>
  <c r="AJ35" i="35" s="1"/>
  <c r="AI49" i="36"/>
  <c r="AI55" i="10"/>
  <c r="AI11" i="17"/>
  <c r="AI12" i="10" s="1"/>
  <c r="AI8" i="36"/>
  <c r="AI7" i="35" s="1"/>
  <c r="R21" i="10"/>
  <c r="AB132" i="17"/>
  <c r="AB147" i="17" s="1"/>
  <c r="AB71" i="15" s="1"/>
  <c r="Z10" i="15"/>
  <c r="Z50" i="17"/>
  <c r="Z50" i="18" s="1"/>
  <c r="AK39" i="35"/>
  <c r="S19" i="10"/>
  <c r="Y31" i="15"/>
  <c r="Y14" i="15"/>
  <c r="Y8" i="15"/>
  <c r="Y21" i="15"/>
  <c r="Y35" i="36"/>
  <c r="Y54" i="17"/>
  <c r="Y64" i="10" s="1"/>
  <c r="AK17" i="36"/>
  <c r="AC133" i="17"/>
  <c r="AC148" i="17" s="1"/>
  <c r="Y55" i="36"/>
  <c r="Y56" i="36" s="1"/>
  <c r="Z24" i="15"/>
  <c r="Z36" i="17" s="1"/>
  <c r="Q132" i="17"/>
  <c r="Q147" i="17" s="1"/>
  <c r="Q71" i="15" s="1"/>
  <c r="AJ11" i="17"/>
  <c r="AJ9" i="35" s="1"/>
  <c r="Q36" i="17"/>
  <c r="Q36" i="18" s="1"/>
  <c r="Q24" i="36"/>
  <c r="K68" i="1" s="1"/>
  <c r="L68" i="1" s="1"/>
  <c r="AJ51" i="18"/>
  <c r="AC22" i="35"/>
  <c r="AI51" i="18"/>
  <c r="AI35" i="36"/>
  <c r="AI39" i="35" s="1"/>
  <c r="AJ47" i="36"/>
  <c r="AI24" i="15"/>
  <c r="AH15" i="15"/>
  <c r="AK55" i="10"/>
  <c r="AI37" i="15"/>
  <c r="Y15" i="15"/>
  <c r="Y9" i="15"/>
  <c r="I46" i="11"/>
  <c r="I47" i="11" s="1"/>
  <c r="I60" i="11"/>
  <c r="I61" i="11" s="1"/>
  <c r="I25" i="11"/>
  <c r="I26" i="11" s="1"/>
  <c r="I13" i="11"/>
  <c r="I14" i="11" s="1"/>
  <c r="I64" i="11"/>
  <c r="G60" i="11"/>
  <c r="G61" i="11" s="1"/>
  <c r="G64" i="11"/>
  <c r="R51" i="18"/>
  <c r="M39" i="35"/>
  <c r="G46" i="11"/>
  <c r="G47" i="11" s="1"/>
  <c r="H61" i="8"/>
  <c r="L14" i="35"/>
  <c r="I60" i="8"/>
  <c r="I63" i="8" s="1"/>
  <c r="J61" i="8"/>
  <c r="J60" i="11"/>
  <c r="J61" i="11" s="1"/>
  <c r="R36" i="35"/>
  <c r="E63" i="11"/>
  <c r="E75" i="11" s="1"/>
  <c r="G13" i="11"/>
  <c r="G14" i="11" s="1"/>
  <c r="Q47" i="36"/>
  <c r="AC49" i="36"/>
  <c r="AC55" i="36" s="1"/>
  <c r="AI29" i="17"/>
  <c r="AH32" i="36"/>
  <c r="AH51" i="17"/>
  <c r="T41" i="10"/>
  <c r="P31" i="15"/>
  <c r="P14" i="15"/>
  <c r="P21" i="15"/>
  <c r="P8" i="15"/>
  <c r="AC42" i="36"/>
  <c r="AC64" i="15" s="1"/>
  <c r="AH14" i="15"/>
  <c r="AH8" i="15"/>
  <c r="AH21" i="15"/>
  <c r="AH31" i="15"/>
  <c r="T114" i="17"/>
  <c r="K63" i="11"/>
  <c r="K75" i="11" s="1"/>
  <c r="K35" i="36"/>
  <c r="K54" i="17"/>
  <c r="K55" i="10" s="1"/>
  <c r="K37" i="15"/>
  <c r="K59" i="10"/>
  <c r="K43" i="15"/>
  <c r="K132" i="17" s="1"/>
  <c r="K147" i="17" s="1"/>
  <c r="K10" i="15"/>
  <c r="K24" i="15"/>
  <c r="K42" i="15"/>
  <c r="K131" i="17" s="1"/>
  <c r="K146" i="17" s="1"/>
  <c r="K17" i="15"/>
  <c r="K19" i="10"/>
  <c r="K31" i="10"/>
  <c r="K33" i="15"/>
  <c r="K42" i="10"/>
  <c r="K24" i="10"/>
  <c r="K41" i="15"/>
  <c r="K130" i="17" s="1"/>
  <c r="K26" i="15"/>
  <c r="K43" i="10"/>
  <c r="K40" i="10"/>
  <c r="K9" i="15"/>
  <c r="K44" i="15"/>
  <c r="K133" i="17" s="1"/>
  <c r="K148" i="17" s="1"/>
  <c r="K22" i="15"/>
  <c r="K15" i="15"/>
  <c r="K51" i="17"/>
  <c r="K52" i="10" s="1"/>
  <c r="K32" i="36"/>
  <c r="K21" i="15"/>
  <c r="K8" i="15"/>
  <c r="K14" i="15"/>
  <c r="K31" i="15"/>
  <c r="AI50" i="36"/>
  <c r="AI55" i="36" s="1"/>
  <c r="AI130" i="17"/>
  <c r="M8" i="15"/>
  <c r="M31" i="15"/>
  <c r="M21" i="15"/>
  <c r="M14" i="15"/>
  <c r="AK50" i="36"/>
  <c r="AK55" i="36" s="1"/>
  <c r="Q20" i="17"/>
  <c r="Q15" i="35" s="1"/>
  <c r="AD42" i="36"/>
  <c r="AD64" i="15" s="1"/>
  <c r="M10" i="15"/>
  <c r="M37" i="15"/>
  <c r="M24" i="15"/>
  <c r="M42" i="15"/>
  <c r="M43" i="15"/>
  <c r="M17" i="15"/>
  <c r="R35" i="17"/>
  <c r="R35" i="18" s="1"/>
  <c r="AC132" i="17"/>
  <c r="AC147" i="17" s="1"/>
  <c r="AC71" i="15" s="1"/>
  <c r="AA64" i="10"/>
  <c r="AA37" i="35"/>
  <c r="T55" i="36"/>
  <c r="T56" i="36" s="1"/>
  <c r="K42" i="35"/>
  <c r="K71" i="17"/>
  <c r="K166" i="17" s="1"/>
  <c r="M51" i="17"/>
  <c r="M52" i="10" s="1"/>
  <c r="M32" i="36"/>
  <c r="R24" i="36"/>
  <c r="AF8" i="17"/>
  <c r="AF8" i="18" s="1"/>
  <c r="T22" i="36"/>
  <c r="T24" i="35" s="1"/>
  <c r="M33" i="15"/>
  <c r="M19" i="10"/>
  <c r="M31" i="10"/>
  <c r="M41" i="15"/>
  <c r="M41" i="36" s="1"/>
  <c r="M63" i="15" s="1"/>
  <c r="M43" i="10"/>
  <c r="M26" i="15"/>
  <c r="M40" i="10"/>
  <c r="M24" i="10"/>
  <c r="M42" i="10"/>
  <c r="M9" i="15"/>
  <c r="M22" i="15"/>
  <c r="M44" i="15"/>
  <c r="M15" i="15"/>
  <c r="AH54" i="18"/>
  <c r="AH55" i="10"/>
  <c r="Q55" i="36"/>
  <c r="Q56" i="36" s="1"/>
  <c r="AJ116" i="17"/>
  <c r="AB35" i="17"/>
  <c r="AD43" i="36"/>
  <c r="AD65" i="15" s="1"/>
  <c r="AD71" i="15" s="1"/>
  <c r="R100" i="10"/>
  <c r="R130" i="11"/>
  <c r="R102" i="10" s="1"/>
  <c r="AD55" i="36"/>
  <c r="O50" i="8"/>
  <c r="O41" i="36" s="1"/>
  <c r="O63" i="15" s="1"/>
  <c r="O87" i="16"/>
  <c r="O53" i="36" s="1"/>
  <c r="O123" i="17"/>
  <c r="O53" i="8"/>
  <c r="O126" i="17"/>
  <c r="O90" i="16"/>
  <c r="O81" i="11" s="1"/>
  <c r="T102" i="14"/>
  <c r="S103" i="14"/>
  <c r="R65" i="17" s="1"/>
  <c r="AF82" i="16"/>
  <c r="AE51" i="8"/>
  <c r="AE52" i="8"/>
  <c r="AE125" i="17"/>
  <c r="AE88" i="16"/>
  <c r="AE89" i="16"/>
  <c r="AE80" i="11" s="1"/>
  <c r="S100" i="10"/>
  <c r="S130" i="11"/>
  <c r="S102" i="10" s="1"/>
  <c r="T100" i="10"/>
  <c r="T130" i="11"/>
  <c r="T102" i="10" s="1"/>
  <c r="P53" i="8"/>
  <c r="P44" i="36" s="1"/>
  <c r="P66" i="15" s="1"/>
  <c r="P72" i="15" s="1"/>
  <c r="P90" i="16"/>
  <c r="P81" i="11" s="1"/>
  <c r="P126" i="17"/>
  <c r="P81" i="16"/>
  <c r="S84" i="16"/>
  <c r="Q83" i="16"/>
  <c r="P52" i="10"/>
  <c r="AC116" i="17"/>
  <c r="O114" i="17"/>
  <c r="T54" i="18"/>
  <c r="W115" i="17"/>
  <c r="W114" i="17"/>
  <c r="D13" i="11"/>
  <c r="D14" i="11" s="1"/>
  <c r="O113" i="17"/>
  <c r="W117" i="17"/>
  <c r="W113" i="17"/>
  <c r="D59" i="8"/>
  <c r="P36" i="35"/>
  <c r="AH48" i="36"/>
  <c r="AK36" i="35"/>
  <c r="Y33" i="36"/>
  <c r="Y23" i="35" s="1"/>
  <c r="AB42" i="36"/>
  <c r="AB64" i="15" s="1"/>
  <c r="AC15" i="36"/>
  <c r="AC15" i="35" s="1"/>
  <c r="AH47" i="36"/>
  <c r="AA11" i="10"/>
  <c r="AD17" i="35"/>
  <c r="AD22" i="18"/>
  <c r="AJ24" i="35"/>
  <c r="AJ114" i="17"/>
  <c r="AJ117" i="17"/>
  <c r="O117" i="17"/>
  <c r="T28" i="35"/>
  <c r="AG39" i="35"/>
  <c r="AG55" i="10"/>
  <c r="R39" i="35"/>
  <c r="R55" i="10"/>
  <c r="AK52" i="10"/>
  <c r="Y52" i="18"/>
  <c r="R37" i="36"/>
  <c r="Q12" i="10"/>
  <c r="Y22" i="18"/>
  <c r="AB31" i="17"/>
  <c r="AB24" i="35" s="1"/>
  <c r="AC37" i="36"/>
  <c r="AA47" i="36"/>
  <c r="AA133" i="17"/>
  <c r="AA148" i="17" s="1"/>
  <c r="AA48" i="36"/>
  <c r="P55" i="36"/>
  <c r="AJ50" i="36"/>
  <c r="AA32" i="10"/>
  <c r="R36" i="17"/>
  <c r="R37" i="10" s="1"/>
  <c r="R55" i="36"/>
  <c r="AD33" i="36"/>
  <c r="AD52" i="17"/>
  <c r="AD64" i="10" s="1"/>
  <c r="AD10" i="36"/>
  <c r="AD9" i="35" s="1"/>
  <c r="Z50" i="36"/>
  <c r="AF40" i="17"/>
  <c r="AF41" i="10" s="1"/>
  <c r="AD36" i="17"/>
  <c r="AD24" i="36"/>
  <c r="AD37" i="17"/>
  <c r="AC47" i="36"/>
  <c r="AD55" i="10"/>
  <c r="AB64" i="10"/>
  <c r="AE31" i="18"/>
  <c r="M13" i="11"/>
  <c r="M14" i="11" s="1"/>
  <c r="S10" i="18"/>
  <c r="M60" i="11"/>
  <c r="M61" i="11" s="1"/>
  <c r="M25" i="11"/>
  <c r="M26" i="11" s="1"/>
  <c r="AC114" i="17"/>
  <c r="AC115" i="17"/>
  <c r="AC117" i="17"/>
  <c r="AJ113" i="17"/>
  <c r="N60" i="11"/>
  <c r="N61" i="11" s="1"/>
  <c r="N46" i="11"/>
  <c r="N47" i="11" s="1"/>
  <c r="N25" i="11"/>
  <c r="N26" i="11" s="1"/>
  <c r="AA8" i="35"/>
  <c r="Q11" i="18"/>
  <c r="Y17" i="35"/>
  <c r="AD24" i="35"/>
  <c r="AD35" i="18"/>
  <c r="AA24" i="35"/>
  <c r="P57" i="18"/>
  <c r="S11" i="10"/>
  <c r="N117" i="17"/>
  <c r="N115" i="17"/>
  <c r="X116" i="17"/>
  <c r="AJ136" i="17"/>
  <c r="AJ140" i="17" s="1"/>
  <c r="R113" i="17"/>
  <c r="X114" i="17"/>
  <c r="AA114" i="17"/>
  <c r="N113" i="17"/>
  <c r="N114" i="17"/>
  <c r="X117" i="17"/>
  <c r="AH116" i="17"/>
  <c r="X113" i="17"/>
  <c r="AH117" i="17"/>
  <c r="AH113" i="17"/>
  <c r="AH115" i="17"/>
  <c r="AA115" i="17"/>
  <c r="AA116" i="17"/>
  <c r="AA117" i="17"/>
  <c r="AG15" i="36"/>
  <c r="AG20" i="17"/>
  <c r="S29" i="17"/>
  <c r="S22" i="35" s="1"/>
  <c r="AG36" i="35"/>
  <c r="S39" i="35"/>
  <c r="AB37" i="17"/>
  <c r="AB38" i="17" s="1"/>
  <c r="AB38" i="18" s="1"/>
  <c r="AE20" i="17"/>
  <c r="AE22" i="36"/>
  <c r="AE24" i="35" s="1"/>
  <c r="AB49" i="36"/>
  <c r="AD31" i="18"/>
  <c r="T55" i="10"/>
  <c r="S36" i="35"/>
  <c r="AH15" i="36"/>
  <c r="AH20" i="17"/>
  <c r="U52" i="17"/>
  <c r="U64" i="10" s="1"/>
  <c r="U33" i="36"/>
  <c r="AG133" i="17"/>
  <c r="AG148" i="17" s="1"/>
  <c r="AG48" i="36"/>
  <c r="AG47" i="36"/>
  <c r="AB39" i="35"/>
  <c r="AG22" i="36"/>
  <c r="AG31" i="17"/>
  <c r="AE49" i="36"/>
  <c r="AE42" i="36"/>
  <c r="AE64" i="15" s="1"/>
  <c r="AB54" i="18"/>
  <c r="AE11" i="17"/>
  <c r="AE10" i="36"/>
  <c r="AE50" i="36"/>
  <c r="AE22" i="17"/>
  <c r="AE17" i="36"/>
  <c r="S31" i="36"/>
  <c r="S35" i="35" s="1"/>
  <c r="AE40" i="17"/>
  <c r="AE41" i="10" s="1"/>
  <c r="AE10" i="17"/>
  <c r="AE8" i="35" s="1"/>
  <c r="AE43" i="36"/>
  <c r="AE65" i="15" s="1"/>
  <c r="AE132" i="17"/>
  <c r="AE147" i="17" s="1"/>
  <c r="AE37" i="36"/>
  <c r="AE57" i="17"/>
  <c r="T20" i="17"/>
  <c r="T15" i="36"/>
  <c r="AD20" i="17"/>
  <c r="AD21" i="10" s="1"/>
  <c r="AB22" i="17"/>
  <c r="AB17" i="35" s="1"/>
  <c r="AD9" i="36"/>
  <c r="AD10" i="17"/>
  <c r="AF33" i="36"/>
  <c r="AF37" i="35" s="1"/>
  <c r="T9" i="36"/>
  <c r="T10" i="17"/>
  <c r="F63" i="11"/>
  <c r="F75" i="11" s="1"/>
  <c r="F64" i="8"/>
  <c r="AD54" i="18"/>
  <c r="AD39" i="35"/>
  <c r="U39" i="35"/>
  <c r="AF40" i="18"/>
  <c r="AF43" i="18" s="1"/>
  <c r="S54" i="18"/>
  <c r="S55" i="10"/>
  <c r="AE8" i="17"/>
  <c r="AE8" i="36"/>
  <c r="AB21" i="36"/>
  <c r="AB29" i="17"/>
  <c r="AD21" i="36"/>
  <c r="AD29" i="17"/>
  <c r="AD36" i="35"/>
  <c r="P31" i="18"/>
  <c r="AE50" i="17"/>
  <c r="AE31" i="36"/>
  <c r="AB17" i="17"/>
  <c r="AB14" i="36"/>
  <c r="AB50" i="36"/>
  <c r="AD8" i="17"/>
  <c r="AD8" i="36"/>
  <c r="AE17" i="17"/>
  <c r="AE14" i="36"/>
  <c r="AB8" i="17"/>
  <c r="AB8" i="36"/>
  <c r="AB26" i="36"/>
  <c r="AB40" i="17"/>
  <c r="AD31" i="36"/>
  <c r="AD50" i="17"/>
  <c r="AE29" i="17"/>
  <c r="AE21" i="36"/>
  <c r="T33" i="36"/>
  <c r="T52" i="17"/>
  <c r="AB50" i="17"/>
  <c r="AB31" i="36"/>
  <c r="AD14" i="36"/>
  <c r="AD17" i="17"/>
  <c r="AD52" i="10"/>
  <c r="AD51" i="18"/>
  <c r="U37" i="17"/>
  <c r="U36" i="17"/>
  <c r="U35" i="17"/>
  <c r="U24" i="36"/>
  <c r="U49" i="36"/>
  <c r="U42" i="36"/>
  <c r="U64" i="15" s="1"/>
  <c r="AF35" i="17"/>
  <c r="AF37" i="17"/>
  <c r="AF24" i="36"/>
  <c r="N68" i="1" s="1"/>
  <c r="O68" i="1" s="1"/>
  <c r="AF36" i="17"/>
  <c r="AA10" i="36"/>
  <c r="AA11" i="17"/>
  <c r="AA42" i="36"/>
  <c r="AA64" i="15" s="1"/>
  <c r="AA49" i="36"/>
  <c r="AG21" i="36"/>
  <c r="AG29" i="17"/>
  <c r="U14" i="36"/>
  <c r="U17" i="17"/>
  <c r="S10" i="36"/>
  <c r="S11" i="17"/>
  <c r="S35" i="17"/>
  <c r="S37" i="17"/>
  <c r="S24" i="36"/>
  <c r="S36" i="17"/>
  <c r="AF47" i="36"/>
  <c r="AF133" i="17"/>
  <c r="AF148" i="17" s="1"/>
  <c r="AF48" i="36"/>
  <c r="S52" i="17"/>
  <c r="S33" i="36"/>
  <c r="AA50" i="36"/>
  <c r="AA8" i="17"/>
  <c r="AA8" i="36"/>
  <c r="AH35" i="17"/>
  <c r="AH37" i="17"/>
  <c r="AH24" i="36"/>
  <c r="AH36" i="17"/>
  <c r="AG50" i="36"/>
  <c r="AG55" i="36" s="1"/>
  <c r="S50" i="36"/>
  <c r="U10" i="36"/>
  <c r="U11" i="17"/>
  <c r="U132" i="17"/>
  <c r="U147" i="17" s="1"/>
  <c r="U43" i="36"/>
  <c r="U65" i="15" s="1"/>
  <c r="AF132" i="17"/>
  <c r="AF147" i="17" s="1"/>
  <c r="AA57" i="17"/>
  <c r="AA37" i="36"/>
  <c r="AA132" i="17"/>
  <c r="AA147" i="17" s="1"/>
  <c r="AA43" i="36"/>
  <c r="AA65" i="15" s="1"/>
  <c r="AG8" i="36"/>
  <c r="AG8" i="17"/>
  <c r="U8" i="36"/>
  <c r="U8" i="17"/>
  <c r="AH33" i="36"/>
  <c r="AH52" i="17"/>
  <c r="S37" i="36"/>
  <c r="S57" i="17"/>
  <c r="S49" i="36"/>
  <c r="S42" i="36"/>
  <c r="S64" i="15" s="1"/>
  <c r="AF22" i="36"/>
  <c r="AF31" i="17"/>
  <c r="AG52" i="17"/>
  <c r="AG33" i="36"/>
  <c r="U50" i="36"/>
  <c r="AA17" i="17"/>
  <c r="AA14" i="36"/>
  <c r="AH37" i="36"/>
  <c r="AH57" i="17"/>
  <c r="AH17" i="36"/>
  <c r="AH22" i="17"/>
  <c r="U57" i="17"/>
  <c r="U37" i="36"/>
  <c r="AF49" i="36"/>
  <c r="AF55" i="36" s="1"/>
  <c r="AF11" i="17"/>
  <c r="AF10" i="36"/>
  <c r="AA35" i="17"/>
  <c r="AA37" i="17"/>
  <c r="AA24" i="36"/>
  <c r="AA36" i="17"/>
  <c r="AH26" i="36"/>
  <c r="AH40" i="17"/>
  <c r="AG14" i="36"/>
  <c r="AG17" i="17"/>
  <c r="U21" i="36"/>
  <c r="U29" i="17"/>
  <c r="S17" i="36"/>
  <c r="S22" i="17"/>
  <c r="U52" i="10"/>
  <c r="U51" i="18"/>
  <c r="AF9" i="36"/>
  <c r="AF10" i="17"/>
  <c r="S51" i="18"/>
  <c r="S52" i="10"/>
  <c r="AA50" i="17"/>
  <c r="AA31" i="36"/>
  <c r="AH132" i="17"/>
  <c r="AH147" i="17" s="1"/>
  <c r="AH49" i="36"/>
  <c r="AG51" i="18"/>
  <c r="AG52" i="10"/>
  <c r="U17" i="36"/>
  <c r="U22" i="17"/>
  <c r="AF17" i="36"/>
  <c r="AF22" i="17"/>
  <c r="AF37" i="36"/>
  <c r="AF57" i="17"/>
  <c r="AA17" i="36"/>
  <c r="AA22" i="17"/>
  <c r="AH50" i="36"/>
  <c r="AG31" i="36"/>
  <c r="AG50" i="17"/>
  <c r="U50" i="17"/>
  <c r="U31" i="36"/>
  <c r="S43" i="36"/>
  <c r="S65" i="15" s="1"/>
  <c r="S132" i="17"/>
  <c r="S147" i="17" s="1"/>
  <c r="U36" i="35"/>
  <c r="AF15" i="36"/>
  <c r="AF20" i="17"/>
  <c r="AA40" i="17"/>
  <c r="AA26" i="36"/>
  <c r="U40" i="17"/>
  <c r="U26" i="36"/>
  <c r="AA21" i="36"/>
  <c r="AA29" i="17"/>
  <c r="AH10" i="36"/>
  <c r="AH11" i="17"/>
  <c r="AG26" i="36"/>
  <c r="AG40" i="17"/>
  <c r="U55" i="10"/>
  <c r="U54" i="18"/>
  <c r="P11" i="18"/>
  <c r="Z26" i="36"/>
  <c r="Z28" i="35" s="1"/>
  <c r="P10" i="18"/>
  <c r="P8" i="35"/>
  <c r="Q38" i="17"/>
  <c r="Q38" i="18" s="1"/>
  <c r="P12" i="10"/>
  <c r="Q35" i="18"/>
  <c r="P38" i="10"/>
  <c r="Q36" i="10"/>
  <c r="P32" i="10"/>
  <c r="Q37" i="10"/>
  <c r="U24" i="35"/>
  <c r="U32" i="10"/>
  <c r="U31" i="18"/>
  <c r="V100" i="10"/>
  <c r="V130" i="11"/>
  <c r="V102" i="10" s="1"/>
  <c r="P100" i="10"/>
  <c r="P130" i="11"/>
  <c r="P102" i="10" s="1"/>
  <c r="Q100" i="10"/>
  <c r="Q130" i="11"/>
  <c r="Q102" i="10" s="1"/>
  <c r="S8" i="18"/>
  <c r="S9" i="10"/>
  <c r="P22" i="18"/>
  <c r="R114" i="17"/>
  <c r="P23" i="10"/>
  <c r="P53" i="10"/>
  <c r="P21" i="10"/>
  <c r="R115" i="17"/>
  <c r="Z7" i="35"/>
  <c r="R117" i="17"/>
  <c r="S7" i="35"/>
  <c r="U100" i="10"/>
  <c r="U130" i="11"/>
  <c r="U102" i="10" s="1"/>
  <c r="S50" i="18"/>
  <c r="S51" i="10"/>
  <c r="P64" i="10"/>
  <c r="P20" i="18"/>
  <c r="AB8" i="35"/>
  <c r="Z36" i="35"/>
  <c r="P37" i="35"/>
  <c r="Y71" i="15"/>
  <c r="AE36" i="10"/>
  <c r="AE38" i="17"/>
  <c r="AE35" i="18"/>
  <c r="Z11" i="17"/>
  <c r="Z10" i="36"/>
  <c r="Z20" i="17"/>
  <c r="Z15" i="36"/>
  <c r="Z49" i="36"/>
  <c r="Z42" i="36"/>
  <c r="Z64" i="15" s="1"/>
  <c r="Z47" i="36"/>
  <c r="Z48" i="36"/>
  <c r="Z133" i="17"/>
  <c r="Z148" i="17" s="1"/>
  <c r="AE36" i="18"/>
  <c r="AE37" i="10"/>
  <c r="Z57" i="17"/>
  <c r="Z37" i="36"/>
  <c r="Z43" i="36"/>
  <c r="Z65" i="15" s="1"/>
  <c r="Z132" i="17"/>
  <c r="Z147" i="17" s="1"/>
  <c r="Z22" i="36"/>
  <c r="Z31" i="17"/>
  <c r="AE38" i="10"/>
  <c r="AE37" i="18"/>
  <c r="Z24" i="36"/>
  <c r="Z10" i="17"/>
  <c r="Z9" i="36"/>
  <c r="AI14" i="35"/>
  <c r="AB11" i="10"/>
  <c r="AB10" i="18"/>
  <c r="Z52" i="10"/>
  <c r="Z51" i="18"/>
  <c r="AB15" i="35"/>
  <c r="AB36" i="18"/>
  <c r="AB37" i="10"/>
  <c r="AB20" i="18"/>
  <c r="AB21" i="10"/>
  <c r="Q22" i="35"/>
  <c r="Z8" i="18"/>
  <c r="Z9" i="10"/>
  <c r="AB35" i="18"/>
  <c r="AB36" i="10"/>
  <c r="AB9" i="35"/>
  <c r="AB11" i="18"/>
  <c r="AB12" i="10"/>
  <c r="AD11" i="18"/>
  <c r="AD12" i="10"/>
  <c r="T121" i="17"/>
  <c r="L146" i="17"/>
  <c r="L70" i="15" s="1"/>
  <c r="K116" i="17"/>
  <c r="K114" i="17"/>
  <c r="K113" i="17"/>
  <c r="K117" i="17"/>
  <c r="K115" i="17"/>
  <c r="AI136" i="17"/>
  <c r="AI140" i="17" s="1"/>
  <c r="K136" i="17"/>
  <c r="K145" i="17"/>
  <c r="K123" i="17"/>
  <c r="L117" i="17"/>
  <c r="L115" i="17"/>
  <c r="L116" i="17"/>
  <c r="L114" i="17"/>
  <c r="L113" i="17"/>
  <c r="AI114" i="17"/>
  <c r="AI113" i="17"/>
  <c r="AI117" i="17"/>
  <c r="AI116" i="17"/>
  <c r="AI115" i="17"/>
  <c r="L136" i="17"/>
  <c r="L140" i="17" s="1"/>
  <c r="L124" i="17"/>
  <c r="L127" i="17" s="1"/>
  <c r="M116" i="17"/>
  <c r="M117" i="17"/>
  <c r="M115" i="17"/>
  <c r="M113" i="17"/>
  <c r="M114" i="17"/>
  <c r="M136" i="17"/>
  <c r="M140" i="17" s="1"/>
  <c r="M123" i="17"/>
  <c r="M127" i="17" s="1"/>
  <c r="AG136" i="17"/>
  <c r="AG140" i="17" s="1"/>
  <c r="V117" i="17"/>
  <c r="V113" i="17"/>
  <c r="V114" i="17"/>
  <c r="V115" i="17"/>
  <c r="V116" i="17"/>
  <c r="Q136" i="17"/>
  <c r="U136" i="17"/>
  <c r="V136" i="17"/>
  <c r="V140" i="17" s="1"/>
  <c r="U114" i="17"/>
  <c r="U113" i="17"/>
  <c r="U117" i="17"/>
  <c r="U115" i="17"/>
  <c r="U116" i="17"/>
  <c r="AG117" i="17"/>
  <c r="AG114" i="17"/>
  <c r="AG116" i="17"/>
  <c r="AG113" i="17"/>
  <c r="AG115" i="17"/>
  <c r="Q117" i="17"/>
  <c r="Q114" i="17"/>
  <c r="Q115" i="17"/>
  <c r="Q116" i="17"/>
  <c r="Q113" i="17"/>
  <c r="T22" i="35"/>
  <c r="AI24" i="35"/>
  <c r="L63" i="11"/>
  <c r="L75" i="11" s="1"/>
  <c r="W36" i="35"/>
  <c r="AK14" i="35"/>
  <c r="AG9" i="35"/>
  <c r="AE117" i="17"/>
  <c r="AE115" i="17"/>
  <c r="AE116" i="17"/>
  <c r="AE113" i="17"/>
  <c r="AE114" i="17"/>
  <c r="P116" i="17"/>
  <c r="P113" i="17"/>
  <c r="P115" i="17"/>
  <c r="P114" i="17"/>
  <c r="P117" i="17"/>
  <c r="Z22" i="35"/>
  <c r="AE136" i="17"/>
  <c r="AE140" i="17" s="1"/>
  <c r="AK136" i="17"/>
  <c r="AK140" i="17" s="1"/>
  <c r="AF121" i="17"/>
  <c r="AK115" i="17"/>
  <c r="AK117" i="17"/>
  <c r="AK116" i="17"/>
  <c r="AK114" i="17"/>
  <c r="AK113" i="17"/>
  <c r="Y115" i="17"/>
  <c r="Y114" i="17"/>
  <c r="Y117" i="17"/>
  <c r="Y116" i="17"/>
  <c r="Y113" i="17"/>
  <c r="AB116" i="17"/>
  <c r="AB113" i="17"/>
  <c r="AB117" i="17"/>
  <c r="AB114" i="17"/>
  <c r="AB115" i="17"/>
  <c r="S116" i="17"/>
  <c r="S113" i="17"/>
  <c r="S117" i="17"/>
  <c r="S114" i="17"/>
  <c r="S115" i="17"/>
  <c r="Y136" i="17"/>
  <c r="Y140" i="17" s="1"/>
  <c r="AB136" i="17"/>
  <c r="AB140" i="17" s="1"/>
  <c r="AD136" i="17"/>
  <c r="AD140" i="17" s="1"/>
  <c r="Z113" i="17"/>
  <c r="Z115" i="17"/>
  <c r="Z116" i="17"/>
  <c r="Z117" i="17"/>
  <c r="Z114" i="17"/>
  <c r="AD116" i="17"/>
  <c r="AD113" i="17"/>
  <c r="AD117" i="17"/>
  <c r="AD115" i="17"/>
  <c r="AD114" i="17"/>
  <c r="S136" i="17"/>
  <c r="S140" i="17" s="1"/>
  <c r="Z136" i="17"/>
  <c r="Z140" i="17" s="1"/>
  <c r="AG36" i="10"/>
  <c r="AG38" i="17"/>
  <c r="AG38" i="18" s="1"/>
  <c r="AG35" i="18"/>
  <c r="AG12" i="10"/>
  <c r="AG11" i="18"/>
  <c r="AG22" i="18"/>
  <c r="AG23" i="10"/>
  <c r="AG57" i="18"/>
  <c r="AG58" i="10"/>
  <c r="AG37" i="18"/>
  <c r="AG38" i="10"/>
  <c r="AE37" i="35"/>
  <c r="AE23" i="35"/>
  <c r="AC17" i="35"/>
  <c r="Q35" i="35"/>
  <c r="AG36" i="18"/>
  <c r="AG37" i="10"/>
  <c r="AE53" i="10"/>
  <c r="AE52" i="18"/>
  <c r="AE64" i="10"/>
  <c r="AG17" i="35"/>
  <c r="Z29" i="18"/>
  <c r="Z30" i="10"/>
  <c r="Y35" i="18"/>
  <c r="Y36" i="10"/>
  <c r="Y38" i="17"/>
  <c r="Z53" i="10"/>
  <c r="Z64" i="10"/>
  <c r="Y38" i="10"/>
  <c r="Y37" i="18"/>
  <c r="Z18" i="10"/>
  <c r="Z17" i="18"/>
  <c r="P38" i="17"/>
  <c r="P38" i="18" s="1"/>
  <c r="P36" i="18"/>
  <c r="T27" i="35"/>
  <c r="AI9" i="35"/>
  <c r="T14" i="35"/>
  <c r="Z41" i="10"/>
  <c r="Z40" i="18"/>
  <c r="Z43" i="18" s="1"/>
  <c r="Z23" i="35"/>
  <c r="Z37" i="35"/>
  <c r="Q8" i="35"/>
  <c r="Q28" i="35"/>
  <c r="AF35" i="35"/>
  <c r="T7" i="35"/>
  <c r="Y37" i="10"/>
  <c r="Y36" i="18"/>
  <c r="Y32" i="10"/>
  <c r="Y31" i="18"/>
  <c r="Z14" i="35"/>
  <c r="AF30" i="10"/>
  <c r="AF29" i="18"/>
  <c r="T51" i="10"/>
  <c r="T50" i="18"/>
  <c r="AF17" i="18"/>
  <c r="AF18" i="10"/>
  <c r="N71" i="1"/>
  <c r="O71" i="1" s="1"/>
  <c r="T29" i="18"/>
  <c r="T30" i="10"/>
  <c r="AK17" i="35"/>
  <c r="L71" i="15"/>
  <c r="R71" i="15"/>
  <c r="AI15" i="35"/>
  <c r="T17" i="18"/>
  <c r="T18" i="10"/>
  <c r="AF52" i="18"/>
  <c r="AF64" i="10"/>
  <c r="AF53" i="10"/>
  <c r="AI8" i="35"/>
  <c r="AF22" i="35"/>
  <c r="T35" i="35"/>
  <c r="AF51" i="10"/>
  <c r="AF50" i="18"/>
  <c r="AF14" i="35"/>
  <c r="T9" i="10"/>
  <c r="T8" i="18"/>
  <c r="AK22" i="35"/>
  <c r="R28" i="35"/>
  <c r="AI35" i="35"/>
  <c r="W39" i="35"/>
  <c r="AK28" i="35"/>
  <c r="AC24" i="35"/>
  <c r="AI40" i="18"/>
  <c r="AI43" i="18" s="1"/>
  <c r="AI41" i="10"/>
  <c r="AC11" i="10"/>
  <c r="AC10" i="18"/>
  <c r="AC11" i="18"/>
  <c r="AC37" i="35"/>
  <c r="AC23" i="35"/>
  <c r="AI17" i="18"/>
  <c r="AI18" i="10"/>
  <c r="AC57" i="18"/>
  <c r="AC58" i="10"/>
  <c r="AI22" i="35"/>
  <c r="Q14" i="35"/>
  <c r="AI11" i="10"/>
  <c r="AI10" i="18"/>
  <c r="AC37" i="18"/>
  <c r="AC38" i="10"/>
  <c r="AJ28" i="35"/>
  <c r="R9" i="35"/>
  <c r="AI28" i="35"/>
  <c r="AC8" i="35"/>
  <c r="Q29" i="18"/>
  <c r="Q30" i="10"/>
  <c r="AI31" i="18"/>
  <c r="AI32" i="10"/>
  <c r="Q51" i="10"/>
  <c r="Q50" i="18"/>
  <c r="AI30" i="10"/>
  <c r="AI29" i="18"/>
  <c r="V39" i="35"/>
  <c r="AK8" i="35"/>
  <c r="AC28" i="35"/>
  <c r="AC22" i="18"/>
  <c r="AC23" i="10"/>
  <c r="AC20" i="18"/>
  <c r="AC21" i="10"/>
  <c r="Q24" i="35"/>
  <c r="AC32" i="10"/>
  <c r="AC31" i="18"/>
  <c r="AC36" i="18"/>
  <c r="AC37" i="10"/>
  <c r="AI20" i="18"/>
  <c r="AI21" i="10"/>
  <c r="AI50" i="18"/>
  <c r="AI51" i="10"/>
  <c r="AC40" i="18"/>
  <c r="AC43" i="18" s="1"/>
  <c r="AC41" i="10"/>
  <c r="AC53" i="10"/>
  <c r="AC64" i="10"/>
  <c r="AC52" i="18"/>
  <c r="Q11" i="10"/>
  <c r="Q40" i="18"/>
  <c r="Q43" i="18" s="1"/>
  <c r="Q41" i="10"/>
  <c r="Q18" i="10"/>
  <c r="Q17" i="18"/>
  <c r="Q32" i="10"/>
  <c r="Q31" i="18"/>
  <c r="AI9" i="10"/>
  <c r="AI8" i="18"/>
  <c r="Q8" i="18"/>
  <c r="Q9" i="10"/>
  <c r="AC35" i="18"/>
  <c r="AC36" i="10"/>
  <c r="AC38" i="17"/>
  <c r="AC38" i="18" s="1"/>
  <c r="AJ30" i="10"/>
  <c r="AJ29" i="18"/>
  <c r="R37" i="18"/>
  <c r="R38" i="10"/>
  <c r="AJ35" i="18"/>
  <c r="AJ38" i="17"/>
  <c r="AJ38" i="18" s="1"/>
  <c r="R30" i="10"/>
  <c r="R29" i="18"/>
  <c r="R9" i="10"/>
  <c r="R8" i="18"/>
  <c r="R64" i="10"/>
  <c r="R53" i="10"/>
  <c r="R52" i="18"/>
  <c r="AK9" i="35"/>
  <c r="AJ22" i="35"/>
  <c r="R11" i="18"/>
  <c r="R12" i="10"/>
  <c r="AJ36" i="18"/>
  <c r="AJ37" i="10"/>
  <c r="AJ14" i="35"/>
  <c r="AJ58" i="10"/>
  <c r="AJ57" i="18"/>
  <c r="R7" i="35"/>
  <c r="R23" i="35"/>
  <c r="R37" i="35"/>
  <c r="R50" i="18"/>
  <c r="R51" i="10"/>
  <c r="R22" i="18"/>
  <c r="R23" i="10"/>
  <c r="AJ53" i="10"/>
  <c r="AJ52" i="18"/>
  <c r="AJ64" i="10"/>
  <c r="R40" i="18"/>
  <c r="R43" i="18" s="1"/>
  <c r="R41" i="10"/>
  <c r="R18" i="10"/>
  <c r="R17" i="18"/>
  <c r="AJ38" i="10"/>
  <c r="AJ37" i="18"/>
  <c r="AJ18" i="10"/>
  <c r="AJ17" i="18"/>
  <c r="AJ7" i="35"/>
  <c r="R57" i="18"/>
  <c r="R58" i="10"/>
  <c r="AJ22" i="18"/>
  <c r="AJ23" i="10"/>
  <c r="R35" i="35"/>
  <c r="AJ23" i="35"/>
  <c r="AJ37" i="35"/>
  <c r="AJ40" i="18"/>
  <c r="AJ43" i="18" s="1"/>
  <c r="AJ41" i="10"/>
  <c r="R14" i="35"/>
  <c r="P36" i="10"/>
  <c r="P35" i="18"/>
  <c r="R22" i="35"/>
  <c r="AJ9" i="10"/>
  <c r="AJ8" i="18"/>
  <c r="AJ51" i="10"/>
  <c r="X47" i="36"/>
  <c r="X48" i="36"/>
  <c r="X133" i="17"/>
  <c r="X148" i="17" s="1"/>
  <c r="O42" i="36"/>
  <c r="O64" i="15" s="1"/>
  <c r="O49" i="36"/>
  <c r="O10" i="36"/>
  <c r="O11" i="17"/>
  <c r="AK35" i="18"/>
  <c r="AK38" i="17"/>
  <c r="AK38" i="18" s="1"/>
  <c r="AK36" i="10"/>
  <c r="AK35" i="35"/>
  <c r="L64" i="10"/>
  <c r="L53" i="10"/>
  <c r="AK24" i="35"/>
  <c r="N39" i="35"/>
  <c r="L72" i="15"/>
  <c r="X57" i="17"/>
  <c r="X37" i="36"/>
  <c r="X26" i="36"/>
  <c r="X40" i="17"/>
  <c r="O31" i="36"/>
  <c r="O50" i="17"/>
  <c r="O20" i="17"/>
  <c r="O15" i="36"/>
  <c r="W11" i="17"/>
  <c r="W10" i="36"/>
  <c r="W29" i="17"/>
  <c r="W21" i="36"/>
  <c r="N42" i="36"/>
  <c r="N64" i="15" s="1"/>
  <c r="N49" i="36"/>
  <c r="N146" i="17"/>
  <c r="N14" i="36"/>
  <c r="N17" i="17"/>
  <c r="V26" i="36"/>
  <c r="V40" i="17"/>
  <c r="AK53" i="10"/>
  <c r="AK52" i="18"/>
  <c r="AK64" i="10"/>
  <c r="X36" i="35"/>
  <c r="O39" i="35"/>
  <c r="W52" i="10"/>
  <c r="W51" i="18"/>
  <c r="W22" i="36"/>
  <c r="W31" i="17"/>
  <c r="AK18" i="10"/>
  <c r="AK17" i="18"/>
  <c r="L9" i="35"/>
  <c r="L145" i="17"/>
  <c r="L69" i="15" s="1"/>
  <c r="V17" i="17"/>
  <c r="V14" i="36"/>
  <c r="V10" i="36"/>
  <c r="V11" i="17"/>
  <c r="L8" i="35"/>
  <c r="X8" i="17"/>
  <c r="X8" i="36"/>
  <c r="W26" i="36"/>
  <c r="W40" i="17"/>
  <c r="AK57" i="18"/>
  <c r="AK58" i="10"/>
  <c r="AK29" i="18"/>
  <c r="AK30" i="10"/>
  <c r="L36" i="10"/>
  <c r="L38" i="17"/>
  <c r="L27" i="35" s="1"/>
  <c r="L17" i="35"/>
  <c r="AK15" i="35"/>
  <c r="N9" i="36"/>
  <c r="N10" i="17"/>
  <c r="L28" i="35"/>
  <c r="AK40" i="18"/>
  <c r="AK43" i="18" s="1"/>
  <c r="AK41" i="10"/>
  <c r="V20" i="17"/>
  <c r="V15" i="36"/>
  <c r="L15" i="35"/>
  <c r="X22" i="36"/>
  <c r="X31" i="17"/>
  <c r="O17" i="36"/>
  <c r="O22" i="17"/>
  <c r="O43" i="36"/>
  <c r="O65" i="15" s="1"/>
  <c r="O132" i="17"/>
  <c r="O147" i="17" s="1"/>
  <c r="W33" i="36"/>
  <c r="W52" i="17"/>
  <c r="AK51" i="10"/>
  <c r="AK50" i="18"/>
  <c r="L23" i="35"/>
  <c r="L37" i="35"/>
  <c r="AK32" i="10"/>
  <c r="AK31" i="18"/>
  <c r="N52" i="10"/>
  <c r="N51" i="18"/>
  <c r="X43" i="36"/>
  <c r="X65" i="15" s="1"/>
  <c r="X132" i="17"/>
  <c r="X147" i="17" s="1"/>
  <c r="X50" i="36"/>
  <c r="O29" i="17"/>
  <c r="O21" i="36"/>
  <c r="O22" i="36"/>
  <c r="O31" i="17"/>
  <c r="W43" i="36"/>
  <c r="W65" i="15" s="1"/>
  <c r="W132" i="17"/>
  <c r="W147" i="17" s="1"/>
  <c r="W14" i="36"/>
  <c r="W17" i="17"/>
  <c r="N11" i="17"/>
  <c r="N10" i="36"/>
  <c r="N31" i="36"/>
  <c r="N50" i="17"/>
  <c r="V52" i="10"/>
  <c r="V51" i="18"/>
  <c r="AK23" i="35"/>
  <c r="AK37" i="35"/>
  <c r="X51" i="18"/>
  <c r="X52" i="10"/>
  <c r="O55" i="10"/>
  <c r="O54" i="18"/>
  <c r="O40" i="17"/>
  <c r="O26" i="36"/>
  <c r="W47" i="36"/>
  <c r="W48" i="36"/>
  <c r="W133" i="17"/>
  <c r="W148" i="17" s="1"/>
  <c r="V8" i="36"/>
  <c r="V8" i="17"/>
  <c r="V42" i="36"/>
  <c r="V64" i="15" s="1"/>
  <c r="V49" i="36"/>
  <c r="V37" i="36"/>
  <c r="V57" i="17"/>
  <c r="X21" i="36"/>
  <c r="X29" i="17"/>
  <c r="O51" i="18"/>
  <c r="O52" i="10"/>
  <c r="N22" i="36"/>
  <c r="N31" i="17"/>
  <c r="V31" i="17"/>
  <c r="V22" i="36"/>
  <c r="P40" i="18"/>
  <c r="P43" i="18" s="1"/>
  <c r="P41" i="10"/>
  <c r="X52" i="17"/>
  <c r="X33" i="36"/>
  <c r="X10" i="17"/>
  <c r="X9" i="36"/>
  <c r="O37" i="36"/>
  <c r="O57" i="17"/>
  <c r="W55" i="10"/>
  <c r="W54" i="18"/>
  <c r="AK23" i="10"/>
  <c r="AK22" i="18"/>
  <c r="AK37" i="18"/>
  <c r="AK38" i="10"/>
  <c r="N36" i="35"/>
  <c r="V55" i="10"/>
  <c r="V54" i="18"/>
  <c r="X10" i="36"/>
  <c r="X11" i="17"/>
  <c r="X35" i="17"/>
  <c r="X24" i="36"/>
  <c r="X36" i="17"/>
  <c r="X37" i="17"/>
  <c r="O14" i="36"/>
  <c r="O17" i="17"/>
  <c r="O9" i="36"/>
  <c r="O10" i="17"/>
  <c r="W37" i="36"/>
  <c r="W57" i="17"/>
  <c r="W17" i="36"/>
  <c r="W22" i="17"/>
  <c r="W31" i="36"/>
  <c r="W50" i="17"/>
  <c r="AK8" i="18"/>
  <c r="AK10" i="18"/>
  <c r="AK11" i="10"/>
  <c r="N24" i="36"/>
  <c r="N35" i="17"/>
  <c r="N37" i="17"/>
  <c r="N36" i="17"/>
  <c r="N17" i="36"/>
  <c r="N22" i="17"/>
  <c r="N21" i="36"/>
  <c r="N29" i="17"/>
  <c r="V36" i="35"/>
  <c r="V50" i="36"/>
  <c r="L24" i="35"/>
  <c r="X39" i="35"/>
  <c r="O50" i="36"/>
  <c r="W9" i="36"/>
  <c r="W10" i="17"/>
  <c r="AK11" i="18"/>
  <c r="AK12" i="10"/>
  <c r="N33" i="36"/>
  <c r="N52" i="17"/>
  <c r="V21" i="36"/>
  <c r="V29" i="17"/>
  <c r="V22" i="17"/>
  <c r="V17" i="36"/>
  <c r="V35" i="17"/>
  <c r="V24" i="36"/>
  <c r="V36" i="17"/>
  <c r="V37" i="17"/>
  <c r="X17" i="17"/>
  <c r="X14" i="36"/>
  <c r="O36" i="35"/>
  <c r="N48" i="36"/>
  <c r="N47" i="36"/>
  <c r="N44" i="36"/>
  <c r="N66" i="15" s="1"/>
  <c r="N133" i="17"/>
  <c r="N148" i="17" s="1"/>
  <c r="V33" i="36"/>
  <c r="V52" i="17"/>
  <c r="V9" i="36"/>
  <c r="V10" i="17"/>
  <c r="P28" i="35"/>
  <c r="X15" i="36"/>
  <c r="X20" i="17"/>
  <c r="O35" i="17"/>
  <c r="O37" i="17"/>
  <c r="O36" i="17"/>
  <c r="O24" i="36"/>
  <c r="O52" i="17"/>
  <c r="O33" i="36"/>
  <c r="AK37" i="10"/>
  <c r="AK36" i="18"/>
  <c r="N55" i="10"/>
  <c r="N54" i="18"/>
  <c r="X17" i="36"/>
  <c r="X22" i="17"/>
  <c r="X42" i="36"/>
  <c r="X64" i="15" s="1"/>
  <c r="X49" i="36"/>
  <c r="O8" i="17"/>
  <c r="O8" i="36"/>
  <c r="O47" i="36"/>
  <c r="O133" i="17"/>
  <c r="O148" i="17" s="1"/>
  <c r="O44" i="36"/>
  <c r="O66" i="15" s="1"/>
  <c r="O48" i="36"/>
  <c r="W36" i="17"/>
  <c r="W37" i="17"/>
  <c r="W24" i="36"/>
  <c r="W35" i="17"/>
  <c r="W42" i="36"/>
  <c r="W64" i="15" s="1"/>
  <c r="W49" i="36"/>
  <c r="W8" i="36"/>
  <c r="W8" i="17"/>
  <c r="N43" i="36"/>
  <c r="N65" i="15" s="1"/>
  <c r="N132" i="17"/>
  <c r="N147" i="17" s="1"/>
  <c r="N37" i="36"/>
  <c r="N57" i="17"/>
  <c r="N8" i="17"/>
  <c r="N8" i="36"/>
  <c r="X54" i="18"/>
  <c r="X55" i="10"/>
  <c r="W15" i="36"/>
  <c r="W20" i="17"/>
  <c r="N50" i="36"/>
  <c r="N41" i="36"/>
  <c r="N63" i="15" s="1"/>
  <c r="N26" i="36"/>
  <c r="N40" i="17"/>
  <c r="V31" i="36"/>
  <c r="V50" i="17"/>
  <c r="V132" i="17"/>
  <c r="V147" i="17" s="1"/>
  <c r="V43" i="36"/>
  <c r="V65" i="15" s="1"/>
  <c r="X50" i="17"/>
  <c r="X31" i="36"/>
  <c r="W50" i="36"/>
  <c r="AK20" i="18"/>
  <c r="AK21" i="10"/>
  <c r="N15" i="36"/>
  <c r="N20" i="17"/>
  <c r="V47" i="36"/>
  <c r="V133" i="17"/>
  <c r="V148" i="17" s="1"/>
  <c r="D46" i="11" l="1"/>
  <c r="D47" i="11" s="1"/>
  <c r="D25" i="11"/>
  <c r="D26" i="11" s="1"/>
  <c r="D63" i="11" s="1"/>
  <c r="D75" i="11" s="1"/>
  <c r="J13" i="11"/>
  <c r="J14" i="11" s="1"/>
  <c r="C63" i="11"/>
  <c r="C75" i="11" s="1"/>
  <c r="I65" i="8"/>
  <c r="AC12" i="10"/>
  <c r="AF9" i="10"/>
  <c r="AF7" i="35"/>
  <c r="AK9" i="10"/>
  <c r="AI11" i="18"/>
  <c r="AJ32" i="10"/>
  <c r="S14" i="35"/>
  <c r="S17" i="17"/>
  <c r="S26" i="36"/>
  <c r="G63" i="11"/>
  <c r="G75" i="11" s="1"/>
  <c r="G65" i="8"/>
  <c r="J60" i="8"/>
  <c r="J63" i="8" s="1"/>
  <c r="M63" i="8" s="1"/>
  <c r="H63" i="11"/>
  <c r="H75" i="11" s="1"/>
  <c r="K64" i="8"/>
  <c r="K65" i="8"/>
  <c r="Y37" i="35"/>
  <c r="Q53" i="10"/>
  <c r="Q64" i="10"/>
  <c r="Q52" i="18"/>
  <c r="AJ50" i="18"/>
  <c r="AB57" i="18"/>
  <c r="Z35" i="17"/>
  <c r="Z35" i="18" s="1"/>
  <c r="Y36" i="35"/>
  <c r="Q23" i="35"/>
  <c r="K71" i="1"/>
  <c r="L71" i="1" s="1"/>
  <c r="Q37" i="35"/>
  <c r="Z37" i="17"/>
  <c r="Z35" i="35"/>
  <c r="Z51" i="10"/>
  <c r="AJ121" i="17"/>
  <c r="J46" i="11"/>
  <c r="J47" i="11" s="1"/>
  <c r="J63" i="11" s="1"/>
  <c r="J75" i="11" s="1"/>
  <c r="J64" i="11"/>
  <c r="AN64" i="11" s="1"/>
  <c r="I63" i="11"/>
  <c r="AR63" i="11" s="1"/>
  <c r="T9" i="35"/>
  <c r="Y20" i="17"/>
  <c r="Y15" i="36"/>
  <c r="AI37" i="17"/>
  <c r="AI36" i="17"/>
  <c r="Y29" i="17"/>
  <c r="Y21" i="36"/>
  <c r="AJ11" i="18"/>
  <c r="R36" i="10"/>
  <c r="Q20" i="18"/>
  <c r="Z17" i="36"/>
  <c r="Z17" i="35" s="1"/>
  <c r="AI57" i="17"/>
  <c r="AI37" i="36"/>
  <c r="Y8" i="17"/>
  <c r="Y8" i="36"/>
  <c r="AH9" i="36"/>
  <c r="AH10" i="17"/>
  <c r="AH22" i="36"/>
  <c r="AH31" i="17"/>
  <c r="AJ12" i="10"/>
  <c r="Q21" i="10"/>
  <c r="AJ55" i="36"/>
  <c r="AJ56" i="36" s="1"/>
  <c r="AI24" i="36"/>
  <c r="Y39" i="35"/>
  <c r="Y54" i="18"/>
  <c r="Y55" i="10"/>
  <c r="Y17" i="17"/>
  <c r="Y14" i="36"/>
  <c r="AI33" i="36"/>
  <c r="AI52" i="17"/>
  <c r="AI17" i="36"/>
  <c r="AI22" i="17"/>
  <c r="Y51" i="18"/>
  <c r="Y52" i="10"/>
  <c r="AI35" i="17"/>
  <c r="Y10" i="17"/>
  <c r="Y9" i="36"/>
  <c r="Y50" i="17"/>
  <c r="Y31" i="36"/>
  <c r="T12" i="10"/>
  <c r="T11" i="18"/>
  <c r="H65" i="8"/>
  <c r="H64" i="8"/>
  <c r="J64" i="8"/>
  <c r="J65" i="8"/>
  <c r="AH50" i="17"/>
  <c r="AH31" i="36"/>
  <c r="P14" i="36"/>
  <c r="P17" i="17"/>
  <c r="AH36" i="35"/>
  <c r="AH21" i="36"/>
  <c r="AH29" i="17"/>
  <c r="P31" i="36"/>
  <c r="P50" i="17"/>
  <c r="AH8" i="36"/>
  <c r="AH8" i="17"/>
  <c r="P8" i="17"/>
  <c r="P8" i="36"/>
  <c r="AH14" i="36"/>
  <c r="AH17" i="17"/>
  <c r="P21" i="36"/>
  <c r="P29" i="17"/>
  <c r="AH52" i="10"/>
  <c r="AH51" i="18"/>
  <c r="AE79" i="11"/>
  <c r="K39" i="35"/>
  <c r="K50" i="17"/>
  <c r="K31" i="36"/>
  <c r="K36" i="35"/>
  <c r="K26" i="36"/>
  <c r="K40" i="17"/>
  <c r="K41" i="10" s="1"/>
  <c r="K52" i="17"/>
  <c r="K53" i="10" s="1"/>
  <c r="K33" i="36"/>
  <c r="K17" i="17"/>
  <c r="K14" i="36"/>
  <c r="K10" i="17"/>
  <c r="K11" i="10" s="1"/>
  <c r="K9" i="36"/>
  <c r="K37" i="17"/>
  <c r="K38" i="10" s="1"/>
  <c r="K35" i="17"/>
  <c r="K24" i="36"/>
  <c r="K36" i="17"/>
  <c r="K37" i="10" s="1"/>
  <c r="K37" i="36"/>
  <c r="K57" i="17"/>
  <c r="K58" i="10" s="1"/>
  <c r="AF23" i="35"/>
  <c r="K8" i="17"/>
  <c r="K8" i="36"/>
  <c r="K20" i="17"/>
  <c r="K21" i="10" s="1"/>
  <c r="K15" i="36"/>
  <c r="K11" i="17"/>
  <c r="K12" i="10" s="1"/>
  <c r="K10" i="36"/>
  <c r="K29" i="17"/>
  <c r="K21" i="36"/>
  <c r="K31" i="17"/>
  <c r="K32" i="10" s="1"/>
  <c r="K22" i="36"/>
  <c r="K22" i="17"/>
  <c r="K23" i="10" s="1"/>
  <c r="K17" i="36"/>
  <c r="M31" i="17"/>
  <c r="M32" i="10" s="1"/>
  <c r="M22" i="36"/>
  <c r="K163" i="17"/>
  <c r="K164" i="17"/>
  <c r="K165" i="17"/>
  <c r="K72" i="17"/>
  <c r="M22" i="17"/>
  <c r="M23" i="10" s="1"/>
  <c r="M17" i="36"/>
  <c r="M57" i="17"/>
  <c r="M58" i="10" s="1"/>
  <c r="M37" i="36"/>
  <c r="M50" i="17"/>
  <c r="M51" i="10" s="1"/>
  <c r="M31" i="36"/>
  <c r="M10" i="17"/>
  <c r="M11" i="10" s="1"/>
  <c r="M9" i="36"/>
  <c r="M40" i="17"/>
  <c r="M41" i="10" s="1"/>
  <c r="M26" i="36"/>
  <c r="M132" i="17"/>
  <c r="M147" i="17" s="1"/>
  <c r="M43" i="36"/>
  <c r="M65" i="15" s="1"/>
  <c r="M10" i="36"/>
  <c r="M11" i="17"/>
  <c r="M12" i="10" s="1"/>
  <c r="M8" i="17"/>
  <c r="M9" i="10" s="1"/>
  <c r="M8" i="36"/>
  <c r="M20" i="17"/>
  <c r="M21" i="10" s="1"/>
  <c r="M15" i="36"/>
  <c r="M52" i="17"/>
  <c r="M33" i="36"/>
  <c r="M36" i="35"/>
  <c r="M49" i="36"/>
  <c r="M42" i="36"/>
  <c r="M64" i="15" s="1"/>
  <c r="M131" i="17"/>
  <c r="M146" i="17" s="1"/>
  <c r="M14" i="36"/>
  <c r="M17" i="17"/>
  <c r="M18" i="10" s="1"/>
  <c r="M47" i="36"/>
  <c r="M133" i="17"/>
  <c r="M148" i="17" s="1"/>
  <c r="M48" i="36"/>
  <c r="M44" i="36"/>
  <c r="M66" i="15" s="1"/>
  <c r="M130" i="17"/>
  <c r="M145" i="17" s="1"/>
  <c r="M69" i="15" s="1"/>
  <c r="M50" i="36"/>
  <c r="M35" i="17"/>
  <c r="M24" i="36"/>
  <c r="M36" i="17"/>
  <c r="M37" i="10" s="1"/>
  <c r="M37" i="17"/>
  <c r="M38" i="10" s="1"/>
  <c r="M21" i="36"/>
  <c r="M29" i="17"/>
  <c r="M30" i="10" s="1"/>
  <c r="R38" i="17"/>
  <c r="R38" i="18" s="1"/>
  <c r="W121" i="17"/>
  <c r="AK56" i="36"/>
  <c r="AC56" i="36"/>
  <c r="AD56" i="36"/>
  <c r="R56" i="36"/>
  <c r="AF56" i="36"/>
  <c r="AG56" i="36"/>
  <c r="AI56" i="36"/>
  <c r="P56" i="36"/>
  <c r="O121" i="17"/>
  <c r="Z55" i="36"/>
  <c r="AP63" i="11"/>
  <c r="P50" i="8"/>
  <c r="P41" i="36" s="1"/>
  <c r="P63" i="15" s="1"/>
  <c r="P87" i="16"/>
  <c r="P53" i="36" s="1"/>
  <c r="P123" i="17"/>
  <c r="P127" i="17" s="1"/>
  <c r="Q81" i="16"/>
  <c r="T84" i="16"/>
  <c r="U84" i="16" s="1"/>
  <c r="Q53" i="8"/>
  <c r="Q44" i="36" s="1"/>
  <c r="Q66" i="15" s="1"/>
  <c r="Q72" i="15" s="1"/>
  <c r="Q90" i="16"/>
  <c r="Q81" i="11" s="1"/>
  <c r="Q126" i="17"/>
  <c r="R83" i="16"/>
  <c r="S83" i="16" s="1"/>
  <c r="O127" i="17"/>
  <c r="U102" i="14"/>
  <c r="T103" i="14"/>
  <c r="S65" i="17" s="1"/>
  <c r="O78" i="11"/>
  <c r="O91" i="11" s="1"/>
  <c r="O91" i="16"/>
  <c r="AG82" i="16"/>
  <c r="AF52" i="8"/>
  <c r="AF43" i="36" s="1"/>
  <c r="AF65" i="15" s="1"/>
  <c r="AF71" i="15" s="1"/>
  <c r="AF51" i="8"/>
  <c r="AF42" i="36" s="1"/>
  <c r="AF64" i="15" s="1"/>
  <c r="AF88" i="16"/>
  <c r="AF124" i="17"/>
  <c r="AF125" i="17"/>
  <c r="AF89" i="16"/>
  <c r="AF80" i="11" s="1"/>
  <c r="R81" i="16"/>
  <c r="E61" i="8"/>
  <c r="D60" i="8"/>
  <c r="D63" i="8" s="1"/>
  <c r="D61" i="8"/>
  <c r="M63" i="11"/>
  <c r="M75" i="11" s="1"/>
  <c r="R36" i="18"/>
  <c r="AD38" i="17"/>
  <c r="AD38" i="18" s="1"/>
  <c r="I75" i="11"/>
  <c r="AB32" i="10"/>
  <c r="AB31" i="18"/>
  <c r="AF28" i="35"/>
  <c r="S55" i="36"/>
  <c r="AE55" i="36"/>
  <c r="W55" i="36"/>
  <c r="V55" i="36"/>
  <c r="AD38" i="10"/>
  <c r="AD37" i="18"/>
  <c r="O55" i="36"/>
  <c r="AH55" i="36"/>
  <c r="AA55" i="36"/>
  <c r="AB55" i="36"/>
  <c r="AD53" i="10"/>
  <c r="AD52" i="18"/>
  <c r="U55" i="36"/>
  <c r="AD36" i="18"/>
  <c r="AD37" i="10"/>
  <c r="AD37" i="35"/>
  <c r="AD23" i="35"/>
  <c r="X55" i="36"/>
  <c r="N55" i="36"/>
  <c r="N56" i="36" s="1"/>
  <c r="N57" i="36" s="1"/>
  <c r="N58" i="36" s="1"/>
  <c r="AC121" i="17"/>
  <c r="AB23" i="10"/>
  <c r="AD20" i="18"/>
  <c r="AD15" i="35"/>
  <c r="N63" i="11"/>
  <c r="N75" i="11" s="1"/>
  <c r="N121" i="17"/>
  <c r="S29" i="18"/>
  <c r="AB22" i="18"/>
  <c r="X121" i="17"/>
  <c r="AB37" i="18"/>
  <c r="S30" i="10"/>
  <c r="AH121" i="17"/>
  <c r="U140" i="17"/>
  <c r="Q140" i="17"/>
  <c r="AA121" i="17"/>
  <c r="AG21" i="10"/>
  <c r="AG20" i="18"/>
  <c r="AG15" i="35"/>
  <c r="AB38" i="10"/>
  <c r="Q27" i="35"/>
  <c r="AB35" i="35"/>
  <c r="AE22" i="35"/>
  <c r="AE7" i="35"/>
  <c r="T15" i="35"/>
  <c r="AE71" i="15"/>
  <c r="AH15" i="35"/>
  <c r="AE20" i="18"/>
  <c r="AE15" i="35"/>
  <c r="AE21" i="10"/>
  <c r="AH21" i="10"/>
  <c r="AH20" i="18"/>
  <c r="AE14" i="35"/>
  <c r="AE28" i="35"/>
  <c r="AE40" i="18"/>
  <c r="AE43" i="18" s="1"/>
  <c r="AG24" i="35"/>
  <c r="AE17" i="35"/>
  <c r="AE9" i="35"/>
  <c r="U23" i="35"/>
  <c r="U37" i="35"/>
  <c r="AE57" i="18"/>
  <c r="AE58" i="10"/>
  <c r="AE10" i="18"/>
  <c r="AE11" i="10"/>
  <c r="AE22" i="18"/>
  <c r="AE23" i="10"/>
  <c r="AE11" i="18"/>
  <c r="AE12" i="10"/>
  <c r="AG31" i="18"/>
  <c r="AG32" i="10"/>
  <c r="U53" i="10"/>
  <c r="U52" i="18"/>
  <c r="AF15" i="35"/>
  <c r="T11" i="10"/>
  <c r="T10" i="18"/>
  <c r="AD8" i="35"/>
  <c r="AD10" i="18"/>
  <c r="AD11" i="10"/>
  <c r="U14" i="35"/>
  <c r="AD14" i="35"/>
  <c r="AD35" i="35"/>
  <c r="T8" i="35"/>
  <c r="T21" i="10"/>
  <c r="T20" i="18"/>
  <c r="AB41" i="10"/>
  <c r="AB40" i="18"/>
  <c r="AB43" i="18" s="1"/>
  <c r="AD8" i="18"/>
  <c r="AD9" i="10"/>
  <c r="AB17" i="18"/>
  <c r="AB18" i="10"/>
  <c r="AB29" i="18"/>
  <c r="AB30" i="10"/>
  <c r="AA28" i="35"/>
  <c r="U17" i="35"/>
  <c r="AF8" i="35"/>
  <c r="S17" i="35"/>
  <c r="AG14" i="35"/>
  <c r="AH17" i="35"/>
  <c r="AG7" i="35"/>
  <c r="U71" i="15"/>
  <c r="AB50" i="18"/>
  <c r="AB51" i="10"/>
  <c r="AE29" i="18"/>
  <c r="AE30" i="10"/>
  <c r="AB28" i="35"/>
  <c r="AE18" i="10"/>
  <c r="AE17" i="18"/>
  <c r="AE35" i="35"/>
  <c r="AB22" i="35"/>
  <c r="S71" i="15"/>
  <c r="S28" i="35"/>
  <c r="AD18" i="10"/>
  <c r="AD17" i="18"/>
  <c r="T52" i="18"/>
  <c r="T64" i="10"/>
  <c r="T53" i="10"/>
  <c r="AD51" i="10"/>
  <c r="AD50" i="18"/>
  <c r="AB7" i="35"/>
  <c r="AE51" i="10"/>
  <c r="AE50" i="18"/>
  <c r="AD30" i="10"/>
  <c r="AD29" i="18"/>
  <c r="T23" i="35"/>
  <c r="T37" i="35"/>
  <c r="AB8" i="18"/>
  <c r="AB9" i="10"/>
  <c r="AD7" i="35"/>
  <c r="AB14" i="35"/>
  <c r="AD22" i="35"/>
  <c r="AE9" i="10"/>
  <c r="AE8" i="18"/>
  <c r="AG41" i="10"/>
  <c r="AG40" i="18"/>
  <c r="AG43" i="18" s="1"/>
  <c r="U50" i="18"/>
  <c r="U51" i="10"/>
  <c r="S12" i="10"/>
  <c r="S11" i="18"/>
  <c r="AG30" i="10"/>
  <c r="AG29" i="18"/>
  <c r="AG28" i="35"/>
  <c r="AA22" i="35"/>
  <c r="AA41" i="10"/>
  <c r="AA40" i="18"/>
  <c r="AA43" i="18" s="1"/>
  <c r="AG51" i="10"/>
  <c r="AG50" i="18"/>
  <c r="AA22" i="18"/>
  <c r="AA23" i="10"/>
  <c r="AF23" i="10"/>
  <c r="AF22" i="18"/>
  <c r="U22" i="35"/>
  <c r="U29" i="18"/>
  <c r="U30" i="10"/>
  <c r="AH41" i="10"/>
  <c r="AH40" i="18"/>
  <c r="AH43" i="18" s="1"/>
  <c r="AA38" i="10"/>
  <c r="AA37" i="18"/>
  <c r="AH57" i="18"/>
  <c r="AH58" i="10"/>
  <c r="AF32" i="10"/>
  <c r="AF31" i="18"/>
  <c r="S58" i="10"/>
  <c r="S57" i="18"/>
  <c r="U7" i="35"/>
  <c r="U9" i="10"/>
  <c r="U8" i="18"/>
  <c r="U12" i="10"/>
  <c r="U11" i="18"/>
  <c r="AH36" i="10"/>
  <c r="AH35" i="18"/>
  <c r="AH38" i="17"/>
  <c r="S9" i="35"/>
  <c r="AG22" i="35"/>
  <c r="AA9" i="35"/>
  <c r="AF35" i="18"/>
  <c r="AF36" i="10"/>
  <c r="AF38" i="17"/>
  <c r="U36" i="10"/>
  <c r="U35" i="18"/>
  <c r="U38" i="17"/>
  <c r="U38" i="18" s="1"/>
  <c r="AA29" i="18"/>
  <c r="AA30" i="10"/>
  <c r="AA50" i="18"/>
  <c r="AA51" i="10"/>
  <c r="U57" i="18"/>
  <c r="U58" i="10"/>
  <c r="AA18" i="10"/>
  <c r="AA17" i="18"/>
  <c r="AH38" i="10"/>
  <c r="AH37" i="18"/>
  <c r="AF38" i="10"/>
  <c r="AF37" i="18"/>
  <c r="AH11" i="18"/>
  <c r="AH12" i="10"/>
  <c r="U28" i="35"/>
  <c r="AF20" i="18"/>
  <c r="AF21" i="10"/>
  <c r="AG35" i="35"/>
  <c r="AA17" i="35"/>
  <c r="AF17" i="35"/>
  <c r="AH28" i="35"/>
  <c r="AA36" i="10"/>
  <c r="AA35" i="18"/>
  <c r="AA38" i="17"/>
  <c r="AA38" i="18" s="1"/>
  <c r="S41" i="10"/>
  <c r="S40" i="18"/>
  <c r="S43" i="18" s="1"/>
  <c r="AF24" i="35"/>
  <c r="AA71" i="15"/>
  <c r="U9" i="35"/>
  <c r="AH37" i="10"/>
  <c r="AH36" i="18"/>
  <c r="AA7" i="35"/>
  <c r="S23" i="35"/>
  <c r="S37" i="35"/>
  <c r="S38" i="10"/>
  <c r="S37" i="18"/>
  <c r="U18" i="10"/>
  <c r="U17" i="18"/>
  <c r="AF36" i="18"/>
  <c r="AF37" i="10"/>
  <c r="U36" i="18"/>
  <c r="U37" i="10"/>
  <c r="AF12" i="10"/>
  <c r="AF11" i="18"/>
  <c r="AG52" i="18"/>
  <c r="AG53" i="10"/>
  <c r="AG64" i="10"/>
  <c r="AH23" i="35"/>
  <c r="AH37" i="35"/>
  <c r="AA58" i="10"/>
  <c r="AA57" i="18"/>
  <c r="S37" i="10"/>
  <c r="S36" i="18"/>
  <c r="AA12" i="10"/>
  <c r="AA11" i="18"/>
  <c r="AH9" i="35"/>
  <c r="U40" i="18"/>
  <c r="U43" i="18" s="1"/>
  <c r="U41" i="10"/>
  <c r="U35" i="35"/>
  <c r="AF58" i="10"/>
  <c r="AF57" i="18"/>
  <c r="U23" i="10"/>
  <c r="U22" i="18"/>
  <c r="AA35" i="35"/>
  <c r="AF11" i="10"/>
  <c r="AF10" i="18"/>
  <c r="S22" i="18"/>
  <c r="S23" i="10"/>
  <c r="AG18" i="10"/>
  <c r="AG17" i="18"/>
  <c r="AA36" i="18"/>
  <c r="AA37" i="10"/>
  <c r="AF9" i="35"/>
  <c r="N66" i="1"/>
  <c r="O66" i="1" s="1"/>
  <c r="AH23" i="10"/>
  <c r="AH22" i="18"/>
  <c r="AA14" i="35"/>
  <c r="AG37" i="35"/>
  <c r="AG23" i="35"/>
  <c r="AH53" i="10"/>
  <c r="AH52" i="18"/>
  <c r="AH64" i="10"/>
  <c r="AG9" i="10"/>
  <c r="AG8" i="18"/>
  <c r="AA8" i="18"/>
  <c r="AA9" i="10"/>
  <c r="S64" i="10"/>
  <c r="S53" i="10"/>
  <c r="S52" i="18"/>
  <c r="S35" i="18"/>
  <c r="S36" i="10"/>
  <c r="S38" i="17"/>
  <c r="S38" i="18" s="1"/>
  <c r="U37" i="18"/>
  <c r="U38" i="10"/>
  <c r="AG27" i="35"/>
  <c r="R121" i="17"/>
  <c r="P27" i="35"/>
  <c r="Z24" i="35"/>
  <c r="L137" i="17"/>
  <c r="L138" i="17" s="1"/>
  <c r="Z9" i="35"/>
  <c r="Z15" i="35"/>
  <c r="Z8" i="35"/>
  <c r="Z36" i="10"/>
  <c r="Z71" i="15"/>
  <c r="Z12" i="10"/>
  <c r="Z11" i="18"/>
  <c r="Z11" i="10"/>
  <c r="Z10" i="18"/>
  <c r="Z37" i="18"/>
  <c r="Z38" i="10"/>
  <c r="Z37" i="10"/>
  <c r="Z36" i="18"/>
  <c r="Z32" i="10"/>
  <c r="Z31" i="18"/>
  <c r="Z20" i="18"/>
  <c r="Z21" i="10"/>
  <c r="AE38" i="18"/>
  <c r="AE27" i="35"/>
  <c r="Z23" i="10"/>
  <c r="Z22" i="18"/>
  <c r="Z57" i="18"/>
  <c r="Z58" i="10"/>
  <c r="AK27" i="35"/>
  <c r="AB27" i="35"/>
  <c r="V8" i="35"/>
  <c r="N22" i="35"/>
  <c r="W35" i="35"/>
  <c r="O14" i="35"/>
  <c r="O17" i="35"/>
  <c r="W28" i="35"/>
  <c r="AI121" i="17"/>
  <c r="L121" i="17"/>
  <c r="K121" i="17"/>
  <c r="K140" i="17"/>
  <c r="K137" i="17"/>
  <c r="K127" i="17"/>
  <c r="AG121" i="17"/>
  <c r="Q121" i="17"/>
  <c r="V121" i="17"/>
  <c r="M121" i="17"/>
  <c r="AD121" i="17"/>
  <c r="S121" i="17"/>
  <c r="AE121" i="17"/>
  <c r="U121" i="17"/>
  <c r="P121" i="17"/>
  <c r="Z121" i="17"/>
  <c r="AK121" i="17"/>
  <c r="AB121" i="17"/>
  <c r="Y121" i="17"/>
  <c r="Y38" i="18"/>
  <c r="Y27" i="35"/>
  <c r="X35" i="35"/>
  <c r="O7" i="35"/>
  <c r="V17" i="35"/>
  <c r="X8" i="35"/>
  <c r="V14" i="35"/>
  <c r="N70" i="15"/>
  <c r="W22" i="35"/>
  <c r="O15" i="35"/>
  <c r="V71" i="15"/>
  <c r="O72" i="15"/>
  <c r="V35" i="35"/>
  <c r="W17" i="35"/>
  <c r="X9" i="35"/>
  <c r="X14" i="35"/>
  <c r="V24" i="35"/>
  <c r="O28" i="35"/>
  <c r="X71" i="15"/>
  <c r="V15" i="35"/>
  <c r="W9" i="35"/>
  <c r="N17" i="35"/>
  <c r="O8" i="35"/>
  <c r="X24" i="35"/>
  <c r="N8" i="35"/>
  <c r="W24" i="35"/>
  <c r="AJ27" i="35"/>
  <c r="AC27" i="35"/>
  <c r="W15" i="35"/>
  <c r="W7" i="35"/>
  <c r="N35" i="35"/>
  <c r="W14" i="35"/>
  <c r="O24" i="35"/>
  <c r="W38" i="10"/>
  <c r="W37" i="18"/>
  <c r="X20" i="18"/>
  <c r="X21" i="10"/>
  <c r="N58" i="10"/>
  <c r="N57" i="18"/>
  <c r="W9" i="10"/>
  <c r="W8" i="18"/>
  <c r="W36" i="18"/>
  <c r="W37" i="10"/>
  <c r="O37" i="10"/>
  <c r="O36" i="18"/>
  <c r="X15" i="35"/>
  <c r="V53" i="10"/>
  <c r="V52" i="18"/>
  <c r="V64" i="10"/>
  <c r="X18" i="10"/>
  <c r="X17" i="18"/>
  <c r="V35" i="18"/>
  <c r="V36" i="10"/>
  <c r="V38" i="17"/>
  <c r="V38" i="18" s="1"/>
  <c r="V22" i="35"/>
  <c r="N29" i="18"/>
  <c r="N30" i="10"/>
  <c r="N37" i="10"/>
  <c r="N36" i="18"/>
  <c r="W51" i="10"/>
  <c r="W50" i="18"/>
  <c r="W58" i="10"/>
  <c r="W57" i="18"/>
  <c r="O18" i="10"/>
  <c r="O17" i="18"/>
  <c r="X10" i="18"/>
  <c r="X11" i="10"/>
  <c r="N24" i="35"/>
  <c r="V7" i="35"/>
  <c r="N51" i="10"/>
  <c r="N50" i="18"/>
  <c r="W18" i="10"/>
  <c r="W17" i="18"/>
  <c r="O32" i="10"/>
  <c r="O31" i="18"/>
  <c r="O71" i="15"/>
  <c r="X31" i="18"/>
  <c r="X32" i="10"/>
  <c r="V21" i="10"/>
  <c r="V20" i="18"/>
  <c r="N10" i="18"/>
  <c r="N11" i="10"/>
  <c r="X7" i="35"/>
  <c r="V9" i="35"/>
  <c r="W31" i="18"/>
  <c r="W32" i="10"/>
  <c r="N14" i="35"/>
  <c r="W11" i="18"/>
  <c r="W12" i="10"/>
  <c r="O35" i="35"/>
  <c r="X57" i="18"/>
  <c r="X58" i="10"/>
  <c r="O9" i="35"/>
  <c r="N20" i="18"/>
  <c r="N21" i="10"/>
  <c r="W38" i="17"/>
  <c r="W38" i="18" s="1"/>
  <c r="W36" i="10"/>
  <c r="W35" i="18"/>
  <c r="O37" i="35"/>
  <c r="O23" i="35"/>
  <c r="O38" i="10"/>
  <c r="O37" i="18"/>
  <c r="V38" i="10"/>
  <c r="V37" i="18"/>
  <c r="N52" i="18"/>
  <c r="N64" i="10"/>
  <c r="N53" i="10"/>
  <c r="W11" i="10"/>
  <c r="W10" i="18"/>
  <c r="N37" i="18"/>
  <c r="N38" i="10"/>
  <c r="X36" i="10"/>
  <c r="X35" i="18"/>
  <c r="X38" i="17"/>
  <c r="X38" i="18" s="1"/>
  <c r="O57" i="18"/>
  <c r="O58" i="10"/>
  <c r="X23" i="35"/>
  <c r="X37" i="35"/>
  <c r="X30" i="10"/>
  <c r="X29" i="18"/>
  <c r="X9" i="10"/>
  <c r="X8" i="18"/>
  <c r="V41" i="10"/>
  <c r="V40" i="18"/>
  <c r="V43" i="18" s="1"/>
  <c r="X41" i="10"/>
  <c r="X40" i="18"/>
  <c r="X43" i="18" s="1"/>
  <c r="N41" i="10"/>
  <c r="N40" i="18"/>
  <c r="N43" i="18" s="1"/>
  <c r="X23" i="10"/>
  <c r="X22" i="18"/>
  <c r="V23" i="35"/>
  <c r="V37" i="35"/>
  <c r="N15" i="35"/>
  <c r="X51" i="10"/>
  <c r="X50" i="18"/>
  <c r="V50" i="18"/>
  <c r="V51" i="10"/>
  <c r="N28" i="35"/>
  <c r="W20" i="18"/>
  <c r="W21" i="10"/>
  <c r="N7" i="35"/>
  <c r="N71" i="15"/>
  <c r="O8" i="18"/>
  <c r="O9" i="10"/>
  <c r="X17" i="35"/>
  <c r="O53" i="10"/>
  <c r="O52" i="18"/>
  <c r="O64" i="10"/>
  <c r="O36" i="10"/>
  <c r="O35" i="18"/>
  <c r="O38" i="17"/>
  <c r="O38" i="18" s="1"/>
  <c r="V11" i="10"/>
  <c r="V10" i="18"/>
  <c r="N72" i="15"/>
  <c r="V37" i="10"/>
  <c r="V36" i="18"/>
  <c r="V23" i="10"/>
  <c r="V22" i="18"/>
  <c r="N23" i="35"/>
  <c r="N37" i="35"/>
  <c r="W8" i="35"/>
  <c r="N22" i="18"/>
  <c r="N23" i="10"/>
  <c r="N35" i="18"/>
  <c r="N38" i="17"/>
  <c r="N38" i="18" s="1"/>
  <c r="N36" i="10"/>
  <c r="W23" i="10"/>
  <c r="W22" i="18"/>
  <c r="O10" i="18"/>
  <c r="O11" i="10"/>
  <c r="X37" i="18"/>
  <c r="X38" i="10"/>
  <c r="X11" i="18"/>
  <c r="X12" i="10"/>
  <c r="X52" i="18"/>
  <c r="X53" i="10"/>
  <c r="X64" i="10"/>
  <c r="V32" i="10"/>
  <c r="V31" i="18"/>
  <c r="X22" i="35"/>
  <c r="O40" i="18"/>
  <c r="O43" i="18" s="1"/>
  <c r="O41" i="10"/>
  <c r="N9" i="35"/>
  <c r="W71" i="15"/>
  <c r="O22" i="35"/>
  <c r="W53" i="10"/>
  <c r="W52" i="18"/>
  <c r="W64" i="10"/>
  <c r="O23" i="10"/>
  <c r="O22" i="18"/>
  <c r="W41" i="10"/>
  <c r="W40" i="18"/>
  <c r="W43" i="18" s="1"/>
  <c r="V17" i="18"/>
  <c r="V18" i="10"/>
  <c r="V28" i="35"/>
  <c r="W30" i="10"/>
  <c r="W29" i="18"/>
  <c r="O21" i="10"/>
  <c r="O20" i="18"/>
  <c r="X28" i="35"/>
  <c r="N145" i="17"/>
  <c r="N137" i="17"/>
  <c r="N8" i="18"/>
  <c r="N9" i="10"/>
  <c r="V30" i="10"/>
  <c r="V29" i="18"/>
  <c r="X36" i="18"/>
  <c r="X37" i="10"/>
  <c r="N31" i="18"/>
  <c r="N32" i="10"/>
  <c r="V58" i="10"/>
  <c r="V57" i="18"/>
  <c r="V8" i="18"/>
  <c r="V9" i="10"/>
  <c r="N11" i="18"/>
  <c r="N12" i="10"/>
  <c r="O30" i="10"/>
  <c r="O29" i="18"/>
  <c r="W23" i="35"/>
  <c r="W37" i="35"/>
  <c r="V11" i="18"/>
  <c r="V12" i="10"/>
  <c r="N18" i="10"/>
  <c r="N17" i="18"/>
  <c r="O51" i="10"/>
  <c r="O50" i="18"/>
  <c r="O11" i="18"/>
  <c r="O12" i="10"/>
  <c r="O63" i="8" l="1"/>
  <c r="Z38" i="17"/>
  <c r="Z38" i="18" s="1"/>
  <c r="S18" i="10"/>
  <c r="S17" i="18"/>
  <c r="M60" i="8"/>
  <c r="O60" i="8" s="1"/>
  <c r="M137" i="17"/>
  <c r="M141" i="17" s="1"/>
  <c r="M142" i="17" s="1"/>
  <c r="Y8" i="35"/>
  <c r="Y35" i="35"/>
  <c r="Y7" i="35"/>
  <c r="Y22" i="35"/>
  <c r="Y15" i="35"/>
  <c r="Y14" i="35"/>
  <c r="AH8" i="35"/>
  <c r="AH10" i="18"/>
  <c r="AH11" i="10"/>
  <c r="Y10" i="18"/>
  <c r="Y11" i="10"/>
  <c r="AI23" i="10"/>
  <c r="AI22" i="18"/>
  <c r="AI57" i="18"/>
  <c r="AI58" i="10"/>
  <c r="AI37" i="18"/>
  <c r="AI38" i="10"/>
  <c r="AI37" i="10"/>
  <c r="AI36" i="18"/>
  <c r="R27" i="35"/>
  <c r="AI38" i="17"/>
  <c r="AI36" i="10"/>
  <c r="AI35" i="18"/>
  <c r="AI17" i="35"/>
  <c r="Y18" i="10"/>
  <c r="Y17" i="18"/>
  <c r="AH24" i="35"/>
  <c r="AH31" i="18"/>
  <c r="AH32" i="10"/>
  <c r="AI23" i="35"/>
  <c r="AI37" i="35"/>
  <c r="M72" i="15"/>
  <c r="Y50" i="18"/>
  <c r="Y51" i="10"/>
  <c r="AI64" i="10"/>
  <c r="AI53" i="10"/>
  <c r="AI52" i="18"/>
  <c r="Y8" i="18"/>
  <c r="Y9" i="10"/>
  <c r="Y30" i="10"/>
  <c r="Y29" i="18"/>
  <c r="Y21" i="10"/>
  <c r="Y20" i="18"/>
  <c r="M28" i="35"/>
  <c r="M35" i="35"/>
  <c r="M17" i="35"/>
  <c r="M64" i="8"/>
  <c r="P14" i="35"/>
  <c r="M7" i="35"/>
  <c r="M8" i="35"/>
  <c r="M24" i="35"/>
  <c r="P7" i="35"/>
  <c r="K8" i="35"/>
  <c r="P22" i="35"/>
  <c r="P8" i="18"/>
  <c r="P9" i="10"/>
  <c r="P35" i="35"/>
  <c r="P18" i="10"/>
  <c r="P17" i="18"/>
  <c r="AH14" i="35"/>
  <c r="AH17" i="18"/>
  <c r="AH18" i="10"/>
  <c r="AH8" i="18"/>
  <c r="AH9" i="10"/>
  <c r="AH30" i="10"/>
  <c r="AH29" i="18"/>
  <c r="M14" i="35"/>
  <c r="K14" i="35"/>
  <c r="AH7" i="35"/>
  <c r="AH22" i="35"/>
  <c r="AH35" i="35"/>
  <c r="P29" i="18"/>
  <c r="P30" i="10"/>
  <c r="P51" i="10"/>
  <c r="P50" i="18"/>
  <c r="AH51" i="10"/>
  <c r="AH50" i="18"/>
  <c r="P57" i="36"/>
  <c r="P58" i="36" s="1"/>
  <c r="P60" i="36" s="1"/>
  <c r="AF79" i="11"/>
  <c r="K24" i="35"/>
  <c r="K9" i="35"/>
  <c r="K7" i="35"/>
  <c r="K41" i="35"/>
  <c r="K18" i="10"/>
  <c r="K26" i="17"/>
  <c r="K28" i="35"/>
  <c r="K9" i="10"/>
  <c r="K14" i="17"/>
  <c r="K37" i="35"/>
  <c r="K23" i="35"/>
  <c r="M22" i="35"/>
  <c r="K17" i="35"/>
  <c r="K22" i="35"/>
  <c r="K15" i="35"/>
  <c r="K35" i="35"/>
  <c r="K30" i="10"/>
  <c r="K47" i="17"/>
  <c r="K36" i="10"/>
  <c r="K38" i="17"/>
  <c r="K27" i="35" s="1"/>
  <c r="K51" i="10"/>
  <c r="K61" i="17"/>
  <c r="AD27" i="35"/>
  <c r="M70" i="15"/>
  <c r="M23" i="35"/>
  <c r="M37" i="35"/>
  <c r="M71" i="15"/>
  <c r="M53" i="10"/>
  <c r="M64" i="10"/>
  <c r="N59" i="36"/>
  <c r="N62" i="36"/>
  <c r="N60" i="36"/>
  <c r="M55" i="36"/>
  <c r="M56" i="36" s="1"/>
  <c r="M57" i="36" s="1"/>
  <c r="M58" i="36" s="1"/>
  <c r="M15" i="35"/>
  <c r="M9" i="35"/>
  <c r="M36" i="10"/>
  <c r="M38" i="17"/>
  <c r="M27" i="35" s="1"/>
  <c r="K77" i="17"/>
  <c r="K83" i="17" s="1"/>
  <c r="K72" i="10" s="1"/>
  <c r="K76" i="17"/>
  <c r="K82" i="17" s="1"/>
  <c r="K71" i="10" s="1"/>
  <c r="K75" i="17"/>
  <c r="K81" i="17" s="1"/>
  <c r="K66" i="10" s="1"/>
  <c r="K67" i="10" s="1"/>
  <c r="K70" i="10" s="1"/>
  <c r="K78" i="17"/>
  <c r="K84" i="17" s="1"/>
  <c r="K73" i="10" s="1"/>
  <c r="Q137" i="17"/>
  <c r="P146" i="17"/>
  <c r="O56" i="36"/>
  <c r="O57" i="36" s="1"/>
  <c r="O58" i="36" s="1"/>
  <c r="U56" i="36"/>
  <c r="AB56" i="36"/>
  <c r="S145" i="17"/>
  <c r="S56" i="36"/>
  <c r="AA56" i="36"/>
  <c r="V56" i="36"/>
  <c r="X56" i="36"/>
  <c r="AH56" i="36"/>
  <c r="W145" i="17"/>
  <c r="W56" i="36"/>
  <c r="AE56" i="36"/>
  <c r="Z56" i="36"/>
  <c r="AN63" i="11"/>
  <c r="AH82" i="16"/>
  <c r="AG51" i="8"/>
  <c r="AG42" i="36" s="1"/>
  <c r="AG64" i="15" s="1"/>
  <c r="AG52" i="8"/>
  <c r="AG43" i="36" s="1"/>
  <c r="AG65" i="15" s="1"/>
  <c r="AG71" i="15" s="1"/>
  <c r="AG125" i="17"/>
  <c r="AG88" i="16"/>
  <c r="AG89" i="16"/>
  <c r="AG80" i="11" s="1"/>
  <c r="AG124" i="17"/>
  <c r="O60" i="11"/>
  <c r="O61" i="11" s="1"/>
  <c r="O25" i="11"/>
  <c r="O26" i="11" s="1"/>
  <c r="O13" i="11"/>
  <c r="O14" i="11" s="1"/>
  <c r="O46" i="11"/>
  <c r="O47" i="11" s="1"/>
  <c r="S53" i="8"/>
  <c r="S44" i="36" s="1"/>
  <c r="S66" i="15" s="1"/>
  <c r="S72" i="15" s="1"/>
  <c r="S126" i="17"/>
  <c r="S90" i="16"/>
  <c r="S81" i="11" s="1"/>
  <c r="R50" i="8"/>
  <c r="R41" i="36" s="1"/>
  <c r="R63" i="15" s="1"/>
  <c r="R87" i="16"/>
  <c r="R53" i="36" s="1"/>
  <c r="R57" i="36" s="1"/>
  <c r="R58" i="36" s="1"/>
  <c r="R123" i="17"/>
  <c r="T83" i="16"/>
  <c r="Q50" i="8"/>
  <c r="Q41" i="36" s="1"/>
  <c r="Q63" i="15" s="1"/>
  <c r="Q87" i="16"/>
  <c r="Q123" i="17"/>
  <c r="Q127" i="17" s="1"/>
  <c r="V102" i="14"/>
  <c r="U103" i="14"/>
  <c r="T65" i="17" s="1"/>
  <c r="R53" i="8"/>
  <c r="R44" i="36" s="1"/>
  <c r="R66" i="15" s="1"/>
  <c r="R72" i="15" s="1"/>
  <c r="R90" i="16"/>
  <c r="R81" i="11" s="1"/>
  <c r="R126" i="17"/>
  <c r="S81" i="16"/>
  <c r="V84" i="16"/>
  <c r="W84" i="16" s="1"/>
  <c r="P78" i="11"/>
  <c r="P91" i="11" s="1"/>
  <c r="P91" i="16"/>
  <c r="U83" i="16"/>
  <c r="D65" i="8"/>
  <c r="D64" i="8"/>
  <c r="E65" i="8"/>
  <c r="E64" i="8"/>
  <c r="V27" i="35"/>
  <c r="M138" i="17"/>
  <c r="L141" i="17"/>
  <c r="L142" i="17" s="1"/>
  <c r="L152" i="17" s="1"/>
  <c r="L76" i="15" s="1"/>
  <c r="AF38" i="18"/>
  <c r="AF27" i="35"/>
  <c r="S27" i="35"/>
  <c r="AH38" i="18"/>
  <c r="AH27" i="35"/>
  <c r="AA27" i="35"/>
  <c r="U27" i="35"/>
  <c r="Z27" i="35"/>
  <c r="W27" i="35"/>
  <c r="O27" i="35"/>
  <c r="K138" i="17"/>
  <c r="K141" i="17"/>
  <c r="K142" i="17" s="1"/>
  <c r="M149" i="17"/>
  <c r="M154" i="17"/>
  <c r="M78" i="15" s="1"/>
  <c r="M153" i="17"/>
  <c r="M77" i="15" s="1"/>
  <c r="M152" i="17"/>
  <c r="M76" i="15" s="1"/>
  <c r="M155" i="17"/>
  <c r="M79" i="15" s="1"/>
  <c r="M151" i="17"/>
  <c r="M75" i="15" s="1"/>
  <c r="M156" i="17"/>
  <c r="M80" i="15" s="1"/>
  <c r="M157" i="17"/>
  <c r="M81" i="15" s="1"/>
  <c r="M150" i="17"/>
  <c r="M74" i="15" s="1"/>
  <c r="N27" i="35"/>
  <c r="X27" i="35"/>
  <c r="R146" i="17"/>
  <c r="R70" i="15" s="1"/>
  <c r="N138" i="17"/>
  <c r="N141" i="17"/>
  <c r="N142" i="17" s="1"/>
  <c r="N69" i="15"/>
  <c r="Q146" i="17"/>
  <c r="Q70" i="15" s="1"/>
  <c r="AI38" i="18" l="1"/>
  <c r="AI27" i="35"/>
  <c r="P62" i="36"/>
  <c r="K43" i="35"/>
  <c r="P59" i="36"/>
  <c r="P63" i="36" s="1"/>
  <c r="R62" i="36"/>
  <c r="R60" i="36"/>
  <c r="Q53" i="36"/>
  <c r="Q57" i="36" s="1"/>
  <c r="Q58" i="36" s="1"/>
  <c r="Q59" i="36" s="1"/>
  <c r="R59" i="36"/>
  <c r="R61" i="36" s="1"/>
  <c r="AG79" i="11"/>
  <c r="K19" i="35"/>
  <c r="K11" i="35"/>
  <c r="K32" i="35"/>
  <c r="N61" i="36"/>
  <c r="N63" i="36"/>
  <c r="O59" i="36"/>
  <c r="O60" i="36"/>
  <c r="O62" i="36"/>
  <c r="K83" i="10"/>
  <c r="M60" i="36"/>
  <c r="M62" i="36"/>
  <c r="M59" i="36"/>
  <c r="X84" i="16"/>
  <c r="V103" i="14"/>
  <c r="U65" i="17" s="1"/>
  <c r="W102" i="14"/>
  <c r="R127" i="17"/>
  <c r="U53" i="8"/>
  <c r="U44" i="36" s="1"/>
  <c r="U66" i="15" s="1"/>
  <c r="U72" i="15" s="1"/>
  <c r="U90" i="16"/>
  <c r="U81" i="11" s="1"/>
  <c r="U126" i="17"/>
  <c r="S50" i="8"/>
  <c r="S41" i="36" s="1"/>
  <c r="S63" i="15" s="1"/>
  <c r="S87" i="16"/>
  <c r="S53" i="36" s="1"/>
  <c r="S57" i="36" s="1"/>
  <c r="S58" i="36" s="1"/>
  <c r="S123" i="17"/>
  <c r="S127" i="17" s="1"/>
  <c r="T53" i="8"/>
  <c r="T44" i="36" s="1"/>
  <c r="T66" i="15" s="1"/>
  <c r="T72" i="15" s="1"/>
  <c r="T126" i="17"/>
  <c r="T90" i="16"/>
  <c r="T81" i="11" s="1"/>
  <c r="R78" i="11"/>
  <c r="R91" i="11" s="1"/>
  <c r="R91" i="16"/>
  <c r="O63" i="11"/>
  <c r="O75" i="11" s="1"/>
  <c r="Q78" i="11"/>
  <c r="Q91" i="11" s="1"/>
  <c r="Q91" i="16"/>
  <c r="AI82" i="16"/>
  <c r="AH52" i="8"/>
  <c r="AH43" i="36" s="1"/>
  <c r="AH65" i="15" s="1"/>
  <c r="AH71" i="15" s="1"/>
  <c r="AH51" i="8"/>
  <c r="AH42" i="36" s="1"/>
  <c r="AH64" i="15" s="1"/>
  <c r="AH88" i="16"/>
  <c r="AH125" i="17"/>
  <c r="AH89" i="16"/>
  <c r="AH80" i="11" s="1"/>
  <c r="AH124" i="17"/>
  <c r="P60" i="11"/>
  <c r="P61" i="11" s="1"/>
  <c r="P13" i="11"/>
  <c r="P14" i="11" s="1"/>
  <c r="P46" i="11"/>
  <c r="P47" i="11" s="1"/>
  <c r="P25" i="11"/>
  <c r="P26" i="11" s="1"/>
  <c r="V83" i="16"/>
  <c r="T81" i="16"/>
  <c r="S146" i="17"/>
  <c r="S70" i="15" s="1"/>
  <c r="S64" i="8"/>
  <c r="O64" i="8"/>
  <c r="S65" i="8"/>
  <c r="O65" i="8"/>
  <c r="L156" i="17"/>
  <c r="L80" i="15" s="1"/>
  <c r="P145" i="17"/>
  <c r="L155" i="17"/>
  <c r="L79" i="15" s="1"/>
  <c r="AH145" i="17"/>
  <c r="O146" i="17"/>
  <c r="O70" i="15" s="1"/>
  <c r="P70" i="15"/>
  <c r="L157" i="17"/>
  <c r="L81" i="15" s="1"/>
  <c r="L153" i="17"/>
  <c r="L77" i="15" s="1"/>
  <c r="L154" i="17"/>
  <c r="L78" i="15" s="1"/>
  <c r="AK145" i="17"/>
  <c r="L151" i="17"/>
  <c r="L75" i="15" s="1"/>
  <c r="L149" i="17"/>
  <c r="L73" i="15" s="1"/>
  <c r="L150" i="17"/>
  <c r="L74" i="15" s="1"/>
  <c r="K151" i="17"/>
  <c r="K154" i="17"/>
  <c r="K152" i="17"/>
  <c r="K156" i="17"/>
  <c r="K155" i="17"/>
  <c r="K150" i="17"/>
  <c r="K153" i="17"/>
  <c r="K149" i="17"/>
  <c r="K157" i="17"/>
  <c r="M73" i="15"/>
  <c r="M82" i="15" s="1"/>
  <c r="M158" i="17"/>
  <c r="Q145" i="17"/>
  <c r="U145" i="17"/>
  <c r="AG145" i="17"/>
  <c r="R145" i="17"/>
  <c r="R137" i="17"/>
  <c r="AA145" i="17"/>
  <c r="T145" i="17"/>
  <c r="V145" i="17"/>
  <c r="AB145" i="17"/>
  <c r="AI145" i="17"/>
  <c r="Y145" i="17"/>
  <c r="AC145" i="17"/>
  <c r="AD145" i="17"/>
  <c r="N150" i="17"/>
  <c r="N74" i="15" s="1"/>
  <c r="N151" i="17"/>
  <c r="N75" i="15" s="1"/>
  <c r="N152" i="17"/>
  <c r="N76" i="15" s="1"/>
  <c r="N157" i="17"/>
  <c r="N81" i="15" s="1"/>
  <c r="N155" i="17"/>
  <c r="N79" i="15" s="1"/>
  <c r="N153" i="17"/>
  <c r="N77" i="15" s="1"/>
  <c r="N156" i="17"/>
  <c r="N80" i="15" s="1"/>
  <c r="N149" i="17"/>
  <c r="N154" i="17"/>
  <c r="N78" i="15" s="1"/>
  <c r="Z145" i="17"/>
  <c r="X145" i="17"/>
  <c r="AF145" i="17"/>
  <c r="AJ145" i="17"/>
  <c r="AE145" i="17"/>
  <c r="P61" i="36" l="1"/>
  <c r="R63" i="36"/>
  <c r="S60" i="36"/>
  <c r="S62" i="36"/>
  <c r="Q63" i="36"/>
  <c r="Q61" i="36"/>
  <c r="S59" i="36"/>
  <c r="S61" i="36" s="1"/>
  <c r="K45" i="35"/>
  <c r="K46" i="35" s="1"/>
  <c r="Q62" i="36"/>
  <c r="Q60" i="36"/>
  <c r="AH79" i="11"/>
  <c r="O61" i="36"/>
  <c r="O63" i="36"/>
  <c r="M61" i="36"/>
  <c r="M63" i="36"/>
  <c r="K26" i="10"/>
  <c r="K27" i="10" s="1"/>
  <c r="K61" i="10"/>
  <c r="K62" i="10" s="1"/>
  <c r="K14" i="10"/>
  <c r="K15" i="10" s="1"/>
  <c r="K47" i="10"/>
  <c r="K48" i="10" s="1"/>
  <c r="S137" i="17"/>
  <c r="S138" i="17" s="1"/>
  <c r="P63" i="11"/>
  <c r="P75" i="11" s="1"/>
  <c r="U81" i="16"/>
  <c r="V81" i="16" s="1"/>
  <c r="S78" i="11"/>
  <c r="S91" i="11" s="1"/>
  <c r="S91" i="16"/>
  <c r="Y84" i="16"/>
  <c r="V53" i="8"/>
  <c r="V44" i="36" s="1"/>
  <c r="V66" i="15" s="1"/>
  <c r="V72" i="15" s="1"/>
  <c r="V126" i="17"/>
  <c r="V90" i="16"/>
  <c r="V81" i="11" s="1"/>
  <c r="R46" i="11"/>
  <c r="R47" i="11" s="1"/>
  <c r="R13" i="11"/>
  <c r="R14" i="11" s="1"/>
  <c r="R60" i="11"/>
  <c r="R61" i="11" s="1"/>
  <c r="R25" i="11"/>
  <c r="R26" i="11" s="1"/>
  <c r="W103" i="14"/>
  <c r="V65" i="17" s="1"/>
  <c r="X102" i="14"/>
  <c r="AJ82" i="16"/>
  <c r="AI51" i="8"/>
  <c r="AI42" i="36" s="1"/>
  <c r="AI64" i="15" s="1"/>
  <c r="AI52" i="8"/>
  <c r="AI43" i="36" s="1"/>
  <c r="AI65" i="15" s="1"/>
  <c r="AI71" i="15" s="1"/>
  <c r="AI125" i="17"/>
  <c r="AI89" i="16"/>
  <c r="AI80" i="11" s="1"/>
  <c r="AI88" i="16"/>
  <c r="AI124" i="17"/>
  <c r="Q25" i="11"/>
  <c r="Q26" i="11" s="1"/>
  <c r="I35" i="1" s="1"/>
  <c r="Q13" i="11"/>
  <c r="Q14" i="11" s="1"/>
  <c r="Q46" i="11"/>
  <c r="Q47" i="11" s="1"/>
  <c r="I36" i="1" s="1"/>
  <c r="I40" i="1"/>
  <c r="Q60" i="11"/>
  <c r="Q61" i="11" s="1"/>
  <c r="I37" i="1" s="1"/>
  <c r="T50" i="8"/>
  <c r="T41" i="36" s="1"/>
  <c r="T63" i="15" s="1"/>
  <c r="T69" i="15" s="1"/>
  <c r="T123" i="17"/>
  <c r="T127" i="17" s="1"/>
  <c r="T87" i="16"/>
  <c r="W83" i="16"/>
  <c r="X83" i="16" s="1"/>
  <c r="U65" i="8"/>
  <c r="T65" i="8"/>
  <c r="T64" i="8"/>
  <c r="U64" i="8"/>
  <c r="P129" i="17"/>
  <c r="P137" i="17"/>
  <c r="P138" i="17" s="1"/>
  <c r="O137" i="17"/>
  <c r="O138" i="17" s="1"/>
  <c r="O145" i="17"/>
  <c r="O69" i="15" s="1"/>
  <c r="L82" i="15"/>
  <c r="L87" i="15" s="1"/>
  <c r="L158" i="17"/>
  <c r="K158" i="17"/>
  <c r="M85" i="15"/>
  <c r="M87" i="15"/>
  <c r="M86" i="15"/>
  <c r="N73" i="15"/>
  <c r="N82" i="15" s="1"/>
  <c r="N158" i="17"/>
  <c r="R138" i="17"/>
  <c r="R141" i="17"/>
  <c r="R142" i="17" s="1"/>
  <c r="R69" i="15"/>
  <c r="S69" i="15"/>
  <c r="Q69" i="15"/>
  <c r="P69" i="15"/>
  <c r="Q138" i="17"/>
  <c r="Q141" i="17"/>
  <c r="Q142" i="17" s="1"/>
  <c r="W81" i="16" l="1"/>
  <c r="X81" i="16" s="1"/>
  <c r="S63" i="36"/>
  <c r="AI79" i="11"/>
  <c r="T53" i="36"/>
  <c r="T57" i="36" s="1"/>
  <c r="T58" i="36" s="1"/>
  <c r="T59" i="36" s="1"/>
  <c r="K87" i="10"/>
  <c r="K47" i="35" s="1"/>
  <c r="K48" i="35" s="1"/>
  <c r="S141" i="17"/>
  <c r="S142" i="17" s="1"/>
  <c r="S151" i="17" s="1"/>
  <c r="S75" i="15" s="1"/>
  <c r="X53" i="8"/>
  <c r="X44" i="36" s="1"/>
  <c r="X66" i="15" s="1"/>
  <c r="X72" i="15" s="1"/>
  <c r="X90" i="16"/>
  <c r="X81" i="11" s="1"/>
  <c r="X126" i="17"/>
  <c r="T91" i="16"/>
  <c r="T78" i="11"/>
  <c r="T91" i="11" s="1"/>
  <c r="I34" i="1"/>
  <c r="Q63" i="11"/>
  <c r="Q75" i="11" s="1"/>
  <c r="I38" i="1" s="1"/>
  <c r="I41" i="1" s="1"/>
  <c r="Y102" i="14"/>
  <c r="X103" i="14"/>
  <c r="W65" i="17" s="1"/>
  <c r="V50" i="8"/>
  <c r="V41" i="36" s="1"/>
  <c r="V63" i="15" s="1"/>
  <c r="V69" i="15" s="1"/>
  <c r="V87" i="16"/>
  <c r="V123" i="17"/>
  <c r="V127" i="17" s="1"/>
  <c r="AK82" i="16"/>
  <c r="AJ51" i="8"/>
  <c r="AJ42" i="36" s="1"/>
  <c r="AJ64" i="15" s="1"/>
  <c r="AJ52" i="8"/>
  <c r="AJ43" i="36" s="1"/>
  <c r="AJ65" i="15" s="1"/>
  <c r="AJ71" i="15" s="1"/>
  <c r="AJ88" i="16"/>
  <c r="AJ125" i="17"/>
  <c r="AJ89" i="16"/>
  <c r="AJ80" i="11" s="1"/>
  <c r="AJ124" i="17"/>
  <c r="R63" i="11"/>
  <c r="R75" i="11" s="1"/>
  <c r="W53" i="8"/>
  <c r="W44" i="36" s="1"/>
  <c r="W66" i="15" s="1"/>
  <c r="W72" i="15" s="1"/>
  <c r="W126" i="17"/>
  <c r="W90" i="16"/>
  <c r="W81" i="11" s="1"/>
  <c r="Y83" i="16"/>
  <c r="Z83" i="16" s="1"/>
  <c r="S13" i="11"/>
  <c r="S14" i="11" s="1"/>
  <c r="S60" i="11"/>
  <c r="S61" i="11" s="1"/>
  <c r="S46" i="11"/>
  <c r="S47" i="11" s="1"/>
  <c r="S25" i="11"/>
  <c r="S26" i="11" s="1"/>
  <c r="W50" i="8"/>
  <c r="W41" i="36" s="1"/>
  <c r="W63" i="15" s="1"/>
  <c r="W69" i="15" s="1"/>
  <c r="W87" i="16"/>
  <c r="W123" i="17"/>
  <c r="T137" i="17"/>
  <c r="T146" i="17"/>
  <c r="T70" i="15" s="1"/>
  <c r="Z84" i="16"/>
  <c r="AA84" i="16"/>
  <c r="U50" i="8"/>
  <c r="U41" i="36" s="1"/>
  <c r="U63" i="15" s="1"/>
  <c r="U69" i="15" s="1"/>
  <c r="U87" i="16"/>
  <c r="U123" i="17"/>
  <c r="U127" i="17" s="1"/>
  <c r="O141" i="17"/>
  <c r="O142" i="17" s="1"/>
  <c r="O153" i="17" s="1"/>
  <c r="O77" i="15" s="1"/>
  <c r="P141" i="17"/>
  <c r="P142" i="17" s="1"/>
  <c r="P156" i="17" s="1"/>
  <c r="P80" i="15" s="1"/>
  <c r="L86" i="15"/>
  <c r="L18" i="15" s="1"/>
  <c r="L25" i="17" s="1"/>
  <c r="L26" i="17" s="1"/>
  <c r="L85" i="15"/>
  <c r="M38" i="36"/>
  <c r="M28" i="15"/>
  <c r="M46" i="17" s="1"/>
  <c r="M47" i="17" s="1"/>
  <c r="M28" i="36"/>
  <c r="M38" i="15"/>
  <c r="M11" i="36"/>
  <c r="M18" i="36"/>
  <c r="M18" i="15"/>
  <c r="M25" i="17" s="1"/>
  <c r="M26" i="17" s="1"/>
  <c r="M11" i="15"/>
  <c r="M13" i="17" s="1"/>
  <c r="M14" i="17" s="1"/>
  <c r="Q155" i="17"/>
  <c r="Q79" i="15" s="1"/>
  <c r="Q156" i="17"/>
  <c r="Q80" i="15" s="1"/>
  <c r="Q151" i="17"/>
  <c r="Q75" i="15" s="1"/>
  <c r="Q153" i="17"/>
  <c r="Q77" i="15" s="1"/>
  <c r="Q157" i="17"/>
  <c r="Q81" i="15" s="1"/>
  <c r="Q150" i="17"/>
  <c r="Q74" i="15" s="1"/>
  <c r="Q154" i="17"/>
  <c r="Q78" i="15" s="1"/>
  <c r="Q152" i="17"/>
  <c r="Q76" i="15" s="1"/>
  <c r="Q149" i="17"/>
  <c r="R151" i="17"/>
  <c r="R75" i="15" s="1"/>
  <c r="R155" i="17"/>
  <c r="R79" i="15" s="1"/>
  <c r="R153" i="17"/>
  <c r="R77" i="15" s="1"/>
  <c r="R157" i="17"/>
  <c r="R81" i="15" s="1"/>
  <c r="R149" i="17"/>
  <c r="R156" i="17"/>
  <c r="R80" i="15" s="1"/>
  <c r="R150" i="17"/>
  <c r="R74" i="15" s="1"/>
  <c r="R152" i="17"/>
  <c r="R76" i="15" s="1"/>
  <c r="R154" i="17"/>
  <c r="R78" i="15" s="1"/>
  <c r="N86" i="15"/>
  <c r="N85" i="15"/>
  <c r="N87" i="15"/>
  <c r="S154" i="17"/>
  <c r="S78" i="15" s="1"/>
  <c r="S150" i="17"/>
  <c r="S74" i="15" s="1"/>
  <c r="S153" i="17"/>
  <c r="S77" i="15" s="1"/>
  <c r="S152" i="17"/>
  <c r="S76" i="15" s="1"/>
  <c r="S156" i="17"/>
  <c r="S80" i="15" s="1"/>
  <c r="X123" i="17" l="1"/>
  <c r="X127" i="17" s="1"/>
  <c r="Y81" i="16"/>
  <c r="X50" i="8"/>
  <c r="X41" i="36" s="1"/>
  <c r="X63" i="15" s="1"/>
  <c r="X69" i="15" s="1"/>
  <c r="X87" i="16"/>
  <c r="X53" i="36" s="1"/>
  <c r="X57" i="36" s="1"/>
  <c r="X58" i="36" s="1"/>
  <c r="T63" i="36"/>
  <c r="T61" i="36"/>
  <c r="W53" i="36"/>
  <c r="W57" i="36" s="1"/>
  <c r="W58" i="36" s="1"/>
  <c r="W59" i="36" s="1"/>
  <c r="V53" i="36"/>
  <c r="V57" i="36" s="1"/>
  <c r="V58" i="36" s="1"/>
  <c r="U53" i="36"/>
  <c r="U57" i="36" s="1"/>
  <c r="U58" i="36" s="1"/>
  <c r="U59" i="36" s="1"/>
  <c r="T60" i="36"/>
  <c r="T62" i="36"/>
  <c r="AJ79" i="11"/>
  <c r="S157" i="17"/>
  <c r="S81" i="15" s="1"/>
  <c r="S149" i="17"/>
  <c r="S155" i="17"/>
  <c r="S79" i="15" s="1"/>
  <c r="L38" i="15"/>
  <c r="L60" i="17" s="1"/>
  <c r="L28" i="36"/>
  <c r="O151" i="17"/>
  <c r="O75" i="15" s="1"/>
  <c r="W127" i="17"/>
  <c r="U78" i="11"/>
  <c r="U91" i="11" s="1"/>
  <c r="U91" i="16"/>
  <c r="AB84" i="16"/>
  <c r="T141" i="17"/>
  <c r="T142" i="17" s="1"/>
  <c r="T138" i="17"/>
  <c r="Y53" i="8"/>
  <c r="Y44" i="36" s="1"/>
  <c r="Y66" i="15" s="1"/>
  <c r="Y72" i="15" s="1"/>
  <c r="Y90" i="16"/>
  <c r="Y81" i="11" s="1"/>
  <c r="Y126" i="17"/>
  <c r="V78" i="11"/>
  <c r="V91" i="16"/>
  <c r="Z102" i="14"/>
  <c r="Y103" i="14"/>
  <c r="X65" i="17" s="1"/>
  <c r="T25" i="11"/>
  <c r="T26" i="11" s="1"/>
  <c r="T46" i="11"/>
  <c r="T47" i="11" s="1"/>
  <c r="T13" i="11"/>
  <c r="T14" i="11" s="1"/>
  <c r="T60" i="11"/>
  <c r="T61" i="11" s="1"/>
  <c r="Z53" i="8"/>
  <c r="Z44" i="36" s="1"/>
  <c r="Z66" i="15" s="1"/>
  <c r="Z72" i="15" s="1"/>
  <c r="Z90" i="16"/>
  <c r="Z81" i="11" s="1"/>
  <c r="Z126" i="17"/>
  <c r="Y50" i="8"/>
  <c r="Y41" i="36" s="1"/>
  <c r="Y63" i="15" s="1"/>
  <c r="Y69" i="15" s="1"/>
  <c r="Y87" i="16"/>
  <c r="Y123" i="17"/>
  <c r="W137" i="17"/>
  <c r="W146" i="17"/>
  <c r="W70" i="15" s="1"/>
  <c r="S63" i="11"/>
  <c r="S75" i="11" s="1"/>
  <c r="AK52" i="8"/>
  <c r="AK43" i="36" s="1"/>
  <c r="AK65" i="15" s="1"/>
  <c r="AK71" i="15" s="1"/>
  <c r="AK51" i="8"/>
  <c r="AK42" i="36" s="1"/>
  <c r="AK64" i="15" s="1"/>
  <c r="AK125" i="17"/>
  <c r="AK89" i="16"/>
  <c r="AK80" i="11" s="1"/>
  <c r="AK88" i="16"/>
  <c r="AK124" i="17"/>
  <c r="W78" i="11"/>
  <c r="W91" i="16"/>
  <c r="AA83" i="16"/>
  <c r="U137" i="17"/>
  <c r="U146" i="17"/>
  <c r="U70" i="15" s="1"/>
  <c r="Z81" i="16"/>
  <c r="AB83" i="16"/>
  <c r="V146" i="17"/>
  <c r="V70" i="15" s="1"/>
  <c r="V137" i="17"/>
  <c r="X146" i="17"/>
  <c r="X70" i="15" s="1"/>
  <c r="X137" i="17"/>
  <c r="O156" i="17"/>
  <c r="O80" i="15" s="1"/>
  <c r="O152" i="17"/>
  <c r="O76" i="15" s="1"/>
  <c r="O154" i="17"/>
  <c r="O78" i="15" s="1"/>
  <c r="O155" i="17"/>
  <c r="O79" i="15" s="1"/>
  <c r="O157" i="17"/>
  <c r="O81" i="15" s="1"/>
  <c r="O149" i="17"/>
  <c r="O73" i="15" s="1"/>
  <c r="P154" i="17"/>
  <c r="P78" i="15" s="1"/>
  <c r="O150" i="17"/>
  <c r="O74" i="15" s="1"/>
  <c r="P149" i="17"/>
  <c r="P73" i="15" s="1"/>
  <c r="P151" i="17"/>
  <c r="P75" i="15" s="1"/>
  <c r="P153" i="17"/>
  <c r="P77" i="15" s="1"/>
  <c r="P155" i="17"/>
  <c r="P79" i="15" s="1"/>
  <c r="P157" i="17"/>
  <c r="P81" i="15" s="1"/>
  <c r="P150" i="17"/>
  <c r="P74" i="15" s="1"/>
  <c r="P152" i="17"/>
  <c r="P76" i="15" s="1"/>
  <c r="L11" i="36"/>
  <c r="L28" i="15"/>
  <c r="L46" i="17" s="1"/>
  <c r="L47" i="17" s="1"/>
  <c r="L18" i="36"/>
  <c r="L18" i="35" s="1"/>
  <c r="L19" i="35" s="1"/>
  <c r="L38" i="36"/>
  <c r="L11" i="15"/>
  <c r="L13" i="17" s="1"/>
  <c r="L14" i="17" s="1"/>
  <c r="M18" i="35"/>
  <c r="M19" i="35" s="1"/>
  <c r="M58" i="17"/>
  <c r="M60" i="17"/>
  <c r="M31" i="35"/>
  <c r="M32" i="35" s="1"/>
  <c r="M10" i="35"/>
  <c r="M11" i="35" s="1"/>
  <c r="S73" i="15"/>
  <c r="R73" i="15"/>
  <c r="R82" i="15" s="1"/>
  <c r="R158" i="17"/>
  <c r="Q73" i="15"/>
  <c r="Q82" i="15" s="1"/>
  <c r="Q158" i="17"/>
  <c r="N11" i="15"/>
  <c r="N13" i="17" s="1"/>
  <c r="N18" i="15"/>
  <c r="N25" i="17" s="1"/>
  <c r="N11" i="36"/>
  <c r="N28" i="15"/>
  <c r="N46" i="17" s="1"/>
  <c r="N18" i="36"/>
  <c r="N38" i="15"/>
  <c r="N60" i="17" s="1"/>
  <c r="N38" i="36"/>
  <c r="N28" i="36"/>
  <c r="S158" i="17" l="1"/>
  <c r="L58" i="17"/>
  <c r="X91" i="16"/>
  <c r="X78" i="11"/>
  <c r="X91" i="11" s="1"/>
  <c r="X25" i="11" s="1"/>
  <c r="X26" i="11" s="1"/>
  <c r="U63" i="36"/>
  <c r="U61" i="36"/>
  <c r="W63" i="36"/>
  <c r="W61" i="36"/>
  <c r="Y53" i="36"/>
  <c r="Y57" i="36" s="1"/>
  <c r="Y58" i="36" s="1"/>
  <c r="Y59" i="36" s="1"/>
  <c r="X60" i="36"/>
  <c r="X62" i="36"/>
  <c r="V62" i="36"/>
  <c r="V60" i="36"/>
  <c r="U60" i="36"/>
  <c r="U62" i="36"/>
  <c r="W62" i="36"/>
  <c r="W60" i="36"/>
  <c r="AK79" i="11"/>
  <c r="X59" i="36"/>
  <c r="V59" i="36"/>
  <c r="S82" i="15"/>
  <c r="S87" i="15" s="1"/>
  <c r="L10" i="35"/>
  <c r="L11" i="35" s="1"/>
  <c r="L31" i="35"/>
  <c r="L32" i="35" s="1"/>
  <c r="Y127" i="17"/>
  <c r="V91" i="11"/>
  <c r="V46" i="11" s="1"/>
  <c r="V47" i="11" s="1"/>
  <c r="W77" i="11"/>
  <c r="L71" i="17"/>
  <c r="L164" i="17" s="1"/>
  <c r="AB53" i="8"/>
  <c r="AB44" i="36" s="1"/>
  <c r="AB66" i="15" s="1"/>
  <c r="AB72" i="15" s="1"/>
  <c r="AB126" i="17"/>
  <c r="AB90" i="16"/>
  <c r="AB81" i="11" s="1"/>
  <c r="U138" i="17"/>
  <c r="U141" i="17"/>
  <c r="U142" i="17" s="1"/>
  <c r="AC83" i="16"/>
  <c r="AC84" i="16"/>
  <c r="AD84" i="16" s="1"/>
  <c r="Z50" i="8"/>
  <c r="Z41" i="36" s="1"/>
  <c r="Z63" i="15" s="1"/>
  <c r="Z69" i="15" s="1"/>
  <c r="Z87" i="16"/>
  <c r="Z123" i="17"/>
  <c r="Z127" i="17" s="1"/>
  <c r="AA53" i="8"/>
  <c r="AA44" i="36" s="1"/>
  <c r="AA66" i="15" s="1"/>
  <c r="AA72" i="15" s="1"/>
  <c r="AA126" i="17"/>
  <c r="AA90" i="16"/>
  <c r="AA81" i="11" s="1"/>
  <c r="T63" i="11"/>
  <c r="T75" i="11" s="1"/>
  <c r="Z103" i="14"/>
  <c r="Y65" i="17" s="1"/>
  <c r="AA102" i="14"/>
  <c r="V138" i="17"/>
  <c r="V141" i="17"/>
  <c r="V142" i="17" s="1"/>
  <c r="AA81" i="16"/>
  <c r="Y146" i="17"/>
  <c r="Y137" i="17"/>
  <c r="T156" i="17"/>
  <c r="T80" i="15" s="1"/>
  <c r="T153" i="17"/>
  <c r="T77" i="15" s="1"/>
  <c r="T154" i="17"/>
  <c r="T78" i="15" s="1"/>
  <c r="T150" i="17"/>
  <c r="T74" i="15" s="1"/>
  <c r="T152" i="17"/>
  <c r="T76" i="15" s="1"/>
  <c r="T151" i="17"/>
  <c r="T75" i="15" s="1"/>
  <c r="T149" i="17"/>
  <c r="T157" i="17"/>
  <c r="T81" i="15" s="1"/>
  <c r="T155" i="17"/>
  <c r="T79" i="15" s="1"/>
  <c r="X141" i="17"/>
  <c r="X142" i="17" s="1"/>
  <c r="X138" i="17"/>
  <c r="W138" i="17"/>
  <c r="W141" i="17"/>
  <c r="W142" i="17" s="1"/>
  <c r="Y78" i="11"/>
  <c r="Y91" i="11" s="1"/>
  <c r="Y91" i="16"/>
  <c r="X13" i="11"/>
  <c r="X14" i="11" s="1"/>
  <c r="U60" i="11"/>
  <c r="U61" i="11" s="1"/>
  <c r="U13" i="11"/>
  <c r="U14" i="11" s="1"/>
  <c r="U46" i="11"/>
  <c r="U47" i="11" s="1"/>
  <c r="U25" i="11"/>
  <c r="U26" i="11" s="1"/>
  <c r="O158" i="17"/>
  <c r="O82" i="15"/>
  <c r="O86" i="15" s="1"/>
  <c r="P82" i="15"/>
  <c r="P85" i="15" s="1"/>
  <c r="P158" i="17"/>
  <c r="M71" i="17"/>
  <c r="M166" i="17" s="1"/>
  <c r="M42" i="35"/>
  <c r="M59" i="10"/>
  <c r="M61" i="17"/>
  <c r="M41" i="35"/>
  <c r="N18" i="35"/>
  <c r="N19" i="35" s="1"/>
  <c r="N31" i="35"/>
  <c r="N32" i="35" s="1"/>
  <c r="L42" i="35"/>
  <c r="N14" i="17"/>
  <c r="N47" i="17"/>
  <c r="N10" i="35"/>
  <c r="N11" i="35" s="1"/>
  <c r="N58" i="17"/>
  <c r="N71" i="17"/>
  <c r="N26" i="17"/>
  <c r="Q86" i="15"/>
  <c r="Q87" i="15"/>
  <c r="Q85" i="15"/>
  <c r="L61" i="17"/>
  <c r="L41" i="35"/>
  <c r="L59" i="10"/>
  <c r="R87" i="15"/>
  <c r="R86" i="15"/>
  <c r="R85" i="15"/>
  <c r="X46" i="11" l="1"/>
  <c r="X47" i="11" s="1"/>
  <c r="X60" i="11"/>
  <c r="X61" i="11" s="1"/>
  <c r="S85" i="15"/>
  <c r="V60" i="11"/>
  <c r="V61" i="11" s="1"/>
  <c r="S86" i="15"/>
  <c r="L166" i="17"/>
  <c r="V25" i="11"/>
  <c r="V26" i="11" s="1"/>
  <c r="V13" i="11"/>
  <c r="V14" i="11" s="1"/>
  <c r="L165" i="17"/>
  <c r="L72" i="17"/>
  <c r="Y61" i="36"/>
  <c r="Y63" i="36"/>
  <c r="P86" i="15"/>
  <c r="Z53" i="36"/>
  <c r="Z57" i="36" s="1"/>
  <c r="Z58" i="36" s="1"/>
  <c r="V61" i="36"/>
  <c r="V63" i="36"/>
  <c r="X63" i="36"/>
  <c r="X61" i="36"/>
  <c r="Y60" i="36"/>
  <c r="Y62" i="36"/>
  <c r="L163" i="17"/>
  <c r="L43" i="35"/>
  <c r="L45" i="35" s="1"/>
  <c r="L46" i="35" s="1"/>
  <c r="P87" i="15"/>
  <c r="T73" i="15"/>
  <c r="T82" i="15" s="1"/>
  <c r="T158" i="17"/>
  <c r="Y70" i="15"/>
  <c r="Z146" i="17"/>
  <c r="Z137" i="17"/>
  <c r="AC53" i="8"/>
  <c r="AC44" i="36" s="1"/>
  <c r="AC66" i="15" s="1"/>
  <c r="AC72" i="15" s="1"/>
  <c r="AC90" i="16"/>
  <c r="AC81" i="11" s="1"/>
  <c r="AC126" i="17"/>
  <c r="U63" i="11"/>
  <c r="U75" i="11" s="1"/>
  <c r="Y60" i="11"/>
  <c r="Y61" i="11" s="1"/>
  <c r="Y13" i="11"/>
  <c r="Y14" i="11" s="1"/>
  <c r="Y25" i="11"/>
  <c r="Y26" i="11" s="1"/>
  <c r="Y46" i="11"/>
  <c r="Y47" i="11" s="1"/>
  <c r="X150" i="17"/>
  <c r="X74" i="15" s="1"/>
  <c r="X154" i="17"/>
  <c r="X78" i="15" s="1"/>
  <c r="X152" i="17"/>
  <c r="X76" i="15" s="1"/>
  <c r="X156" i="17"/>
  <c r="X80" i="15" s="1"/>
  <c r="X149" i="17"/>
  <c r="X155" i="17"/>
  <c r="X79" i="15" s="1"/>
  <c r="X151" i="17"/>
  <c r="X75" i="15" s="1"/>
  <c r="X157" i="17"/>
  <c r="X81" i="15" s="1"/>
  <c r="X153" i="17"/>
  <c r="X77" i="15" s="1"/>
  <c r="AA50" i="8"/>
  <c r="AA41" i="36" s="1"/>
  <c r="AA63" i="15" s="1"/>
  <c r="AA69" i="15" s="1"/>
  <c r="AA87" i="16"/>
  <c r="AA123" i="17"/>
  <c r="AA127" i="17" s="1"/>
  <c r="AB81" i="16"/>
  <c r="AD83" i="16"/>
  <c r="U152" i="17"/>
  <c r="U76" i="15" s="1"/>
  <c r="U149" i="17"/>
  <c r="U154" i="17"/>
  <c r="U78" i="15" s="1"/>
  <c r="U157" i="17"/>
  <c r="U81" i="15" s="1"/>
  <c r="U156" i="17"/>
  <c r="U80" i="15" s="1"/>
  <c r="U153" i="17"/>
  <c r="U77" i="15" s="1"/>
  <c r="U150" i="17"/>
  <c r="U74" i="15" s="1"/>
  <c r="U151" i="17"/>
  <c r="U75" i="15" s="1"/>
  <c r="U155" i="17"/>
  <c r="U79" i="15" s="1"/>
  <c r="W153" i="17"/>
  <c r="W77" i="15" s="1"/>
  <c r="W151" i="17"/>
  <c r="W75" i="15" s="1"/>
  <c r="W149" i="17"/>
  <c r="W154" i="17"/>
  <c r="W78" i="15" s="1"/>
  <c r="W150" i="17"/>
  <c r="W74" i="15" s="1"/>
  <c r="W157" i="17"/>
  <c r="W81" i="15" s="1"/>
  <c r="W156" i="17"/>
  <c r="W80" i="15" s="1"/>
  <c r="W155" i="17"/>
  <c r="W79" i="15" s="1"/>
  <c r="W152" i="17"/>
  <c r="W76" i="15" s="1"/>
  <c r="V151" i="17"/>
  <c r="V75" i="15" s="1"/>
  <c r="V155" i="17"/>
  <c r="V79" i="15" s="1"/>
  <c r="V154" i="17"/>
  <c r="V78" i="15" s="1"/>
  <c r="V157" i="17"/>
  <c r="V81" i="15" s="1"/>
  <c r="V156" i="17"/>
  <c r="V80" i="15" s="1"/>
  <c r="V152" i="17"/>
  <c r="V76" i="15" s="1"/>
  <c r="V153" i="17"/>
  <c r="V77" i="15" s="1"/>
  <c r="V149" i="17"/>
  <c r="V150" i="17"/>
  <c r="V74" i="15" s="1"/>
  <c r="AB102" i="14"/>
  <c r="AA103" i="14"/>
  <c r="Z65" i="17" s="1"/>
  <c r="Z78" i="11"/>
  <c r="Z91" i="11" s="1"/>
  <c r="Z91" i="16"/>
  <c r="AE84" i="16"/>
  <c r="AF84" i="16" s="1"/>
  <c r="X63" i="11"/>
  <c r="X75" i="11" s="1"/>
  <c r="Y141" i="17"/>
  <c r="Y142" i="17" s="1"/>
  <c r="Y138" i="17"/>
  <c r="AC81" i="16"/>
  <c r="AE83" i="16"/>
  <c r="O87" i="15"/>
  <c r="O85" i="15"/>
  <c r="M43" i="35"/>
  <c r="M45" i="35" s="1"/>
  <c r="M46" i="35" s="1"/>
  <c r="M72" i="17"/>
  <c r="M165" i="17"/>
  <c r="M163" i="17"/>
  <c r="M164" i="17"/>
  <c r="N72" i="17"/>
  <c r="N165" i="17"/>
  <c r="N163" i="17"/>
  <c r="N164" i="17"/>
  <c r="S38" i="15"/>
  <c r="S18" i="15"/>
  <c r="S25" i="17" s="1"/>
  <c r="S11" i="36"/>
  <c r="S18" i="36"/>
  <c r="S38" i="36"/>
  <c r="S28" i="36"/>
  <c r="S11" i="15"/>
  <c r="S13" i="17" s="1"/>
  <c r="S28" i="15"/>
  <c r="S46" i="17" s="1"/>
  <c r="N59" i="10"/>
  <c r="N58" i="18"/>
  <c r="N41" i="35"/>
  <c r="N61" i="17"/>
  <c r="L78" i="17"/>
  <c r="L84" i="17" s="1"/>
  <c r="L73" i="10" s="1"/>
  <c r="L75" i="17"/>
  <c r="L76" i="17"/>
  <c r="L77" i="17"/>
  <c r="L83" i="17" s="1"/>
  <c r="L72" i="10" s="1"/>
  <c r="R18" i="15"/>
  <c r="R25" i="17" s="1"/>
  <c r="R11" i="36"/>
  <c r="R28" i="36"/>
  <c r="R38" i="36"/>
  <c r="R11" i="15"/>
  <c r="R13" i="17" s="1"/>
  <c r="R18" i="36"/>
  <c r="R38" i="15"/>
  <c r="R28" i="15"/>
  <c r="R46" i="17" s="1"/>
  <c r="O28" i="15"/>
  <c r="O46" i="17" s="1"/>
  <c r="O11" i="15"/>
  <c r="O13" i="17" s="1"/>
  <c r="O28" i="36"/>
  <c r="O38" i="15"/>
  <c r="O38" i="36"/>
  <c r="O18" i="15"/>
  <c r="O25" i="17" s="1"/>
  <c r="O11" i="36"/>
  <c r="O18" i="36"/>
  <c r="Q28" i="36"/>
  <c r="Q28" i="15"/>
  <c r="Q46" i="17" s="1"/>
  <c r="Q11" i="15"/>
  <c r="Q13" i="17" s="1"/>
  <c r="Q18" i="36"/>
  <c r="Q18" i="15"/>
  <c r="Q25" i="17" s="1"/>
  <c r="Q38" i="15"/>
  <c r="Q11" i="36"/>
  <c r="Q38" i="36"/>
  <c r="P18" i="36"/>
  <c r="P28" i="36"/>
  <c r="P38" i="36"/>
  <c r="P28" i="15"/>
  <c r="P46" i="17" s="1"/>
  <c r="P11" i="36"/>
  <c r="P38" i="15"/>
  <c r="P18" i="15"/>
  <c r="P25" i="17" s="1"/>
  <c r="P11" i="15"/>
  <c r="P13" i="17" s="1"/>
  <c r="N42" i="35"/>
  <c r="N166" i="17"/>
  <c r="V63" i="11" l="1"/>
  <c r="V75" i="11" s="1"/>
  <c r="Z62" i="36"/>
  <c r="Z60" i="36"/>
  <c r="AA53" i="36"/>
  <c r="AA57" i="36" s="1"/>
  <c r="AA58" i="36" s="1"/>
  <c r="AA59" i="36" s="1"/>
  <c r="Z59" i="36"/>
  <c r="L81" i="17"/>
  <c r="L66" i="10" s="1"/>
  <c r="L67" i="10" s="1"/>
  <c r="L70" i="10" s="1"/>
  <c r="L82" i="17"/>
  <c r="L71" i="10" s="1"/>
  <c r="Y63" i="11"/>
  <c r="Y75" i="11" s="1"/>
  <c r="AG84" i="16"/>
  <c r="U158" i="17"/>
  <c r="U73" i="15"/>
  <c r="U82" i="15" s="1"/>
  <c r="AB50" i="8"/>
  <c r="AB41" i="36" s="1"/>
  <c r="AB63" i="15" s="1"/>
  <c r="AB69" i="15" s="1"/>
  <c r="AB87" i="16"/>
  <c r="AB123" i="17"/>
  <c r="AB127" i="17" s="1"/>
  <c r="AD81" i="16"/>
  <c r="Z141" i="17"/>
  <c r="Z142" i="17" s="1"/>
  <c r="Z138" i="17"/>
  <c r="AE53" i="8"/>
  <c r="AE44" i="36" s="1"/>
  <c r="AE66" i="15" s="1"/>
  <c r="AE72" i="15" s="1"/>
  <c r="AE126" i="17"/>
  <c r="AE90" i="16"/>
  <c r="AE81" i="11" s="1"/>
  <c r="Y154" i="17"/>
  <c r="Y78" i="15" s="1"/>
  <c r="Y155" i="17"/>
  <c r="Y79" i="15" s="1"/>
  <c r="Y157" i="17"/>
  <c r="Y81" i="15" s="1"/>
  <c r="Y151" i="17"/>
  <c r="Y75" i="15" s="1"/>
  <c r="Y150" i="17"/>
  <c r="Y74" i="15" s="1"/>
  <c r="Y149" i="17"/>
  <c r="Y152" i="17"/>
  <c r="Y76" i="15" s="1"/>
  <c r="Y153" i="17"/>
  <c r="Y77" i="15" s="1"/>
  <c r="Y156" i="17"/>
  <c r="Y80" i="15" s="1"/>
  <c r="AC102" i="14"/>
  <c r="AB103" i="14"/>
  <c r="AA65" i="17" s="1"/>
  <c r="W73" i="15"/>
  <c r="W82" i="15" s="1"/>
  <c r="W158" i="17"/>
  <c r="AA146" i="17"/>
  <c r="AA137" i="17"/>
  <c r="Z70" i="15"/>
  <c r="T86" i="15"/>
  <c r="T85" i="15"/>
  <c r="T87" i="15"/>
  <c r="Z25" i="11"/>
  <c r="Z26" i="11" s="1"/>
  <c r="Z60" i="11"/>
  <c r="Z61" i="11" s="1"/>
  <c r="Z13" i="11"/>
  <c r="Z14" i="11" s="1"/>
  <c r="Z46" i="11"/>
  <c r="Z47" i="11" s="1"/>
  <c r="AD53" i="8"/>
  <c r="AD44" i="36" s="1"/>
  <c r="AD66" i="15" s="1"/>
  <c r="AD72" i="15" s="1"/>
  <c r="AD126" i="17"/>
  <c r="AD90" i="16"/>
  <c r="AD81" i="11" s="1"/>
  <c r="X73" i="15"/>
  <c r="X82" i="15" s="1"/>
  <c r="X158" i="17"/>
  <c r="AC50" i="8"/>
  <c r="AC41" i="36" s="1"/>
  <c r="AC63" i="15" s="1"/>
  <c r="AC69" i="15" s="1"/>
  <c r="AC87" i="16"/>
  <c r="AC123" i="17"/>
  <c r="AC127" i="17" s="1"/>
  <c r="AE81" i="16"/>
  <c r="V73" i="15"/>
  <c r="V82" i="15" s="1"/>
  <c r="V158" i="17"/>
  <c r="AF83" i="16"/>
  <c r="AA78" i="11"/>
  <c r="AA91" i="11" s="1"/>
  <c r="AA91" i="16"/>
  <c r="M76" i="17"/>
  <c r="M77" i="17"/>
  <c r="M83" i="17" s="1"/>
  <c r="M72" i="10" s="1"/>
  <c r="M78" i="17"/>
  <c r="M84" i="17" s="1"/>
  <c r="M73" i="10" s="1"/>
  <c r="M75" i="17"/>
  <c r="O18" i="35"/>
  <c r="O19" i="35" s="1"/>
  <c r="Q18" i="35"/>
  <c r="Q19" i="35" s="1"/>
  <c r="J58" i="1" s="1"/>
  <c r="K58" i="1" s="1"/>
  <c r="O10" i="35"/>
  <c r="O11" i="35" s="1"/>
  <c r="O31" i="35"/>
  <c r="O32" i="35" s="1"/>
  <c r="S18" i="35"/>
  <c r="S19" i="35" s="1"/>
  <c r="P14" i="17"/>
  <c r="P47" i="17"/>
  <c r="O60" i="17"/>
  <c r="O71" i="17" s="1"/>
  <c r="O72" i="17" s="1"/>
  <c r="O76" i="17" s="1"/>
  <c r="O82" i="17" s="1"/>
  <c r="O58" i="17"/>
  <c r="R14" i="17"/>
  <c r="R26" i="17"/>
  <c r="S47" i="17"/>
  <c r="P26" i="17"/>
  <c r="K67" i="1"/>
  <c r="L67" i="1" s="1"/>
  <c r="Q10" i="35"/>
  <c r="Q11" i="35" s="1"/>
  <c r="J57" i="1" s="1"/>
  <c r="K57" i="1" s="1"/>
  <c r="Q14" i="17"/>
  <c r="R47" i="17"/>
  <c r="S14" i="17"/>
  <c r="S10" i="35"/>
  <c r="S11" i="35" s="1"/>
  <c r="P60" i="17"/>
  <c r="P42" i="35" s="1"/>
  <c r="P58" i="17"/>
  <c r="P31" i="35"/>
  <c r="P32" i="35" s="1"/>
  <c r="Q60" i="17"/>
  <c r="Q42" i="35" s="1"/>
  <c r="Q58" i="17"/>
  <c r="Q47" i="17"/>
  <c r="O26" i="17"/>
  <c r="O14" i="17"/>
  <c r="R60" i="17"/>
  <c r="R58" i="17"/>
  <c r="R31" i="35"/>
  <c r="R32" i="35" s="1"/>
  <c r="N43" i="35"/>
  <c r="N45" i="35" s="1"/>
  <c r="N46" i="35" s="1"/>
  <c r="S31" i="35"/>
  <c r="S32" i="35" s="1"/>
  <c r="S26" i="17"/>
  <c r="P10" i="35"/>
  <c r="P11" i="35" s="1"/>
  <c r="P18" i="35"/>
  <c r="P19" i="35" s="1"/>
  <c r="Q26" i="17"/>
  <c r="K69" i="1"/>
  <c r="L69" i="1" s="1"/>
  <c r="Q31" i="35"/>
  <c r="Q32" i="35" s="1"/>
  <c r="J59" i="1" s="1"/>
  <c r="K59" i="1" s="1"/>
  <c r="O47" i="17"/>
  <c r="R18" i="35"/>
  <c r="R19" i="35" s="1"/>
  <c r="R10" i="35"/>
  <c r="R11" i="35" s="1"/>
  <c r="S58" i="17"/>
  <c r="S60" i="17"/>
  <c r="S71" i="17" s="1"/>
  <c r="N75" i="17"/>
  <c r="N81" i="17" s="1"/>
  <c r="N76" i="17"/>
  <c r="N82" i="17" s="1"/>
  <c r="N77" i="17"/>
  <c r="N83" i="17" s="1"/>
  <c r="N80" i="18" s="1"/>
  <c r="N78" i="17"/>
  <c r="N84" i="17" s="1"/>
  <c r="AA63" i="36" l="1"/>
  <c r="AA61" i="36"/>
  <c r="AA60" i="36"/>
  <c r="AA62" i="36"/>
  <c r="AC53" i="36"/>
  <c r="AC57" i="36" s="1"/>
  <c r="AC58" i="36" s="1"/>
  <c r="AC59" i="36" s="1"/>
  <c r="L83" i="10"/>
  <c r="L47" i="10" s="1"/>
  <c r="L48" i="10" s="1"/>
  <c r="AB53" i="36"/>
  <c r="AB57" i="36" s="1"/>
  <c r="AB58" i="36" s="1"/>
  <c r="Z61" i="36"/>
  <c r="Z63" i="36"/>
  <c r="M82" i="17"/>
  <c r="M71" i="10" s="1"/>
  <c r="M81" i="17"/>
  <c r="M66" i="10" s="1"/>
  <c r="M67" i="10" s="1"/>
  <c r="M70" i="10" s="1"/>
  <c r="AC146" i="17"/>
  <c r="AC137" i="17"/>
  <c r="AB146" i="17"/>
  <c r="AB137" i="17"/>
  <c r="V86" i="15"/>
  <c r="V87" i="15"/>
  <c r="V85" i="15"/>
  <c r="Z63" i="11"/>
  <c r="Z75" i="11" s="1"/>
  <c r="W87" i="15"/>
  <c r="W85" i="15"/>
  <c r="W86" i="15"/>
  <c r="U86" i="15"/>
  <c r="U85" i="15"/>
  <c r="U87" i="15"/>
  <c r="AH84" i="16"/>
  <c r="AA13" i="11"/>
  <c r="AA14" i="11" s="1"/>
  <c r="AA60" i="11"/>
  <c r="AA61" i="11" s="1"/>
  <c r="AA25" i="11"/>
  <c r="AA26" i="11" s="1"/>
  <c r="AA46" i="11"/>
  <c r="AA47" i="11" s="1"/>
  <c r="AE50" i="8"/>
  <c r="AE41" i="36" s="1"/>
  <c r="AE63" i="15" s="1"/>
  <c r="AE69" i="15" s="1"/>
  <c r="AE87" i="16"/>
  <c r="AE123" i="17"/>
  <c r="AE127" i="17" s="1"/>
  <c r="AC78" i="11"/>
  <c r="AC91" i="11" s="1"/>
  <c r="AC91" i="16"/>
  <c r="X85" i="15"/>
  <c r="X87" i="15"/>
  <c r="X86" i="15"/>
  <c r="T18" i="15"/>
  <c r="T25" i="17" s="1"/>
  <c r="T26" i="17" s="1"/>
  <c r="T28" i="36"/>
  <c r="T38" i="15"/>
  <c r="T11" i="36"/>
  <c r="T18" i="36"/>
  <c r="T28" i="15"/>
  <c r="T46" i="17" s="1"/>
  <c r="T47" i="17" s="1"/>
  <c r="T38" i="36"/>
  <c r="T11" i="15"/>
  <c r="T13" i="17" s="1"/>
  <c r="T14" i="17" s="1"/>
  <c r="AA141" i="17"/>
  <c r="AA142" i="17" s="1"/>
  <c r="AA138" i="17"/>
  <c r="Z156" i="17"/>
  <c r="Z80" i="15" s="1"/>
  <c r="Z155" i="17"/>
  <c r="Z79" i="15" s="1"/>
  <c r="Z153" i="17"/>
  <c r="Z77" i="15" s="1"/>
  <c r="Z151" i="17"/>
  <c r="Z75" i="15" s="1"/>
  <c r="Z150" i="17"/>
  <c r="Z74" i="15" s="1"/>
  <c r="Z149" i="17"/>
  <c r="Z152" i="17"/>
  <c r="Z76" i="15" s="1"/>
  <c r="Z157" i="17"/>
  <c r="Z81" i="15" s="1"/>
  <c r="Z154" i="17"/>
  <c r="Z78" i="15" s="1"/>
  <c r="AB78" i="11"/>
  <c r="AB91" i="11" s="1"/>
  <c r="AB91" i="16"/>
  <c r="AF81" i="16"/>
  <c r="AG81" i="16" s="1"/>
  <c r="AF53" i="8"/>
  <c r="AF44" i="36" s="1"/>
  <c r="AF66" i="15" s="1"/>
  <c r="AF72" i="15" s="1"/>
  <c r="AF126" i="17"/>
  <c r="AF90" i="16"/>
  <c r="AF81" i="11" s="1"/>
  <c r="AG83" i="16"/>
  <c r="AA70" i="15"/>
  <c r="AD102" i="14"/>
  <c r="AC103" i="14"/>
  <c r="AB65" i="17" s="1"/>
  <c r="Y73" i="15"/>
  <c r="Y82" i="15" s="1"/>
  <c r="Y158" i="17"/>
  <c r="AD50" i="8"/>
  <c r="AD41" i="36" s="1"/>
  <c r="AD63" i="15" s="1"/>
  <c r="AD69" i="15" s="1"/>
  <c r="AD87" i="16"/>
  <c r="AD123" i="17"/>
  <c r="AD127" i="17" s="1"/>
  <c r="O165" i="17"/>
  <c r="O164" i="17"/>
  <c r="O163" i="17"/>
  <c r="S166" i="17"/>
  <c r="S72" i="17"/>
  <c r="S164" i="17"/>
  <c r="S165" i="17"/>
  <c r="S163" i="17"/>
  <c r="N73" i="10"/>
  <c r="N81" i="18"/>
  <c r="N88" i="18" s="1"/>
  <c r="P59" i="10"/>
  <c r="P41" i="35"/>
  <c r="P43" i="35" s="1"/>
  <c r="P45" i="35" s="1"/>
  <c r="P46" i="35" s="1"/>
  <c r="P61" i="17"/>
  <c r="P58" i="18"/>
  <c r="Q71" i="17"/>
  <c r="O42" i="35"/>
  <c r="O166" i="17"/>
  <c r="N72" i="10"/>
  <c r="N87" i="18"/>
  <c r="S58" i="18"/>
  <c r="S61" i="17"/>
  <c r="S41" i="35"/>
  <c r="S59" i="10"/>
  <c r="R61" i="17"/>
  <c r="R59" i="10"/>
  <c r="R58" i="18"/>
  <c r="R41" i="35"/>
  <c r="Q41" i="35"/>
  <c r="Q43" i="35" s="1"/>
  <c r="Q58" i="18"/>
  <c r="Q59" i="10"/>
  <c r="Q61" i="17"/>
  <c r="N71" i="10"/>
  <c r="N79" i="18"/>
  <c r="N86" i="18" s="1"/>
  <c r="S42" i="35"/>
  <c r="R71" i="17"/>
  <c r="R166" i="17" s="1"/>
  <c r="R42" i="35"/>
  <c r="P71" i="17"/>
  <c r="N66" i="10"/>
  <c r="N67" i="10" s="1"/>
  <c r="N70" i="10" s="1"/>
  <c r="N78" i="18"/>
  <c r="O75" i="17"/>
  <c r="O81" i="17" s="1"/>
  <c r="O78" i="17"/>
  <c r="O84" i="17" s="1"/>
  <c r="O77" i="17"/>
  <c r="O83" i="17" s="1"/>
  <c r="O80" i="18" s="1"/>
  <c r="O61" i="17"/>
  <c r="O59" i="10"/>
  <c r="O58" i="18"/>
  <c r="O41" i="35"/>
  <c r="L61" i="10" l="1"/>
  <c r="L62" i="10" s="1"/>
  <c r="L14" i="10"/>
  <c r="L15" i="10" s="1"/>
  <c r="L26" i="10"/>
  <c r="L27" i="10" s="1"/>
  <c r="L87" i="10" s="1"/>
  <c r="L47" i="35" s="1"/>
  <c r="L48" i="35" s="1"/>
  <c r="AC63" i="36"/>
  <c r="AC61" i="36"/>
  <c r="AB62" i="36"/>
  <c r="AB60" i="36"/>
  <c r="AE53" i="36"/>
  <c r="AE57" i="36" s="1"/>
  <c r="AE58" i="36" s="1"/>
  <c r="AE59" i="36" s="1"/>
  <c r="AD53" i="36"/>
  <c r="AD57" i="36" s="1"/>
  <c r="AD58" i="36" s="1"/>
  <c r="AD59" i="36" s="1"/>
  <c r="AB59" i="36"/>
  <c r="AC62" i="36"/>
  <c r="AC60" i="36"/>
  <c r="M83" i="10"/>
  <c r="M47" i="10" s="1"/>
  <c r="M48" i="10" s="1"/>
  <c r="T18" i="35"/>
  <c r="T19" i="35" s="1"/>
  <c r="AG50" i="8"/>
  <c r="AG41" i="36" s="1"/>
  <c r="AG63" i="15" s="1"/>
  <c r="AG69" i="15" s="1"/>
  <c r="AG87" i="16"/>
  <c r="AG123" i="17"/>
  <c r="AD78" i="11"/>
  <c r="AD91" i="11" s="1"/>
  <c r="AD91" i="16"/>
  <c r="AA150" i="17"/>
  <c r="AA74" i="15" s="1"/>
  <c r="AA152" i="17"/>
  <c r="AA76" i="15" s="1"/>
  <c r="AA149" i="17"/>
  <c r="AA153" i="17"/>
  <c r="AA77" i="15" s="1"/>
  <c r="AA154" i="17"/>
  <c r="AA78" i="15" s="1"/>
  <c r="AA151" i="17"/>
  <c r="AA75" i="15" s="1"/>
  <c r="AA157" i="17"/>
  <c r="AA81" i="15" s="1"/>
  <c r="AA155" i="17"/>
  <c r="AA79" i="15" s="1"/>
  <c r="AA156" i="17"/>
  <c r="AA80" i="15" s="1"/>
  <c r="AE78" i="11"/>
  <c r="AE91" i="11" s="1"/>
  <c r="AE91" i="16"/>
  <c r="AB70" i="15"/>
  <c r="AI84" i="16"/>
  <c r="AJ84" i="16" s="1"/>
  <c r="AK84" i="16" s="1"/>
  <c r="AH83" i="16"/>
  <c r="Y87" i="15"/>
  <c r="Y85" i="15"/>
  <c r="Y86" i="15"/>
  <c r="AB60" i="11"/>
  <c r="AB61" i="11" s="1"/>
  <c r="AB46" i="11"/>
  <c r="AB47" i="11" s="1"/>
  <c r="AB25" i="11"/>
  <c r="AB26" i="11" s="1"/>
  <c r="AB13" i="11"/>
  <c r="AB14" i="11" s="1"/>
  <c r="Z73" i="15"/>
  <c r="Z82" i="15" s="1"/>
  <c r="Z158" i="17"/>
  <c r="T10" i="35"/>
  <c r="T11" i="35" s="1"/>
  <c r="X28" i="15"/>
  <c r="X46" i="17" s="1"/>
  <c r="X47" i="17" s="1"/>
  <c r="X38" i="15"/>
  <c r="X18" i="15"/>
  <c r="X25" i="17" s="1"/>
  <c r="X26" i="17" s="1"/>
  <c r="X18" i="36"/>
  <c r="X28" i="36"/>
  <c r="X11" i="36"/>
  <c r="X38" i="36"/>
  <c r="X11" i="15"/>
  <c r="X13" i="17" s="1"/>
  <c r="AC46" i="11"/>
  <c r="AC47" i="11" s="1"/>
  <c r="AC25" i="11"/>
  <c r="AC26" i="11" s="1"/>
  <c r="AC13" i="11"/>
  <c r="AC14" i="11" s="1"/>
  <c r="AC60" i="11"/>
  <c r="AC61" i="11" s="1"/>
  <c r="V11" i="15"/>
  <c r="V13" i="17" s="1"/>
  <c r="V18" i="15"/>
  <c r="V25" i="17" s="1"/>
  <c r="V38" i="36"/>
  <c r="V18" i="36"/>
  <c r="V28" i="15"/>
  <c r="V46" i="17" s="1"/>
  <c r="V38" i="15"/>
  <c r="V28" i="36"/>
  <c r="V11" i="36"/>
  <c r="AI83" i="16"/>
  <c r="T60" i="17"/>
  <c r="T58" i="17"/>
  <c r="AE137" i="17"/>
  <c r="AE146" i="17"/>
  <c r="AA63" i="11"/>
  <c r="AA75" i="11" s="1"/>
  <c r="U28" i="36"/>
  <c r="U38" i="15"/>
  <c r="U18" i="36"/>
  <c r="U11" i="36"/>
  <c r="U11" i="15"/>
  <c r="U13" i="17" s="1"/>
  <c r="U18" i="15"/>
  <c r="U25" i="17" s="1"/>
  <c r="U26" i="17" s="1"/>
  <c r="U38" i="36"/>
  <c r="U28" i="15"/>
  <c r="U46" i="17" s="1"/>
  <c r="U47" i="17" s="1"/>
  <c r="AC141" i="17"/>
  <c r="AC142" i="17" s="1"/>
  <c r="AC138" i="17"/>
  <c r="AD137" i="17"/>
  <c r="AD146" i="17"/>
  <c r="AD103" i="14"/>
  <c r="AC65" i="17" s="1"/>
  <c r="AE102" i="14"/>
  <c r="AG53" i="8"/>
  <c r="AG44" i="36" s="1"/>
  <c r="AG66" i="15" s="1"/>
  <c r="AG72" i="15" s="1"/>
  <c r="AG90" i="16"/>
  <c r="AG81" i="11" s="1"/>
  <c r="AG126" i="17"/>
  <c r="AF50" i="8"/>
  <c r="AF41" i="36" s="1"/>
  <c r="AF63" i="15" s="1"/>
  <c r="AF69" i="15" s="1"/>
  <c r="AF87" i="16"/>
  <c r="AF123" i="17"/>
  <c r="AF127" i="17" s="1"/>
  <c r="T31" i="35"/>
  <c r="T32" i="35" s="1"/>
  <c r="W18" i="36"/>
  <c r="W18" i="15"/>
  <c r="W25" i="17" s="1"/>
  <c r="W38" i="36"/>
  <c r="W11" i="36"/>
  <c r="W28" i="36"/>
  <c r="W28" i="15"/>
  <c r="W46" i="17" s="1"/>
  <c r="W11" i="15"/>
  <c r="W13" i="17" s="1"/>
  <c r="W38" i="15"/>
  <c r="AB141" i="17"/>
  <c r="AB142" i="17" s="1"/>
  <c r="AB138" i="17"/>
  <c r="AC70" i="15"/>
  <c r="AH81" i="16"/>
  <c r="O43" i="35"/>
  <c r="O45" i="35" s="1"/>
  <c r="O46" i="35" s="1"/>
  <c r="O81" i="18"/>
  <c r="O88" i="18" s="1"/>
  <c r="O73" i="10"/>
  <c r="P72" i="17"/>
  <c r="P165" i="17"/>
  <c r="P163" i="17"/>
  <c r="P164" i="17"/>
  <c r="S43" i="35"/>
  <c r="S45" i="35" s="1"/>
  <c r="S46" i="35" s="1"/>
  <c r="N83" i="10"/>
  <c r="O79" i="18"/>
  <c r="O86" i="18" s="1"/>
  <c r="O71" i="10"/>
  <c r="N85" i="18"/>
  <c r="N89" i="18" s="1"/>
  <c r="N82" i="18"/>
  <c r="O78" i="18"/>
  <c r="O66" i="10"/>
  <c r="O67" i="10" s="1"/>
  <c r="O70" i="10" s="1"/>
  <c r="R72" i="17"/>
  <c r="R163" i="17"/>
  <c r="R165" i="17"/>
  <c r="R164" i="17"/>
  <c r="R43" i="35"/>
  <c r="R45" i="35" s="1"/>
  <c r="R46" i="35" s="1"/>
  <c r="S77" i="17"/>
  <c r="S83" i="17" s="1"/>
  <c r="S80" i="18" s="1"/>
  <c r="S78" i="17"/>
  <c r="S84" i="17" s="1"/>
  <c r="S76" i="17"/>
  <c r="S82" i="17" s="1"/>
  <c r="S75" i="17"/>
  <c r="S81" i="17" s="1"/>
  <c r="O87" i="18"/>
  <c r="O72" i="10"/>
  <c r="P166" i="17"/>
  <c r="J60" i="1"/>
  <c r="K60" i="1" s="1"/>
  <c r="Q45" i="35"/>
  <c r="Q166" i="17"/>
  <c r="Q72" i="17"/>
  <c r="Q163" i="17"/>
  <c r="Q165" i="17"/>
  <c r="Q164" i="17"/>
  <c r="M26" i="10" l="1"/>
  <c r="M27" i="10" s="1"/>
  <c r="M61" i="10"/>
  <c r="M62" i="10" s="1"/>
  <c r="M14" i="10"/>
  <c r="M15" i="10" s="1"/>
  <c r="AD61" i="36"/>
  <c r="AD63" i="36"/>
  <c r="AF53" i="36"/>
  <c r="AF57" i="36" s="1"/>
  <c r="AF58" i="36" s="1"/>
  <c r="AF59" i="36" s="1"/>
  <c r="AG53" i="36"/>
  <c r="AG57" i="36" s="1"/>
  <c r="AG58" i="36" s="1"/>
  <c r="AD60" i="36"/>
  <c r="AD62" i="36"/>
  <c r="AE61" i="36"/>
  <c r="AE63" i="36"/>
  <c r="AB61" i="36"/>
  <c r="AB63" i="36"/>
  <c r="AE60" i="36"/>
  <c r="AE62" i="36"/>
  <c r="X31" i="35"/>
  <c r="X32" i="35" s="1"/>
  <c r="U10" i="35"/>
  <c r="U11" i="35" s="1"/>
  <c r="W31" i="35"/>
  <c r="W32" i="35" s="1"/>
  <c r="U18" i="35"/>
  <c r="U19" i="35" s="1"/>
  <c r="X10" i="35"/>
  <c r="X11" i="35" s="1"/>
  <c r="W10" i="35"/>
  <c r="W11" i="35" s="1"/>
  <c r="AB63" i="11"/>
  <c r="AB75" i="11" s="1"/>
  <c r="W47" i="17"/>
  <c r="W18" i="35"/>
  <c r="W19" i="35" s="1"/>
  <c r="W26" i="17"/>
  <c r="AF146" i="17"/>
  <c r="AF137" i="17"/>
  <c r="AC157" i="17"/>
  <c r="AC81" i="15" s="1"/>
  <c r="AC156" i="17"/>
  <c r="AC80" i="15" s="1"/>
  <c r="AC152" i="17"/>
  <c r="AC76" i="15" s="1"/>
  <c r="AC149" i="17"/>
  <c r="AC153" i="17"/>
  <c r="AC77" i="15" s="1"/>
  <c r="AC155" i="17"/>
  <c r="AC79" i="15" s="1"/>
  <c r="AC151" i="17"/>
  <c r="AC75" i="15" s="1"/>
  <c r="AC154" i="17"/>
  <c r="AC78" i="15" s="1"/>
  <c r="AC150" i="17"/>
  <c r="AC74" i="15" s="1"/>
  <c r="U14" i="17"/>
  <c r="U31" i="35"/>
  <c r="U32" i="35" s="1"/>
  <c r="AE138" i="17"/>
  <c r="AE141" i="17"/>
  <c r="AE142" i="17" s="1"/>
  <c r="V31" i="35"/>
  <c r="V32" i="35" s="1"/>
  <c r="AC63" i="11"/>
  <c r="AC75" i="11" s="1"/>
  <c r="AG127" i="17"/>
  <c r="AH50" i="8"/>
  <c r="AH41" i="36" s="1"/>
  <c r="AH63" i="15" s="1"/>
  <c r="AH69" i="15" s="1"/>
  <c r="AH87" i="16"/>
  <c r="AH123" i="17"/>
  <c r="AB157" i="17"/>
  <c r="AB81" i="15" s="1"/>
  <c r="AB152" i="17"/>
  <c r="AB76" i="15" s="1"/>
  <c r="AB153" i="17"/>
  <c r="AB77" i="15" s="1"/>
  <c r="AB155" i="17"/>
  <c r="AB79" i="15" s="1"/>
  <c r="AB150" i="17"/>
  <c r="AB74" i="15" s="1"/>
  <c r="AB149" i="17"/>
  <c r="AB151" i="17"/>
  <c r="AB75" i="15" s="1"/>
  <c r="AB156" i="17"/>
  <c r="AB80" i="15" s="1"/>
  <c r="AB154" i="17"/>
  <c r="AB78" i="15" s="1"/>
  <c r="AD70" i="15"/>
  <c r="T58" i="18"/>
  <c r="T61" i="17"/>
  <c r="T41" i="35"/>
  <c r="T59" i="10"/>
  <c r="AI53" i="8"/>
  <c r="AI44" i="36" s="1"/>
  <c r="AI66" i="15" s="1"/>
  <c r="AI72" i="15" s="1"/>
  <c r="AI126" i="17"/>
  <c r="AI90" i="16"/>
  <c r="AI81" i="11" s="1"/>
  <c r="V60" i="17"/>
  <c r="V58" i="17"/>
  <c r="V26" i="17"/>
  <c r="X58" i="17"/>
  <c r="X60" i="17"/>
  <c r="X71" i="17" s="1"/>
  <c r="Z86" i="15"/>
  <c r="Z85" i="15"/>
  <c r="Z87" i="15"/>
  <c r="AH53" i="8"/>
  <c r="AH44" i="36" s="1"/>
  <c r="AH66" i="15" s="1"/>
  <c r="AH72" i="15" s="1"/>
  <c r="AH90" i="16"/>
  <c r="AH81" i="11" s="1"/>
  <c r="AH126" i="17"/>
  <c r="AA73" i="15"/>
  <c r="AA82" i="15" s="1"/>
  <c r="AA158" i="17"/>
  <c r="AD13" i="11"/>
  <c r="AD14" i="11" s="1"/>
  <c r="AD46" i="11"/>
  <c r="AD47" i="11" s="1"/>
  <c r="AD60" i="11"/>
  <c r="AD61" i="11" s="1"/>
  <c r="AD25" i="11"/>
  <c r="AD26" i="11" s="1"/>
  <c r="AG78" i="11"/>
  <c r="AG91" i="11" s="1"/>
  <c r="AG91" i="16"/>
  <c r="W60" i="17"/>
  <c r="W71" i="17" s="1"/>
  <c r="W58" i="17"/>
  <c r="AF78" i="11"/>
  <c r="AF91" i="11" s="1"/>
  <c r="AF91" i="16"/>
  <c r="AD141" i="17"/>
  <c r="AD142" i="17" s="1"/>
  <c r="AD138" i="17"/>
  <c r="T71" i="17"/>
  <c r="T166" i="17" s="1"/>
  <c r="T42" i="35"/>
  <c r="AI81" i="16"/>
  <c r="V47" i="17"/>
  <c r="V14" i="17"/>
  <c r="Y18" i="36"/>
  <c r="Y28" i="15"/>
  <c r="Y46" i="17" s="1"/>
  <c r="Y28" i="36"/>
  <c r="Y18" i="15"/>
  <c r="Y25" i="17" s="1"/>
  <c r="Y11" i="36"/>
  <c r="Y11" i="15"/>
  <c r="Y13" i="17" s="1"/>
  <c r="Y38" i="15"/>
  <c r="Y38" i="36"/>
  <c r="AE25" i="11"/>
  <c r="AE26" i="11" s="1"/>
  <c r="AE46" i="11"/>
  <c r="AE47" i="11" s="1"/>
  <c r="AE13" i="11"/>
  <c r="AE14" i="11" s="1"/>
  <c r="AE60" i="11"/>
  <c r="AE61" i="11" s="1"/>
  <c r="AJ83" i="16"/>
  <c r="W14" i="17"/>
  <c r="AE103" i="14"/>
  <c r="AD65" i="17" s="1"/>
  <c r="AF102" i="14"/>
  <c r="U58" i="17"/>
  <c r="U60" i="17"/>
  <c r="U42" i="35" s="1"/>
  <c r="AE70" i="15"/>
  <c r="V10" i="35"/>
  <c r="V11" i="35" s="1"/>
  <c r="V18" i="35"/>
  <c r="V19" i="35" s="1"/>
  <c r="X14" i="17"/>
  <c r="X18" i="35"/>
  <c r="X19" i="35" s="1"/>
  <c r="AG137" i="17"/>
  <c r="AG146" i="17"/>
  <c r="Q75" i="17"/>
  <c r="Q81" i="17" s="1"/>
  <c r="Q78" i="17"/>
  <c r="Q84" i="17" s="1"/>
  <c r="Q77" i="17"/>
  <c r="Q83" i="17" s="1"/>
  <c r="Q80" i="18" s="1"/>
  <c r="Q76" i="17"/>
  <c r="Q82" i="17" s="1"/>
  <c r="Q71" i="10" s="1"/>
  <c r="S81" i="18"/>
  <c r="S88" i="18" s="1"/>
  <c r="S73" i="10"/>
  <c r="N60" i="18"/>
  <c r="N61" i="18" s="1"/>
  <c r="N25" i="18"/>
  <c r="N26" i="18" s="1"/>
  <c r="N13" i="18"/>
  <c r="N14" i="18" s="1"/>
  <c r="N46" i="18"/>
  <c r="N47" i="18" s="1"/>
  <c r="S87" i="18"/>
  <c r="S72" i="10"/>
  <c r="O83" i="10"/>
  <c r="Q46" i="35"/>
  <c r="J61" i="1"/>
  <c r="K61" i="1" s="1"/>
  <c r="S78" i="18"/>
  <c r="S66" i="10"/>
  <c r="S67" i="10" s="1"/>
  <c r="S70" i="10" s="1"/>
  <c r="R77" i="17"/>
  <c r="R83" i="17" s="1"/>
  <c r="R80" i="18" s="1"/>
  <c r="R78" i="17"/>
  <c r="R84" i="17" s="1"/>
  <c r="R76" i="17"/>
  <c r="R82" i="17" s="1"/>
  <c r="R75" i="17"/>
  <c r="R81" i="17" s="1"/>
  <c r="O82" i="18"/>
  <c r="O85" i="18"/>
  <c r="O89" i="18" s="1"/>
  <c r="N14" i="10"/>
  <c r="N15" i="10" s="1"/>
  <c r="N61" i="10"/>
  <c r="N62" i="10" s="1"/>
  <c r="N47" i="10"/>
  <c r="N48" i="10" s="1"/>
  <c r="N26" i="10"/>
  <c r="N27" i="10" s="1"/>
  <c r="S79" i="18"/>
  <c r="S86" i="18" s="1"/>
  <c r="S71" i="10"/>
  <c r="P77" i="17"/>
  <c r="P83" i="17" s="1"/>
  <c r="P80" i="18" s="1"/>
  <c r="P75" i="17"/>
  <c r="P81" i="17" s="1"/>
  <c r="P76" i="17"/>
  <c r="P82" i="17" s="1"/>
  <c r="P78" i="17"/>
  <c r="P84" i="17" s="1"/>
  <c r="O84" i="10" l="1"/>
  <c r="O85" i="10" s="1"/>
  <c r="M87" i="10"/>
  <c r="M47" i="35" s="1"/>
  <c r="M48" i="35" s="1"/>
  <c r="AF63" i="36"/>
  <c r="AF61" i="36"/>
  <c r="AH53" i="36"/>
  <c r="AH57" i="36" s="1"/>
  <c r="AH58" i="36" s="1"/>
  <c r="AF60" i="36"/>
  <c r="AF62" i="36"/>
  <c r="AG60" i="36"/>
  <c r="AG62" i="36"/>
  <c r="AG59" i="36"/>
  <c r="W42" i="35"/>
  <c r="W164" i="17"/>
  <c r="W163" i="17"/>
  <c r="AG70" i="15"/>
  <c r="Y14" i="17"/>
  <c r="Y47" i="17"/>
  <c r="AD151" i="17"/>
  <c r="AD75" i="15" s="1"/>
  <c r="AD156" i="17"/>
  <c r="AD80" i="15" s="1"/>
  <c r="AD154" i="17"/>
  <c r="AD78" i="15" s="1"/>
  <c r="AD150" i="17"/>
  <c r="AD74" i="15" s="1"/>
  <c r="AD152" i="17"/>
  <c r="AD76" i="15" s="1"/>
  <c r="AD157" i="17"/>
  <c r="AD81" i="15" s="1"/>
  <c r="AD153" i="17"/>
  <c r="AD77" i="15" s="1"/>
  <c r="AD155" i="17"/>
  <c r="AD79" i="15" s="1"/>
  <c r="AD149" i="17"/>
  <c r="AA87" i="15"/>
  <c r="AA85" i="15"/>
  <c r="AA86" i="15"/>
  <c r="X166" i="17"/>
  <c r="V41" i="35"/>
  <c r="V59" i="10"/>
  <c r="V61" i="17"/>
  <c r="V58" i="18"/>
  <c r="AH146" i="17"/>
  <c r="AH137" i="17"/>
  <c r="U71" i="17"/>
  <c r="AF141" i="17"/>
  <c r="AF142" i="17" s="1"/>
  <c r="AF138" i="17"/>
  <c r="AG138" i="17"/>
  <c r="AG141" i="17"/>
  <c r="AG142" i="17" s="1"/>
  <c r="AJ53" i="8"/>
  <c r="AJ44" i="36" s="1"/>
  <c r="AJ66" i="15" s="1"/>
  <c r="AJ72" i="15" s="1"/>
  <c r="AJ90" i="16"/>
  <c r="AJ81" i="11" s="1"/>
  <c r="AJ126" i="17"/>
  <c r="Y10" i="35"/>
  <c r="Y11" i="35" s="1"/>
  <c r="Y18" i="35"/>
  <c r="Y19" i="35" s="1"/>
  <c r="T164" i="17"/>
  <c r="T165" i="17"/>
  <c r="T163" i="17"/>
  <c r="T72" i="17"/>
  <c r="AK83" i="16"/>
  <c r="X59" i="10"/>
  <c r="X61" i="17"/>
  <c r="X58" i="18"/>
  <c r="X41" i="35"/>
  <c r="V71" i="17"/>
  <c r="V166" i="17" s="1"/>
  <c r="AH127" i="17"/>
  <c r="X42" i="35"/>
  <c r="AE149" i="17"/>
  <c r="AE153" i="17"/>
  <c r="AE77" i="15" s="1"/>
  <c r="AE152" i="17"/>
  <c r="AE76" i="15" s="1"/>
  <c r="AE156" i="17"/>
  <c r="AE80" i="15" s="1"/>
  <c r="AE157" i="17"/>
  <c r="AE81" i="15" s="1"/>
  <c r="AE151" i="17"/>
  <c r="AE75" i="15" s="1"/>
  <c r="AE150" i="17"/>
  <c r="AE74" i="15" s="1"/>
  <c r="AE154" i="17"/>
  <c r="AE78" i="15" s="1"/>
  <c r="AE155" i="17"/>
  <c r="AE79" i="15" s="1"/>
  <c r="AF70" i="15"/>
  <c r="W165" i="17"/>
  <c r="U58" i="18"/>
  <c r="U61" i="17"/>
  <c r="U41" i="35"/>
  <c r="U43" i="35" s="1"/>
  <c r="U45" i="35" s="1"/>
  <c r="U46" i="35" s="1"/>
  <c r="U59" i="10"/>
  <c r="Y26" i="17"/>
  <c r="AI50" i="8"/>
  <c r="AI41" i="36" s="1"/>
  <c r="AI63" i="15" s="1"/>
  <c r="AI69" i="15" s="1"/>
  <c r="AI87" i="16"/>
  <c r="AI123" i="17"/>
  <c r="AI127" i="17" s="1"/>
  <c r="L40" i="1"/>
  <c r="AF13" i="11"/>
  <c r="AF14" i="11" s="1"/>
  <c r="AF25" i="11"/>
  <c r="AF26" i="11" s="1"/>
  <c r="L35" i="1" s="1"/>
  <c r="AF46" i="11"/>
  <c r="AF47" i="11" s="1"/>
  <c r="L36" i="1" s="1"/>
  <c r="AF60" i="11"/>
  <c r="AF61" i="11" s="1"/>
  <c r="L37" i="1" s="1"/>
  <c r="AG60" i="11"/>
  <c r="AG61" i="11" s="1"/>
  <c r="AG46" i="11"/>
  <c r="AG47" i="11" s="1"/>
  <c r="AG25" i="11"/>
  <c r="AG26" i="11" s="1"/>
  <c r="AG13" i="11"/>
  <c r="AG14" i="11" s="1"/>
  <c r="AD63" i="11"/>
  <c r="AD75" i="11" s="1"/>
  <c r="T43" i="35"/>
  <c r="T45" i="35" s="1"/>
  <c r="T46" i="35" s="1"/>
  <c r="AB73" i="15"/>
  <c r="AB82" i="15" s="1"/>
  <c r="AB158" i="17"/>
  <c r="AH78" i="11"/>
  <c r="AH91" i="11" s="1"/>
  <c r="AH91" i="16"/>
  <c r="X164" i="17"/>
  <c r="X163" i="17"/>
  <c r="X165" i="17"/>
  <c r="X72" i="17"/>
  <c r="AG102" i="14"/>
  <c r="AF103" i="14"/>
  <c r="AE65" i="17" s="1"/>
  <c r="W166" i="17"/>
  <c r="W72" i="17"/>
  <c r="AE63" i="11"/>
  <c r="AE75" i="11" s="1"/>
  <c r="Y60" i="17"/>
  <c r="Y58" i="17"/>
  <c r="Y31" i="35"/>
  <c r="Y32" i="35" s="1"/>
  <c r="W61" i="17"/>
  <c r="W58" i="18"/>
  <c r="W59" i="10"/>
  <c r="W41" i="35"/>
  <c r="Z28" i="36"/>
  <c r="Z38" i="15"/>
  <c r="Z18" i="15"/>
  <c r="Z25" i="17" s="1"/>
  <c r="Z18" i="36"/>
  <c r="Z38" i="36"/>
  <c r="Z11" i="15"/>
  <c r="Z13" i="17" s="1"/>
  <c r="Z11" i="36"/>
  <c r="Z28" i="15"/>
  <c r="Z46" i="17" s="1"/>
  <c r="V42" i="35"/>
  <c r="AC73" i="15"/>
  <c r="AC82" i="15" s="1"/>
  <c r="AC158" i="17"/>
  <c r="AJ81" i="16"/>
  <c r="P81" i="18"/>
  <c r="P88" i="18" s="1"/>
  <c r="P73" i="10"/>
  <c r="R87" i="18"/>
  <c r="R72" i="10"/>
  <c r="Q79" i="18"/>
  <c r="Q86" i="18" s="1"/>
  <c r="R66" i="10"/>
  <c r="R67" i="10" s="1"/>
  <c r="R70" i="10" s="1"/>
  <c r="R78" i="18"/>
  <c r="S83" i="10"/>
  <c r="O47" i="10"/>
  <c r="O14" i="10"/>
  <c r="O61" i="10"/>
  <c r="O26" i="10"/>
  <c r="N63" i="18"/>
  <c r="N75" i="18" s="1"/>
  <c r="Q87" i="18"/>
  <c r="Q72" i="10"/>
  <c r="P87" i="18"/>
  <c r="P72" i="10"/>
  <c r="P71" i="10"/>
  <c r="P79" i="18"/>
  <c r="P86" i="18" s="1"/>
  <c r="P66" i="10"/>
  <c r="P67" i="10" s="1"/>
  <c r="P70" i="10" s="1"/>
  <c r="P78" i="18"/>
  <c r="O13" i="18"/>
  <c r="O14" i="18" s="1"/>
  <c r="O25" i="18"/>
  <c r="O26" i="18" s="1"/>
  <c r="O46" i="18"/>
  <c r="O47" i="18" s="1"/>
  <c r="O60" i="18"/>
  <c r="O61" i="18" s="1"/>
  <c r="R79" i="18"/>
  <c r="R86" i="18" s="1"/>
  <c r="R71" i="10"/>
  <c r="S82" i="18"/>
  <c r="S85" i="18"/>
  <c r="S89" i="18" s="1"/>
  <c r="Q73" i="10"/>
  <c r="Q81" i="18"/>
  <c r="Q88" i="18" s="1"/>
  <c r="N87" i="10"/>
  <c r="N47" i="35" s="1"/>
  <c r="N48" i="35" s="1"/>
  <c r="R73" i="10"/>
  <c r="R81" i="18"/>
  <c r="R88" i="18" s="1"/>
  <c r="Q78" i="18"/>
  <c r="Q66" i="10"/>
  <c r="Q67" i="10" s="1"/>
  <c r="Q70" i="10" s="1"/>
  <c r="S84" i="10" l="1"/>
  <c r="S85" i="10" s="1"/>
  <c r="O62" i="10"/>
  <c r="O121" i="10"/>
  <c r="O15" i="10"/>
  <c r="O119" i="10"/>
  <c r="O27" i="10"/>
  <c r="O87" i="10" s="1"/>
  <c r="O47" i="35" s="1"/>
  <c r="O48" i="35" s="1"/>
  <c r="O120" i="10"/>
  <c r="O124" i="10" s="1"/>
  <c r="O48" i="10"/>
  <c r="O123" i="10"/>
  <c r="AH62" i="36"/>
  <c r="AH60" i="36"/>
  <c r="AH59" i="36"/>
  <c r="AI53" i="36"/>
  <c r="AI57" i="36" s="1"/>
  <c r="AI58" i="36" s="1"/>
  <c r="AG63" i="36"/>
  <c r="AG61" i="36"/>
  <c r="W43" i="35"/>
  <c r="W45" i="35" s="1"/>
  <c r="W46" i="35" s="1"/>
  <c r="Z10" i="35"/>
  <c r="Z11" i="35" s="1"/>
  <c r="Z18" i="35"/>
  <c r="Z19" i="35" s="1"/>
  <c r="AJ50" i="8"/>
  <c r="AJ41" i="36" s="1"/>
  <c r="AJ63" i="15" s="1"/>
  <c r="AJ69" i="15" s="1"/>
  <c r="AJ87" i="16"/>
  <c r="AJ123" i="17"/>
  <c r="AJ127" i="17" s="1"/>
  <c r="Z47" i="17"/>
  <c r="W76" i="17"/>
  <c r="W82" i="17" s="1"/>
  <c r="W78" i="17"/>
  <c r="W84" i="17" s="1"/>
  <c r="W75" i="17"/>
  <c r="W81" i="17" s="1"/>
  <c r="W77" i="17"/>
  <c r="W83" i="17" s="1"/>
  <c r="W80" i="18" s="1"/>
  <c r="X75" i="17"/>
  <c r="X81" i="17" s="1"/>
  <c r="X78" i="17"/>
  <c r="X84" i="17" s="1"/>
  <c r="X76" i="17"/>
  <c r="X82" i="17" s="1"/>
  <c r="X77" i="17"/>
  <c r="X83" i="17" s="1"/>
  <c r="X80" i="18" s="1"/>
  <c r="AI146" i="17"/>
  <c r="AI137" i="17"/>
  <c r="T78" i="17"/>
  <c r="T84" i="17" s="1"/>
  <c r="T77" i="17"/>
  <c r="T83" i="17" s="1"/>
  <c r="T80" i="18" s="1"/>
  <c r="T76" i="17"/>
  <c r="T82" i="17" s="1"/>
  <c r="T75" i="17"/>
  <c r="T81" i="17" s="1"/>
  <c r="T66" i="10" s="1"/>
  <c r="T67" i="10" s="1"/>
  <c r="T70" i="10" s="1"/>
  <c r="AF151" i="17"/>
  <c r="AF75" i="15" s="1"/>
  <c r="AF157" i="17"/>
  <c r="AF81" i="15" s="1"/>
  <c r="AF153" i="17"/>
  <c r="AF77" i="15" s="1"/>
  <c r="AF156" i="17"/>
  <c r="AF80" i="15" s="1"/>
  <c r="AF152" i="17"/>
  <c r="AF76" i="15" s="1"/>
  <c r="AF155" i="17"/>
  <c r="AF79" i="15" s="1"/>
  <c r="AF150" i="17"/>
  <c r="AF74" i="15" s="1"/>
  <c r="AF154" i="17"/>
  <c r="AF78" i="15" s="1"/>
  <c r="AF149" i="17"/>
  <c r="AD73" i="15"/>
  <c r="AD82" i="15" s="1"/>
  <c r="AD158" i="17"/>
  <c r="Z26" i="17"/>
  <c r="Y61" i="17"/>
  <c r="Y41" i="35"/>
  <c r="Y59" i="10"/>
  <c r="Y58" i="18"/>
  <c r="AH25" i="11"/>
  <c r="AH26" i="11" s="1"/>
  <c r="AH60" i="11"/>
  <c r="AH61" i="11" s="1"/>
  <c r="AH13" i="11"/>
  <c r="AH14" i="11" s="1"/>
  <c r="AH46" i="11"/>
  <c r="AH47" i="11" s="1"/>
  <c r="L34" i="1"/>
  <c r="AF63" i="11"/>
  <c r="AF75" i="11" s="1"/>
  <c r="L38" i="1" s="1"/>
  <c r="L41" i="1" s="1"/>
  <c r="AG152" i="17"/>
  <c r="AG76" i="15" s="1"/>
  <c r="AG153" i="17"/>
  <c r="AG77" i="15" s="1"/>
  <c r="AG154" i="17"/>
  <c r="AG78" i="15" s="1"/>
  <c r="AG156" i="17"/>
  <c r="AG80" i="15" s="1"/>
  <c r="AG150" i="17"/>
  <c r="AG74" i="15" s="1"/>
  <c r="AG155" i="17"/>
  <c r="AG79" i="15" s="1"/>
  <c r="AG151" i="17"/>
  <c r="AG75" i="15" s="1"/>
  <c r="AG149" i="17"/>
  <c r="AG157" i="17"/>
  <c r="AG81" i="15" s="1"/>
  <c r="U166" i="17"/>
  <c r="U72" i="17"/>
  <c r="U164" i="17"/>
  <c r="U165" i="17"/>
  <c r="U163" i="17"/>
  <c r="AA11" i="36"/>
  <c r="AA38" i="15"/>
  <c r="AA11" i="15"/>
  <c r="AA13" i="17" s="1"/>
  <c r="AA28" i="15"/>
  <c r="AA46" i="17" s="1"/>
  <c r="AA28" i="36"/>
  <c r="AA18" i="15"/>
  <c r="AA25" i="17" s="1"/>
  <c r="AA38" i="36"/>
  <c r="AA18" i="36"/>
  <c r="AC85" i="15"/>
  <c r="AC86" i="15"/>
  <c r="AC87" i="15"/>
  <c r="Z14" i="17"/>
  <c r="Z60" i="17"/>
  <c r="Z42" i="35" s="1"/>
  <c r="Z58" i="17"/>
  <c r="Y71" i="17"/>
  <c r="Y166" i="17" s="1"/>
  <c r="AG63" i="11"/>
  <c r="AG75" i="11" s="1"/>
  <c r="AI78" i="11"/>
  <c r="AI91" i="11" s="1"/>
  <c r="AI91" i="16"/>
  <c r="Y42" i="35"/>
  <c r="AE73" i="15"/>
  <c r="AE82" i="15" s="1"/>
  <c r="AE158" i="17"/>
  <c r="V72" i="17"/>
  <c r="V164" i="17"/>
  <c r="V163" i="17"/>
  <c r="V165" i="17"/>
  <c r="AH138" i="17"/>
  <c r="AH141" i="17"/>
  <c r="AH142" i="17" s="1"/>
  <c r="Z31" i="35"/>
  <c r="Z32" i="35" s="1"/>
  <c r="AH102" i="14"/>
  <c r="AG103" i="14"/>
  <c r="AF65" i="17" s="1"/>
  <c r="AB86" i="15"/>
  <c r="AB87" i="15"/>
  <c r="AB85" i="15"/>
  <c r="AK81" i="16"/>
  <c r="AK123" i="17" s="1"/>
  <c r="X43" i="35"/>
  <c r="X45" i="35" s="1"/>
  <c r="X46" i="35" s="1"/>
  <c r="AK53" i="8"/>
  <c r="AK44" i="36" s="1"/>
  <c r="AK66" i="15" s="1"/>
  <c r="AK72" i="15" s="1"/>
  <c r="AK90" i="16"/>
  <c r="AK81" i="11" s="1"/>
  <c r="AK126" i="17"/>
  <c r="AH70" i="15"/>
  <c r="V43" i="35"/>
  <c r="V45" i="35" s="1"/>
  <c r="V46" i="35" s="1"/>
  <c r="Q83" i="10"/>
  <c r="P83" i="10"/>
  <c r="Q85" i="18"/>
  <c r="Q89" i="18" s="1"/>
  <c r="Q82" i="18"/>
  <c r="S25" i="18"/>
  <c r="S26" i="18" s="1"/>
  <c r="S46" i="18"/>
  <c r="S47" i="18" s="1"/>
  <c r="S60" i="18"/>
  <c r="S61" i="18" s="1"/>
  <c r="S13" i="18"/>
  <c r="S14" i="18" s="1"/>
  <c r="O63" i="18"/>
  <c r="O75" i="18" s="1"/>
  <c r="P85" i="18"/>
  <c r="P89" i="18" s="1"/>
  <c r="P82" i="18"/>
  <c r="R82" i="18"/>
  <c r="R85" i="18"/>
  <c r="R89" i="18" s="1"/>
  <c r="R83" i="10"/>
  <c r="S61" i="10"/>
  <c r="S47" i="10"/>
  <c r="S26" i="10"/>
  <c r="S14" i="10"/>
  <c r="R84" i="10" l="1"/>
  <c r="R85" i="10" s="1"/>
  <c r="O127" i="10"/>
  <c r="O126" i="10"/>
  <c r="O130" i="10" s="1"/>
  <c r="S15" i="10"/>
  <c r="S119" i="10"/>
  <c r="S27" i="10"/>
  <c r="S87" i="10" s="1"/>
  <c r="S120" i="10"/>
  <c r="P14" i="10"/>
  <c r="P84" i="10"/>
  <c r="P85" i="10"/>
  <c r="S48" i="10"/>
  <c r="S123" i="10"/>
  <c r="Q26" i="10"/>
  <c r="Q84" i="10"/>
  <c r="Q85" i="10"/>
  <c r="S62" i="10"/>
  <c r="S121" i="10"/>
  <c r="AI60" i="36"/>
  <c r="AI62" i="36"/>
  <c r="AJ53" i="36"/>
  <c r="AJ57" i="36" s="1"/>
  <c r="AJ58" i="36" s="1"/>
  <c r="AJ59" i="36" s="1"/>
  <c r="AI59" i="36"/>
  <c r="AH63" i="36"/>
  <c r="AH61" i="36"/>
  <c r="AH63" i="11"/>
  <c r="AH75" i="11" s="1"/>
  <c r="AK50" i="8"/>
  <c r="AK41" i="36" s="1"/>
  <c r="AK63" i="15" s="1"/>
  <c r="AK69" i="15" s="1"/>
  <c r="AK87" i="16"/>
  <c r="AK127" i="17"/>
  <c r="AH154" i="17"/>
  <c r="AH78" i="15" s="1"/>
  <c r="AH155" i="17"/>
  <c r="AH79" i="15" s="1"/>
  <c r="AH150" i="17"/>
  <c r="AH74" i="15" s="1"/>
  <c r="AH152" i="17"/>
  <c r="AH76" i="15" s="1"/>
  <c r="AH153" i="17"/>
  <c r="AH77" i="15" s="1"/>
  <c r="AH157" i="17"/>
  <c r="AH81" i="15" s="1"/>
  <c r="AH156" i="17"/>
  <c r="AH80" i="15" s="1"/>
  <c r="AH149" i="17"/>
  <c r="AH151" i="17"/>
  <c r="AH75" i="15" s="1"/>
  <c r="AA14" i="17"/>
  <c r="T78" i="18"/>
  <c r="AI141" i="17"/>
  <c r="AI142" i="17" s="1"/>
  <c r="AI138" i="17"/>
  <c r="X73" i="10"/>
  <c r="X81" i="18"/>
  <c r="X88" i="18" s="1"/>
  <c r="W73" i="10"/>
  <c r="W81" i="18"/>
  <c r="W88" i="18" s="1"/>
  <c r="AJ146" i="17"/>
  <c r="AJ137" i="17"/>
  <c r="AH103" i="14"/>
  <c r="AG65" i="17" s="1"/>
  <c r="AI102" i="14"/>
  <c r="V78" i="17"/>
  <c r="V84" i="17" s="1"/>
  <c r="V77" i="17"/>
  <c r="V83" i="17" s="1"/>
  <c r="V80" i="18" s="1"/>
  <c r="V75" i="17"/>
  <c r="V81" i="17" s="1"/>
  <c r="V76" i="17"/>
  <c r="V82" i="17" s="1"/>
  <c r="AC18" i="36"/>
  <c r="AC38" i="36"/>
  <c r="AC18" i="15"/>
  <c r="AC25" i="17" s="1"/>
  <c r="AC11" i="15"/>
  <c r="AC13" i="17" s="1"/>
  <c r="AC11" i="36"/>
  <c r="AC38" i="15"/>
  <c r="AC28" i="15"/>
  <c r="AC46" i="17" s="1"/>
  <c r="AC28" i="36"/>
  <c r="AA26" i="17"/>
  <c r="AA58" i="17"/>
  <c r="AA60" i="17"/>
  <c r="AA71" i="17" s="1"/>
  <c r="AG73" i="15"/>
  <c r="AG82" i="15" s="1"/>
  <c r="AG158" i="17"/>
  <c r="Y43" i="35"/>
  <c r="Y45" i="35" s="1"/>
  <c r="Y46" i="35" s="1"/>
  <c r="T71" i="10"/>
  <c r="T79" i="18"/>
  <c r="T86" i="18" s="1"/>
  <c r="AI70" i="15"/>
  <c r="X66" i="10"/>
  <c r="X67" i="10" s="1"/>
  <c r="X70" i="10" s="1"/>
  <c r="X78" i="18"/>
  <c r="W79" i="18"/>
  <c r="W86" i="18" s="1"/>
  <c r="W71" i="10"/>
  <c r="AI60" i="11"/>
  <c r="AI61" i="11" s="1"/>
  <c r="AI25" i="11"/>
  <c r="AI26" i="11" s="1"/>
  <c r="AI46" i="11"/>
  <c r="AI47" i="11" s="1"/>
  <c r="AI13" i="11"/>
  <c r="AI14" i="11" s="1"/>
  <c r="Y72" i="17"/>
  <c r="Y163" i="17"/>
  <c r="Y165" i="17"/>
  <c r="Y164" i="17"/>
  <c r="Z71" i="17"/>
  <c r="AA29" i="36"/>
  <c r="AA31" i="35"/>
  <c r="AA32" i="35" s="1"/>
  <c r="AA12" i="36"/>
  <c r="AA10" i="35"/>
  <c r="AA11" i="35" s="1"/>
  <c r="U75" i="17"/>
  <c r="U81" i="17" s="1"/>
  <c r="U78" i="17"/>
  <c r="U84" i="17" s="1"/>
  <c r="U76" i="17"/>
  <c r="U82" i="17" s="1"/>
  <c r="U77" i="17"/>
  <c r="U83" i="17" s="1"/>
  <c r="U80" i="18" s="1"/>
  <c r="AD87" i="15"/>
  <c r="AD86" i="15"/>
  <c r="AD85" i="15"/>
  <c r="T72" i="10"/>
  <c r="T87" i="18"/>
  <c r="X87" i="18"/>
  <c r="X72" i="10"/>
  <c r="W72" i="10"/>
  <c r="W87" i="18"/>
  <c r="AJ78" i="11"/>
  <c r="AJ91" i="16"/>
  <c r="AB18" i="15"/>
  <c r="AB25" i="17" s="1"/>
  <c r="AB38" i="15"/>
  <c r="AB18" i="36"/>
  <c r="AB38" i="36"/>
  <c r="AB28" i="15"/>
  <c r="AB46" i="17" s="1"/>
  <c r="AB11" i="15"/>
  <c r="AB13" i="17" s="1"/>
  <c r="AB11" i="36"/>
  <c r="AB28" i="36"/>
  <c r="AE87" i="15"/>
  <c r="AE85" i="15"/>
  <c r="AE86" i="15"/>
  <c r="Z58" i="18"/>
  <c r="Z41" i="35"/>
  <c r="Z43" i="35" s="1"/>
  <c r="Z45" i="35" s="1"/>
  <c r="Z46" i="35" s="1"/>
  <c r="Z61" i="17"/>
  <c r="Z59" i="10"/>
  <c r="AA18" i="35"/>
  <c r="AA19" i="35" s="1"/>
  <c r="AA19" i="36"/>
  <c r="AA47" i="17"/>
  <c r="AF73" i="15"/>
  <c r="AF82" i="15" s="1"/>
  <c r="AF158" i="17"/>
  <c r="T73" i="10"/>
  <c r="T81" i="18"/>
  <c r="T88" i="18" s="1"/>
  <c r="X71" i="10"/>
  <c r="X79" i="18"/>
  <c r="X86" i="18" s="1"/>
  <c r="W66" i="10"/>
  <c r="W67" i="10" s="1"/>
  <c r="W70" i="10" s="1"/>
  <c r="W78" i="18"/>
  <c r="P47" i="10"/>
  <c r="P61" i="10"/>
  <c r="Q61" i="10"/>
  <c r="Q47" i="10"/>
  <c r="Q14" i="10"/>
  <c r="P26" i="10"/>
  <c r="S63" i="18"/>
  <c r="S75" i="18" s="1"/>
  <c r="R47" i="10"/>
  <c r="R26" i="10"/>
  <c r="R61" i="10"/>
  <c r="R14" i="10"/>
  <c r="R13" i="18"/>
  <c r="R14" i="18" s="1"/>
  <c r="R25" i="18"/>
  <c r="R26" i="18" s="1"/>
  <c r="R46" i="18"/>
  <c r="R47" i="18" s="1"/>
  <c r="R60" i="18"/>
  <c r="R61" i="18" s="1"/>
  <c r="Q25" i="18"/>
  <c r="Q26" i="18" s="1"/>
  <c r="J35" i="1" s="1"/>
  <c r="K35" i="1" s="1"/>
  <c r="Q60" i="18"/>
  <c r="Q61" i="18" s="1"/>
  <c r="J37" i="1" s="1"/>
  <c r="K37" i="1" s="1"/>
  <c r="Q46" i="18"/>
  <c r="Q47" i="18" s="1"/>
  <c r="J36" i="1" s="1"/>
  <c r="K36" i="1" s="1"/>
  <c r="Q13" i="18"/>
  <c r="Q14" i="18" s="1"/>
  <c r="J40" i="1"/>
  <c r="K40" i="1" s="1"/>
  <c r="P60" i="18"/>
  <c r="P61" i="18" s="1"/>
  <c r="P13" i="18"/>
  <c r="P14" i="18" s="1"/>
  <c r="P25" i="18"/>
  <c r="P26" i="18" s="1"/>
  <c r="P46" i="18"/>
  <c r="P47" i="18" s="1"/>
  <c r="S47" i="35" l="1"/>
  <c r="S48" i="35" s="1"/>
  <c r="S88" i="10"/>
  <c r="P27" i="10"/>
  <c r="P120" i="10"/>
  <c r="P124" i="10" s="1"/>
  <c r="Q27" i="10"/>
  <c r="I47" i="1" s="1"/>
  <c r="Q120" i="10"/>
  <c r="S124" i="10"/>
  <c r="Q15" i="10"/>
  <c r="I46" i="1" s="1"/>
  <c r="I51" i="1" s="1"/>
  <c r="Q119" i="10"/>
  <c r="Q48" i="10"/>
  <c r="I48" i="1" s="1"/>
  <c r="Q123" i="10"/>
  <c r="R15" i="10"/>
  <c r="R119" i="10"/>
  <c r="R62" i="10"/>
  <c r="R121" i="10"/>
  <c r="P62" i="10"/>
  <c r="P121" i="10"/>
  <c r="R48" i="10"/>
  <c r="R123" i="10"/>
  <c r="Q62" i="10"/>
  <c r="I49" i="1" s="1"/>
  <c r="Q121" i="10"/>
  <c r="R27" i="10"/>
  <c r="R120" i="10"/>
  <c r="P48" i="10"/>
  <c r="P87" i="10" s="1"/>
  <c r="P47" i="35" s="1"/>
  <c r="P48" i="35" s="1"/>
  <c r="P123" i="10"/>
  <c r="P15" i="10"/>
  <c r="P119" i="10"/>
  <c r="AI61" i="36"/>
  <c r="AI63" i="36"/>
  <c r="AJ62" i="36"/>
  <c r="AJ60" i="36"/>
  <c r="AJ61" i="36"/>
  <c r="AJ63" i="36"/>
  <c r="AK53" i="36"/>
  <c r="AK57" i="36" s="1"/>
  <c r="AK58" i="36" s="1"/>
  <c r="AK59" i="36" s="1"/>
  <c r="AB10" i="35"/>
  <c r="AB11" i="35" s="1"/>
  <c r="AC10" i="35"/>
  <c r="AC11" i="35" s="1"/>
  <c r="AC18" i="35"/>
  <c r="AC19" i="35" s="1"/>
  <c r="AB18" i="35"/>
  <c r="AB19" i="35" s="1"/>
  <c r="W83" i="10"/>
  <c r="AA72" i="17"/>
  <c r="AA163" i="17"/>
  <c r="AA164" i="17"/>
  <c r="AA165" i="17"/>
  <c r="AF86" i="15"/>
  <c r="AF85" i="15"/>
  <c r="AF87" i="15"/>
  <c r="AB31" i="35"/>
  <c r="AB32" i="35" s="1"/>
  <c r="U71" i="10"/>
  <c r="U79" i="18"/>
  <c r="U86" i="18" s="1"/>
  <c r="AI63" i="11"/>
  <c r="AI75" i="11" s="1"/>
  <c r="AA41" i="35"/>
  <c r="AA59" i="10"/>
  <c r="AA61" i="17"/>
  <c r="AA58" i="18"/>
  <c r="AC47" i="17"/>
  <c r="AC26" i="17"/>
  <c r="V78" i="18"/>
  <c r="V66" i="10"/>
  <c r="V67" i="10" s="1"/>
  <c r="V70" i="10" s="1"/>
  <c r="AI157" i="17"/>
  <c r="AI81" i="15" s="1"/>
  <c r="AI155" i="17"/>
  <c r="AI79" i="15" s="1"/>
  <c r="AI149" i="17"/>
  <c r="AI150" i="17"/>
  <c r="AI74" i="15" s="1"/>
  <c r="AI154" i="17"/>
  <c r="AI78" i="15" s="1"/>
  <c r="AI153" i="17"/>
  <c r="AI77" i="15" s="1"/>
  <c r="AI156" i="17"/>
  <c r="AI80" i="15" s="1"/>
  <c r="AI151" i="17"/>
  <c r="AI75" i="15" s="1"/>
  <c r="AI152" i="17"/>
  <c r="AI76" i="15" s="1"/>
  <c r="AK146" i="17"/>
  <c r="AK137" i="17"/>
  <c r="W85" i="18"/>
  <c r="W89" i="18" s="1"/>
  <c r="W82" i="18"/>
  <c r="AE28" i="36"/>
  <c r="AE11" i="36"/>
  <c r="AE38" i="36"/>
  <c r="AE38" i="15"/>
  <c r="AE18" i="36"/>
  <c r="AE18" i="15"/>
  <c r="AE25" i="17" s="1"/>
  <c r="AE28" i="15"/>
  <c r="AE46" i="17" s="1"/>
  <c r="AE11" i="15"/>
  <c r="AE13" i="17" s="1"/>
  <c r="AJ91" i="11"/>
  <c r="AD28" i="36"/>
  <c r="AD38" i="15"/>
  <c r="AD28" i="15"/>
  <c r="AD46" i="17" s="1"/>
  <c r="AD38" i="36"/>
  <c r="AD11" i="36"/>
  <c r="AD18" i="36"/>
  <c r="AD18" i="15"/>
  <c r="AD25" i="17" s="1"/>
  <c r="AD11" i="15"/>
  <c r="AD13" i="17" s="1"/>
  <c r="U73" i="10"/>
  <c r="U81" i="18"/>
  <c r="U88" i="18" s="1"/>
  <c r="AC58" i="17"/>
  <c r="AC60" i="17"/>
  <c r="AC71" i="17" s="1"/>
  <c r="AC72" i="17" s="1"/>
  <c r="V72" i="10"/>
  <c r="V87" i="18"/>
  <c r="AJ138" i="17"/>
  <c r="AJ141" i="17"/>
  <c r="AJ142" i="17" s="1"/>
  <c r="T83" i="10"/>
  <c r="AB14" i="17"/>
  <c r="AB58" i="17"/>
  <c r="AB60" i="17"/>
  <c r="AB71" i="17" s="1"/>
  <c r="U78" i="18"/>
  <c r="U66" i="10"/>
  <c r="U67" i="10" s="1"/>
  <c r="U70" i="10" s="1"/>
  <c r="X82" i="18"/>
  <c r="X85" i="18"/>
  <c r="X89" i="18" s="1"/>
  <c r="AG86" i="15"/>
  <c r="AG85" i="15"/>
  <c r="AG87" i="15"/>
  <c r="V81" i="18"/>
  <c r="V88" i="18" s="1"/>
  <c r="V73" i="10"/>
  <c r="AJ70" i="15"/>
  <c r="T82" i="18"/>
  <c r="T85" i="18"/>
  <c r="T89" i="18" s="1"/>
  <c r="AK78" i="11"/>
  <c r="AK91" i="16"/>
  <c r="AB47" i="17"/>
  <c r="AB26" i="17"/>
  <c r="U87" i="18"/>
  <c r="U72" i="10"/>
  <c r="Z166" i="17"/>
  <c r="Z72" i="17"/>
  <c r="Z164" i="17"/>
  <c r="Z165" i="17"/>
  <c r="Z163" i="17"/>
  <c r="Y77" i="17"/>
  <c r="Y83" i="17" s="1"/>
  <c r="Y80" i="18" s="1"/>
  <c r="Y75" i="17"/>
  <c r="Y81" i="17" s="1"/>
  <c r="Y76" i="17"/>
  <c r="Y82" i="17" s="1"/>
  <c r="Y78" i="17"/>
  <c r="Y84" i="17" s="1"/>
  <c r="X83" i="10"/>
  <c r="AA42" i="35"/>
  <c r="AA166" i="17"/>
  <c r="AC31" i="35"/>
  <c r="AC32" i="35" s="1"/>
  <c r="AC14" i="17"/>
  <c r="V79" i="18"/>
  <c r="V86" i="18" s="1"/>
  <c r="V71" i="10"/>
  <c r="AJ102" i="14"/>
  <c r="AI103" i="14"/>
  <c r="AH65" i="17" s="1"/>
  <c r="AH73" i="15"/>
  <c r="AH82" i="15" s="1"/>
  <c r="AH158" i="17"/>
  <c r="R87" i="10"/>
  <c r="R63" i="18"/>
  <c r="R75" i="18" s="1"/>
  <c r="J34" i="1"/>
  <c r="K34" i="1" s="1"/>
  <c r="Q63" i="18"/>
  <c r="Q75" i="18" s="1"/>
  <c r="J38" i="1" s="1"/>
  <c r="P63" i="18"/>
  <c r="P75" i="18" s="1"/>
  <c r="W26" i="10" l="1"/>
  <c r="W84" i="10"/>
  <c r="W85" i="10"/>
  <c r="R47" i="35"/>
  <c r="R48" i="35" s="1"/>
  <c r="R88" i="10"/>
  <c r="X84" i="10"/>
  <c r="X85" i="10"/>
  <c r="S127" i="10"/>
  <c r="S126" i="10"/>
  <c r="S130" i="10" s="1"/>
  <c r="R124" i="10"/>
  <c r="Q87" i="10"/>
  <c r="P127" i="10"/>
  <c r="P126" i="10"/>
  <c r="P130" i="10" s="1"/>
  <c r="T84" i="10"/>
  <c r="T85" i="10" s="1"/>
  <c r="Q124" i="10"/>
  <c r="AK60" i="36"/>
  <c r="AK62" i="36"/>
  <c r="AK61" i="36"/>
  <c r="AK63" i="36"/>
  <c r="W14" i="10"/>
  <c r="W61" i="10"/>
  <c r="W47" i="10"/>
  <c r="AC163" i="17"/>
  <c r="AE18" i="35"/>
  <c r="AE19" i="35" s="1"/>
  <c r="AE31" i="35"/>
  <c r="AE32" i="35" s="1"/>
  <c r="AB72" i="17"/>
  <c r="AB163" i="17"/>
  <c r="AB164" i="17"/>
  <c r="AB165" i="17"/>
  <c r="Y79" i="18"/>
  <c r="Y86" i="18" s="1"/>
  <c r="Y71" i="10"/>
  <c r="AG11" i="15"/>
  <c r="AG13" i="17" s="1"/>
  <c r="AG28" i="36"/>
  <c r="AG38" i="36"/>
  <c r="AG18" i="36"/>
  <c r="AG28" i="15"/>
  <c r="AG46" i="17" s="1"/>
  <c r="AG38" i="15"/>
  <c r="AG11" i="36"/>
  <c r="AG18" i="15"/>
  <c r="AG25" i="17" s="1"/>
  <c r="U82" i="18"/>
  <c r="U85" i="18"/>
  <c r="U89" i="18" s="1"/>
  <c r="AC58" i="18"/>
  <c r="AC59" i="10"/>
  <c r="AC41" i="35"/>
  <c r="AC61" i="17"/>
  <c r="AD26" i="17"/>
  <c r="AD47" i="17"/>
  <c r="AJ60" i="11"/>
  <c r="AJ61" i="11" s="1"/>
  <c r="AJ25" i="11"/>
  <c r="AJ26" i="11" s="1"/>
  <c r="AJ13" i="11"/>
  <c r="AJ14" i="11" s="1"/>
  <c r="AJ46" i="11"/>
  <c r="AJ47" i="11" s="1"/>
  <c r="AK70" i="15"/>
  <c r="V82" i="18"/>
  <c r="V85" i="18"/>
  <c r="V89" i="18" s="1"/>
  <c r="AA43" i="35"/>
  <c r="AA45" i="35" s="1"/>
  <c r="AA46" i="35" s="1"/>
  <c r="AK102" i="14"/>
  <c r="AJ103" i="14"/>
  <c r="AI65" i="17" s="1"/>
  <c r="T46" i="18"/>
  <c r="T47" i="18" s="1"/>
  <c r="T25" i="18"/>
  <c r="T26" i="18" s="1"/>
  <c r="T60" i="18"/>
  <c r="T61" i="18" s="1"/>
  <c r="T13" i="18"/>
  <c r="T14" i="18" s="1"/>
  <c r="AB42" i="35"/>
  <c r="AB166" i="17"/>
  <c r="AD18" i="35"/>
  <c r="AD19" i="35" s="1"/>
  <c r="AD58" i="17"/>
  <c r="AD60" i="17"/>
  <c r="AD42" i="35" s="1"/>
  <c r="AE14" i="17"/>
  <c r="AE58" i="17"/>
  <c r="AE60" i="17"/>
  <c r="AE71" i="17" s="1"/>
  <c r="W25" i="18"/>
  <c r="W26" i="18" s="1"/>
  <c r="W46" i="18"/>
  <c r="W47" i="18" s="1"/>
  <c r="W13" i="18"/>
  <c r="W14" i="18" s="1"/>
  <c r="W60" i="18"/>
  <c r="W61" i="18" s="1"/>
  <c r="AC164" i="17"/>
  <c r="AC78" i="17"/>
  <c r="AC84" i="17" s="1"/>
  <c r="AC76" i="17"/>
  <c r="AC82" i="17" s="1"/>
  <c r="AC75" i="17"/>
  <c r="AC81" i="17" s="1"/>
  <c r="AC77" i="17"/>
  <c r="AC83" i="17" s="1"/>
  <c r="AC80" i="18" s="1"/>
  <c r="Y66" i="10"/>
  <c r="Y67" i="10" s="1"/>
  <c r="Y70" i="10" s="1"/>
  <c r="Y78" i="18"/>
  <c r="X26" i="10"/>
  <c r="X14" i="10"/>
  <c r="X47" i="10"/>
  <c r="X61" i="10"/>
  <c r="Y87" i="18"/>
  <c r="Y72" i="10"/>
  <c r="Z78" i="17"/>
  <c r="Z84" i="17" s="1"/>
  <c r="Z75" i="17"/>
  <c r="Z81" i="17" s="1"/>
  <c r="Z77" i="17"/>
  <c r="Z83" i="17" s="1"/>
  <c r="Z80" i="18" s="1"/>
  <c r="Z76" i="17"/>
  <c r="Z82" i="17" s="1"/>
  <c r="X13" i="18"/>
  <c r="X14" i="18" s="1"/>
  <c r="X46" i="18"/>
  <c r="X47" i="18" s="1"/>
  <c r="X25" i="18"/>
  <c r="X26" i="18" s="1"/>
  <c r="X60" i="18"/>
  <c r="X61" i="18" s="1"/>
  <c r="AB59" i="10"/>
  <c r="AB58" i="18"/>
  <c r="AB61" i="17"/>
  <c r="AB41" i="35"/>
  <c r="T47" i="10"/>
  <c r="T61" i="10"/>
  <c r="T14" i="10"/>
  <c r="T26" i="10"/>
  <c r="AD10" i="35"/>
  <c r="AD11" i="35" s="1"/>
  <c r="AD31" i="35"/>
  <c r="AD32" i="35" s="1"/>
  <c r="AE47" i="17"/>
  <c r="AH86" i="15"/>
  <c r="AH87" i="15"/>
  <c r="AH85" i="15"/>
  <c r="Y81" i="18"/>
  <c r="Y88" i="18" s="1"/>
  <c r="Y73" i="10"/>
  <c r="AK91" i="11"/>
  <c r="U83" i="10"/>
  <c r="AJ155" i="17"/>
  <c r="AJ79" i="15" s="1"/>
  <c r="AJ149" i="17"/>
  <c r="AJ152" i="17"/>
  <c r="AJ76" i="15" s="1"/>
  <c r="AJ153" i="17"/>
  <c r="AJ77" i="15" s="1"/>
  <c r="AJ150" i="17"/>
  <c r="AJ74" i="15" s="1"/>
  <c r="AJ157" i="17"/>
  <c r="AJ81" i="15" s="1"/>
  <c r="AJ151" i="17"/>
  <c r="AJ75" i="15" s="1"/>
  <c r="AJ156" i="17"/>
  <c r="AJ80" i="15" s="1"/>
  <c r="AJ154" i="17"/>
  <c r="AJ78" i="15" s="1"/>
  <c r="AC42" i="35"/>
  <c r="AC166" i="17"/>
  <c r="AD14" i="17"/>
  <c r="AE26" i="17"/>
  <c r="AE10" i="35"/>
  <c r="AE11" i="35" s="1"/>
  <c r="AK141" i="17"/>
  <c r="AK142" i="17" s="1"/>
  <c r="AK138" i="17"/>
  <c r="AI73" i="15"/>
  <c r="AI82" i="15" s="1"/>
  <c r="AI158" i="17"/>
  <c r="V83" i="10"/>
  <c r="AC165" i="17"/>
  <c r="AF11" i="36"/>
  <c r="AF11" i="15"/>
  <c r="AF13" i="17" s="1"/>
  <c r="AF18" i="15"/>
  <c r="AF25" i="17" s="1"/>
  <c r="AF18" i="36"/>
  <c r="AF28" i="15"/>
  <c r="AF46" i="17" s="1"/>
  <c r="AF28" i="36"/>
  <c r="AF38" i="36"/>
  <c r="AF38" i="15"/>
  <c r="AA76" i="17"/>
  <c r="AA82" i="17" s="1"/>
  <c r="AA75" i="17"/>
  <c r="AA81" i="17" s="1"/>
  <c r="AA78" i="17"/>
  <c r="AA84" i="17" s="1"/>
  <c r="AA77" i="17"/>
  <c r="AA83" i="17" s="1"/>
  <c r="AA80" i="18" s="1"/>
  <c r="K38" i="1"/>
  <c r="J41" i="1"/>
  <c r="K41" i="1" s="1"/>
  <c r="W62" i="10" l="1"/>
  <c r="W121" i="10"/>
  <c r="W48" i="10"/>
  <c r="W123" i="10"/>
  <c r="T15" i="10"/>
  <c r="T119" i="10"/>
  <c r="T62" i="10"/>
  <c r="T121" i="10"/>
  <c r="X62" i="10"/>
  <c r="X121" i="10"/>
  <c r="W15" i="10"/>
  <c r="W119" i="10"/>
  <c r="I50" i="1"/>
  <c r="Q88" i="10"/>
  <c r="T48" i="10"/>
  <c r="T123" i="10"/>
  <c r="Q47" i="35"/>
  <c r="Q48" i="35" s="1"/>
  <c r="X27" i="10"/>
  <c r="X120" i="10"/>
  <c r="R126" i="10"/>
  <c r="R130" i="10" s="1"/>
  <c r="R127" i="10"/>
  <c r="Q126" i="10"/>
  <c r="Q130" i="10" s="1"/>
  <c r="Q127" i="10"/>
  <c r="T27" i="10"/>
  <c r="T120" i="10"/>
  <c r="V84" i="10"/>
  <c r="V85" i="10"/>
  <c r="X48" i="10"/>
  <c r="X123" i="10"/>
  <c r="X15" i="10"/>
  <c r="X119" i="10"/>
  <c r="U84" i="10"/>
  <c r="U85" i="10" s="1"/>
  <c r="W27" i="10"/>
  <c r="W120" i="10"/>
  <c r="W124" i="10" s="1"/>
  <c r="AB43" i="35"/>
  <c r="AB45" i="35" s="1"/>
  <c r="AB46" i="35" s="1"/>
  <c r="AD71" i="17"/>
  <c r="AD164" i="17" s="1"/>
  <c r="W87" i="10"/>
  <c r="AG10" i="35"/>
  <c r="AG11" i="35" s="1"/>
  <c r="T63" i="18"/>
  <c r="T75" i="18" s="1"/>
  <c r="AF31" i="35"/>
  <c r="AF32" i="35" s="1"/>
  <c r="M59" i="1" s="1"/>
  <c r="N59" i="1" s="1"/>
  <c r="AF18" i="35"/>
  <c r="AF19" i="35" s="1"/>
  <c r="M58" i="1" s="1"/>
  <c r="N58" i="1" s="1"/>
  <c r="AE42" i="35"/>
  <c r="X63" i="18"/>
  <c r="X75" i="18" s="1"/>
  <c r="AJ63" i="11"/>
  <c r="AJ75" i="11" s="1"/>
  <c r="AE72" i="17"/>
  <c r="AE164" i="17"/>
  <c r="AE163" i="17"/>
  <c r="AE165" i="17"/>
  <c r="AA87" i="18"/>
  <c r="AA72" i="10"/>
  <c r="AF58" i="17"/>
  <c r="AF60" i="17"/>
  <c r="AF42" i="35" s="1"/>
  <c r="Z81" i="18"/>
  <c r="Z88" i="18" s="1"/>
  <c r="Z73" i="10"/>
  <c r="Y83" i="10"/>
  <c r="AC81" i="18"/>
  <c r="AC88" i="18" s="1"/>
  <c r="AC73" i="10"/>
  <c r="AD59" i="10"/>
  <c r="AD61" i="17"/>
  <c r="AD41" i="35"/>
  <c r="AD43" i="35" s="1"/>
  <c r="AD45" i="35" s="1"/>
  <c r="AD46" i="35" s="1"/>
  <c r="AD58" i="18"/>
  <c r="V46" i="18"/>
  <c r="V47" i="18" s="1"/>
  <c r="V60" i="18"/>
  <c r="V61" i="18" s="1"/>
  <c r="V25" i="18"/>
  <c r="V26" i="18" s="1"/>
  <c r="V13" i="18"/>
  <c r="V14" i="18" s="1"/>
  <c r="AC43" i="35"/>
  <c r="AC45" i="35" s="1"/>
  <c r="AC46" i="35" s="1"/>
  <c r="U60" i="18"/>
  <c r="U61" i="18" s="1"/>
  <c r="U46" i="18"/>
  <c r="U47" i="18" s="1"/>
  <c r="U25" i="18"/>
  <c r="U26" i="18" s="1"/>
  <c r="U13" i="18"/>
  <c r="U14" i="18" s="1"/>
  <c r="AG47" i="17"/>
  <c r="AG14" i="17"/>
  <c r="AA81" i="18"/>
  <c r="AA88" i="18" s="1"/>
  <c r="AA73" i="10"/>
  <c r="AF26" i="17"/>
  <c r="V14" i="10"/>
  <c r="V61" i="10"/>
  <c r="V47" i="10"/>
  <c r="V26" i="10"/>
  <c r="AK157" i="17"/>
  <c r="AK81" i="15" s="1"/>
  <c r="AK156" i="17"/>
  <c r="AK80" i="15" s="1"/>
  <c r="AK155" i="17"/>
  <c r="AK79" i="15" s="1"/>
  <c r="AK150" i="17"/>
  <c r="AK74" i="15" s="1"/>
  <c r="AK149" i="17"/>
  <c r="AK153" i="17"/>
  <c r="AK77" i="15" s="1"/>
  <c r="AK152" i="17"/>
  <c r="AK76" i="15" s="1"/>
  <c r="AK151" i="17"/>
  <c r="AK75" i="15" s="1"/>
  <c r="AK154" i="17"/>
  <c r="AK78" i="15" s="1"/>
  <c r="AJ73" i="15"/>
  <c r="AJ82" i="15" s="1"/>
  <c r="AJ158" i="17"/>
  <c r="AK46" i="11"/>
  <c r="AK47" i="11" s="1"/>
  <c r="AK60" i="11"/>
  <c r="AK61" i="11" s="1"/>
  <c r="AK25" i="11"/>
  <c r="AK26" i="11" s="1"/>
  <c r="AK13" i="11"/>
  <c r="AK14" i="11" s="1"/>
  <c r="T87" i="10"/>
  <c r="Z71" i="10"/>
  <c r="Z79" i="18"/>
  <c r="Z86" i="18" s="1"/>
  <c r="X87" i="10"/>
  <c r="AC72" i="10"/>
  <c r="AC87" i="18"/>
  <c r="AL102" i="14"/>
  <c r="AL103" i="14" s="1"/>
  <c r="AK65" i="17" s="1"/>
  <c r="AK103" i="14"/>
  <c r="AJ65" i="17" s="1"/>
  <c r="AG26" i="17"/>
  <c r="AG18" i="35"/>
  <c r="AG19" i="35" s="1"/>
  <c r="AA66" i="10"/>
  <c r="AA67" i="10" s="1"/>
  <c r="AA70" i="10" s="1"/>
  <c r="AA78" i="18"/>
  <c r="AF14" i="17"/>
  <c r="AH18" i="15"/>
  <c r="AH25" i="17" s="1"/>
  <c r="AH11" i="15"/>
  <c r="AH13" i="17" s="1"/>
  <c r="AH38" i="36"/>
  <c r="AH11" i="36"/>
  <c r="AH28" i="15"/>
  <c r="AH46" i="17" s="1"/>
  <c r="AH18" i="36"/>
  <c r="AH38" i="15"/>
  <c r="AH28" i="36"/>
  <c r="Z87" i="18"/>
  <c r="Z72" i="10"/>
  <c r="AC78" i="18"/>
  <c r="AC66" i="10"/>
  <c r="AC67" i="10" s="1"/>
  <c r="AC70" i="10" s="1"/>
  <c r="AE166" i="17"/>
  <c r="AA71" i="10"/>
  <c r="AA79" i="18"/>
  <c r="AA86" i="18" s="1"/>
  <c r="AF47" i="17"/>
  <c r="AF10" i="35"/>
  <c r="AF11" i="35" s="1"/>
  <c r="M57" i="1" s="1"/>
  <c r="N57" i="1" s="1"/>
  <c r="AI87" i="15"/>
  <c r="AI85" i="15"/>
  <c r="AI86" i="15"/>
  <c r="U47" i="10"/>
  <c r="U61" i="10"/>
  <c r="U26" i="10"/>
  <c r="U14" i="10"/>
  <c r="Z66" i="10"/>
  <c r="Z67" i="10" s="1"/>
  <c r="Z70" i="10" s="1"/>
  <c r="Z78" i="18"/>
  <c r="Y85" i="18"/>
  <c r="Y89" i="18" s="1"/>
  <c r="Y82" i="18"/>
  <c r="AC79" i="18"/>
  <c r="AC86" i="18" s="1"/>
  <c r="AC71" i="10"/>
  <c r="W63" i="18"/>
  <c r="W75" i="18" s="1"/>
  <c r="AE58" i="18"/>
  <c r="AE59" i="10"/>
  <c r="AE41" i="35"/>
  <c r="AE61" i="17"/>
  <c r="AD165" i="17"/>
  <c r="AG58" i="17"/>
  <c r="AG60" i="17"/>
  <c r="AG31" i="35"/>
  <c r="AG32" i="35" s="1"/>
  <c r="AB75" i="17"/>
  <c r="AB81" i="17" s="1"/>
  <c r="AB76" i="17"/>
  <c r="AB82" i="17" s="1"/>
  <c r="AB77" i="17"/>
  <c r="AB83" i="17" s="1"/>
  <c r="AB80" i="18" s="1"/>
  <c r="AB78" i="17"/>
  <c r="AB84" i="17" s="1"/>
  <c r="T47" i="35" l="1"/>
  <c r="T48" i="35" s="1"/>
  <c r="T88" i="10"/>
  <c r="V48" i="10"/>
  <c r="V123" i="10"/>
  <c r="V62" i="10"/>
  <c r="V121" i="10"/>
  <c r="W47" i="35"/>
  <c r="W48" i="35" s="1"/>
  <c r="W88" i="10"/>
  <c r="T124" i="10"/>
  <c r="V15" i="10"/>
  <c r="V119" i="10"/>
  <c r="V124" i="10" s="1"/>
  <c r="N48" i="1"/>
  <c r="N46" i="1"/>
  <c r="N51" i="1"/>
  <c r="N49" i="1"/>
  <c r="N47" i="1"/>
  <c r="N50" i="1"/>
  <c r="I52" i="1"/>
  <c r="U27" i="10"/>
  <c r="U120" i="10"/>
  <c r="W126" i="10"/>
  <c r="W127" i="10"/>
  <c r="X124" i="10"/>
  <c r="V27" i="10"/>
  <c r="V87" i="10" s="1"/>
  <c r="V120" i="10"/>
  <c r="U15" i="10"/>
  <c r="U119" i="10"/>
  <c r="Y84" i="10"/>
  <c r="Y85" i="10"/>
  <c r="X47" i="35"/>
  <c r="X48" i="35" s="1"/>
  <c r="X88" i="10"/>
  <c r="U62" i="10"/>
  <c r="U87" i="10" s="1"/>
  <c r="U121" i="10"/>
  <c r="U48" i="10"/>
  <c r="U123" i="10"/>
  <c r="AD72" i="17"/>
  <c r="AD166" i="17"/>
  <c r="AD163" i="17"/>
  <c r="AH18" i="35"/>
  <c r="AH19" i="35" s="1"/>
  <c r="Z83" i="10"/>
  <c r="AE43" i="35"/>
  <c r="AE45" i="35" s="1"/>
  <c r="AE46" i="35" s="1"/>
  <c r="AF71" i="17"/>
  <c r="AF166" i="17" s="1"/>
  <c r="AG58" i="18"/>
  <c r="AG41" i="35"/>
  <c r="AG59" i="10"/>
  <c r="AG61" i="17"/>
  <c r="AB72" i="10"/>
  <c r="AB87" i="18"/>
  <c r="AG42" i="35"/>
  <c r="Z85" i="18"/>
  <c r="Z89" i="18" s="1"/>
  <c r="Z82" i="18"/>
  <c r="AC85" i="18"/>
  <c r="AC89" i="18" s="1"/>
  <c r="AC82" i="18"/>
  <c r="AH58" i="17"/>
  <c r="AH60" i="17"/>
  <c r="AH42" i="35" s="1"/>
  <c r="AA82" i="18"/>
  <c r="AA85" i="18"/>
  <c r="AA89" i="18" s="1"/>
  <c r="AK73" i="15"/>
  <c r="AK82" i="15" s="1"/>
  <c r="AK158" i="17"/>
  <c r="AH14" i="17"/>
  <c r="AA83" i="10"/>
  <c r="AK92" i="11"/>
  <c r="AK63" i="11"/>
  <c r="AK75" i="11" s="1"/>
  <c r="AG71" i="17"/>
  <c r="AG166" i="17" s="1"/>
  <c r="U63" i="18"/>
  <c r="U75" i="18" s="1"/>
  <c r="Y61" i="10"/>
  <c r="Y14" i="10"/>
  <c r="Y26" i="10"/>
  <c r="Y47" i="10"/>
  <c r="AF61" i="17"/>
  <c r="AF41" i="35"/>
  <c r="AF43" i="35" s="1"/>
  <c r="AF59" i="10"/>
  <c r="AF58" i="18"/>
  <c r="AI38" i="15"/>
  <c r="AI18" i="15"/>
  <c r="AI25" i="17" s="1"/>
  <c r="AI28" i="36"/>
  <c r="AI11" i="36"/>
  <c r="AI18" i="36"/>
  <c r="AI11" i="15"/>
  <c r="AI13" i="17" s="1"/>
  <c r="AI28" i="15"/>
  <c r="AI46" i="17" s="1"/>
  <c r="AI38" i="36"/>
  <c r="AH47" i="17"/>
  <c r="AH26" i="17"/>
  <c r="AJ87" i="15"/>
  <c r="AJ86" i="15"/>
  <c r="AJ85" i="15"/>
  <c r="V63" i="18"/>
  <c r="V75" i="18" s="1"/>
  <c r="AB79" i="18"/>
  <c r="AB86" i="18" s="1"/>
  <c r="AB71" i="10"/>
  <c r="AB78" i="18"/>
  <c r="AB66" i="10"/>
  <c r="AB67" i="10" s="1"/>
  <c r="AB70" i="10" s="1"/>
  <c r="Y46" i="18"/>
  <c r="Y47" i="18" s="1"/>
  <c r="Y60" i="18"/>
  <c r="Y61" i="18" s="1"/>
  <c r="Y25" i="18"/>
  <c r="Y26" i="18" s="1"/>
  <c r="Y13" i="18"/>
  <c r="Y14" i="18" s="1"/>
  <c r="AB81" i="18"/>
  <c r="AB88" i="18" s="1"/>
  <c r="AB73" i="10"/>
  <c r="AC83" i="10"/>
  <c r="AH31" i="35"/>
  <c r="AH32" i="35" s="1"/>
  <c r="AH10" i="35"/>
  <c r="AH11" i="35" s="1"/>
  <c r="AD77" i="17"/>
  <c r="AD83" i="17" s="1"/>
  <c r="AD80" i="18" s="1"/>
  <c r="AD76" i="17"/>
  <c r="AD82" i="17" s="1"/>
  <c r="AD78" i="17"/>
  <c r="AD84" i="17" s="1"/>
  <c r="AD75" i="17"/>
  <c r="AD81" i="17" s="1"/>
  <c r="AE75" i="17"/>
  <c r="AE81" i="17" s="1"/>
  <c r="AE77" i="17"/>
  <c r="AE83" i="17" s="1"/>
  <c r="AE80" i="18" s="1"/>
  <c r="AE78" i="17"/>
  <c r="AE84" i="17" s="1"/>
  <c r="AE76" i="17"/>
  <c r="AE82" i="17" s="1"/>
  <c r="V47" i="35" l="1"/>
  <c r="V48" i="35" s="1"/>
  <c r="V88" i="10"/>
  <c r="U47" i="35"/>
  <c r="U48" i="35" s="1"/>
  <c r="U88" i="10"/>
  <c r="Y27" i="10"/>
  <c r="Y120" i="10"/>
  <c r="Y62" i="10"/>
  <c r="Y121" i="10"/>
  <c r="Y48" i="10"/>
  <c r="Y123" i="10"/>
  <c r="X126" i="10"/>
  <c r="X130" i="10" s="1"/>
  <c r="X127" i="10"/>
  <c r="Y15" i="10"/>
  <c r="Y87" i="10" s="1"/>
  <c r="Y119" i="10"/>
  <c r="W130" i="10"/>
  <c r="V127" i="10"/>
  <c r="V126" i="10"/>
  <c r="V130" i="10" s="1"/>
  <c r="Z26" i="10"/>
  <c r="Z85" i="10"/>
  <c r="Z84" i="10"/>
  <c r="U124" i="10"/>
  <c r="T126" i="10"/>
  <c r="T130" i="10" s="1"/>
  <c r="T127" i="10"/>
  <c r="Z47" i="10"/>
  <c r="Z14" i="10"/>
  <c r="AF72" i="17"/>
  <c r="AF75" i="17" s="1"/>
  <c r="AF81" i="17" s="1"/>
  <c r="Z61" i="10"/>
  <c r="AB83" i="10"/>
  <c r="AB26" i="10" s="1"/>
  <c r="AB27" i="10" s="1"/>
  <c r="AF164" i="17"/>
  <c r="AF165" i="17"/>
  <c r="AF163" i="17"/>
  <c r="Y63" i="18"/>
  <c r="Y75" i="18" s="1"/>
  <c r="AE79" i="18"/>
  <c r="AE86" i="18" s="1"/>
  <c r="AE71" i="10"/>
  <c r="AD81" i="18"/>
  <c r="AD88" i="18" s="1"/>
  <c r="AD73" i="10"/>
  <c r="AE72" i="10"/>
  <c r="AE87" i="18"/>
  <c r="AE78" i="18"/>
  <c r="AE66" i="10"/>
  <c r="AE67" i="10" s="1"/>
  <c r="AE70" i="10" s="1"/>
  <c r="AD72" i="10"/>
  <c r="AD87" i="18"/>
  <c r="AJ28" i="36"/>
  <c r="AJ28" i="15"/>
  <c r="AJ46" i="17" s="1"/>
  <c r="AJ38" i="15"/>
  <c r="AJ18" i="36"/>
  <c r="AJ18" i="15"/>
  <c r="AJ25" i="17" s="1"/>
  <c r="AJ38" i="36"/>
  <c r="AJ11" i="36"/>
  <c r="AJ11" i="15"/>
  <c r="AJ13" i="17" s="1"/>
  <c r="AI18" i="35"/>
  <c r="AI19" i="35" s="1"/>
  <c r="AI58" i="17"/>
  <c r="AI60" i="17"/>
  <c r="AI42" i="35" s="1"/>
  <c r="AH71" i="17"/>
  <c r="AC13" i="18"/>
  <c r="AC14" i="18" s="1"/>
  <c r="AC46" i="18"/>
  <c r="AC47" i="18" s="1"/>
  <c r="AC60" i="18"/>
  <c r="AC61" i="18" s="1"/>
  <c r="AC25" i="18"/>
  <c r="AC26" i="18" s="1"/>
  <c r="AD78" i="18"/>
  <c r="AD66" i="10"/>
  <c r="AD67" i="10" s="1"/>
  <c r="AD70" i="10" s="1"/>
  <c r="AI10" i="35"/>
  <c r="AI11" i="35" s="1"/>
  <c r="AA13" i="18"/>
  <c r="AA14" i="18" s="1"/>
  <c r="AA25" i="18"/>
  <c r="AA26" i="18" s="1"/>
  <c r="AA60" i="18"/>
  <c r="AA61" i="18" s="1"/>
  <c r="AA46" i="18"/>
  <c r="AA47" i="18" s="1"/>
  <c r="AI47" i="17"/>
  <c r="AI31" i="35"/>
  <c r="AI32" i="35" s="1"/>
  <c r="AG163" i="17"/>
  <c r="AG72" i="17"/>
  <c r="AG165" i="17"/>
  <c r="AG164" i="17"/>
  <c r="AA61" i="10"/>
  <c r="AA62" i="10" s="1"/>
  <c r="AA26" i="10"/>
  <c r="AA27" i="10" s="1"/>
  <c r="AA47" i="10"/>
  <c r="AA48" i="10" s="1"/>
  <c r="AA14" i="10"/>
  <c r="AA15" i="10" s="1"/>
  <c r="Z13" i="18"/>
  <c r="Z14" i="18" s="1"/>
  <c r="Z60" i="18"/>
  <c r="Z61" i="18" s="1"/>
  <c r="Z46" i="18"/>
  <c r="Z47" i="18" s="1"/>
  <c r="Z25" i="18"/>
  <c r="Z26" i="18" s="1"/>
  <c r="AG43" i="35"/>
  <c r="AG45" i="35" s="1"/>
  <c r="AG46" i="35" s="1"/>
  <c r="AE81" i="18"/>
  <c r="AE88" i="18" s="1"/>
  <c r="AE73" i="10"/>
  <c r="AD71" i="10"/>
  <c r="AD79" i="18"/>
  <c r="AD86" i="18" s="1"/>
  <c r="AC26" i="10"/>
  <c r="AC27" i="10" s="1"/>
  <c r="AC47" i="10"/>
  <c r="AC48" i="10" s="1"/>
  <c r="AC61" i="10"/>
  <c r="AC62" i="10" s="1"/>
  <c r="AC14" i="10"/>
  <c r="AC15" i="10" s="1"/>
  <c r="AB82" i="18"/>
  <c r="AB85" i="18"/>
  <c r="AB89" i="18" s="1"/>
  <c r="AF76" i="17"/>
  <c r="AF82" i="17" s="1"/>
  <c r="AF77" i="17"/>
  <c r="AF83" i="17" s="1"/>
  <c r="AF80" i="18" s="1"/>
  <c r="AF78" i="17"/>
  <c r="AF84" i="17" s="1"/>
  <c r="AI14" i="17"/>
  <c r="AI26" i="17"/>
  <c r="AF45" i="35"/>
  <c r="M60" i="1"/>
  <c r="N60" i="1" s="1"/>
  <c r="AK87" i="15"/>
  <c r="AK86" i="15" s="1"/>
  <c r="AK85" i="15"/>
  <c r="AH61" i="17"/>
  <c r="AH59" i="10"/>
  <c r="AH58" i="18"/>
  <c r="AH41" i="35"/>
  <c r="AH43" i="35" s="1"/>
  <c r="AH45" i="35" s="1"/>
  <c r="AH46" i="35" s="1"/>
  <c r="Y47" i="35" l="1"/>
  <c r="Y48" i="35" s="1"/>
  <c r="Y88" i="10"/>
  <c r="Y124" i="10"/>
  <c r="Z62" i="10"/>
  <c r="Z121" i="10"/>
  <c r="Z48" i="10"/>
  <c r="Z123" i="10"/>
  <c r="U127" i="10"/>
  <c r="U126" i="10"/>
  <c r="U130" i="10" s="1"/>
  <c r="Z27" i="10"/>
  <c r="Z120" i="10"/>
  <c r="Z15" i="10"/>
  <c r="Z87" i="10" s="1"/>
  <c r="Z119" i="10"/>
  <c r="AB14" i="10"/>
  <c r="AB15" i="10" s="1"/>
  <c r="AB61" i="10"/>
  <c r="AB62" i="10" s="1"/>
  <c r="AB47" i="10"/>
  <c r="AB48" i="10" s="1"/>
  <c r="AI71" i="17"/>
  <c r="AI163" i="17" s="1"/>
  <c r="AC87" i="10"/>
  <c r="AC47" i="35" s="1"/>
  <c r="AC48" i="35" s="1"/>
  <c r="AF81" i="18"/>
  <c r="AF88" i="18" s="1"/>
  <c r="AF73" i="10"/>
  <c r="AD83" i="10"/>
  <c r="AI61" i="17"/>
  <c r="AI41" i="35"/>
  <c r="AI43" i="35" s="1"/>
  <c r="AI45" i="35" s="1"/>
  <c r="AI46" i="35" s="1"/>
  <c r="AI58" i="18"/>
  <c r="AI59" i="10"/>
  <c r="AJ47" i="17"/>
  <c r="AE83" i="10"/>
  <c r="AF72" i="10"/>
  <c r="AF87" i="18"/>
  <c r="AB60" i="18"/>
  <c r="AB61" i="18" s="1"/>
  <c r="AB46" i="18"/>
  <c r="AB47" i="18" s="1"/>
  <c r="AB25" i="18"/>
  <c r="AB26" i="18" s="1"/>
  <c r="AB13" i="18"/>
  <c r="AB14" i="18" s="1"/>
  <c r="AG75" i="17"/>
  <c r="AG81" i="17" s="1"/>
  <c r="AG76" i="17"/>
  <c r="AG82" i="17" s="1"/>
  <c r="AG77" i="17"/>
  <c r="AG83" i="17" s="1"/>
  <c r="AG80" i="18" s="1"/>
  <c r="AG78" i="17"/>
  <c r="AG84" i="17" s="1"/>
  <c r="AA63" i="18"/>
  <c r="AA75" i="18" s="1"/>
  <c r="AD82" i="18"/>
  <c r="AD85" i="18"/>
  <c r="AD89" i="18" s="1"/>
  <c r="AC63" i="18"/>
  <c r="AC75" i="18" s="1"/>
  <c r="AJ26" i="17"/>
  <c r="AJ31" i="35"/>
  <c r="AJ32" i="35" s="1"/>
  <c r="AE82" i="18"/>
  <c r="AE85" i="18"/>
  <c r="AE89" i="18" s="1"/>
  <c r="AK38" i="15"/>
  <c r="AK28" i="36"/>
  <c r="AK38" i="36"/>
  <c r="AK11" i="15"/>
  <c r="AK13" i="17" s="1"/>
  <c r="AK11" i="36"/>
  <c r="AK18" i="15"/>
  <c r="AK25" i="17" s="1"/>
  <c r="AK28" i="15"/>
  <c r="AK46" i="17" s="1"/>
  <c r="AK18" i="36"/>
  <c r="Z63" i="18"/>
  <c r="Z75" i="18" s="1"/>
  <c r="AH166" i="17"/>
  <c r="AH72" i="17"/>
  <c r="AH163" i="17"/>
  <c r="AH165" i="17"/>
  <c r="AH164" i="17"/>
  <c r="AJ14" i="17"/>
  <c r="AJ18" i="35"/>
  <c r="AJ19" i="35" s="1"/>
  <c r="AF46" i="35"/>
  <c r="M61" i="1"/>
  <c r="N61" i="1" s="1"/>
  <c r="AF79" i="18"/>
  <c r="AF86" i="18" s="1"/>
  <c r="AF71" i="10"/>
  <c r="AF78" i="18"/>
  <c r="AF66" i="10"/>
  <c r="AF67" i="10" s="1"/>
  <c r="AF70" i="10" s="1"/>
  <c r="AA87" i="10"/>
  <c r="AA47" i="35" s="1"/>
  <c r="AA48" i="35" s="1"/>
  <c r="AJ10" i="35"/>
  <c r="AJ11" i="35" s="1"/>
  <c r="AJ58" i="17"/>
  <c r="AJ60" i="17"/>
  <c r="AJ42" i="35" s="1"/>
  <c r="Z47" i="35" l="1"/>
  <c r="Z48" i="35" s="1"/>
  <c r="Z88" i="10"/>
  <c r="Z124" i="10"/>
  <c r="Y126" i="10"/>
  <c r="Y130" i="10" s="1"/>
  <c r="Y127" i="10"/>
  <c r="AI165" i="17"/>
  <c r="AB87" i="10"/>
  <c r="AB47" i="35" s="1"/>
  <c r="AB48" i="35" s="1"/>
  <c r="AI72" i="17"/>
  <c r="AI75" i="17" s="1"/>
  <c r="AI81" i="17" s="1"/>
  <c r="AI164" i="17"/>
  <c r="AI166" i="17"/>
  <c r="AF83" i="10"/>
  <c r="AF47" i="10" s="1"/>
  <c r="AF48" i="10" s="1"/>
  <c r="J48" i="1" s="1"/>
  <c r="AK18" i="35"/>
  <c r="AK19" i="35" s="1"/>
  <c r="AK26" i="17"/>
  <c r="AK31" i="35"/>
  <c r="AK32" i="35" s="1"/>
  <c r="N69" i="1"/>
  <c r="O69" i="1" s="1"/>
  <c r="AG72" i="10"/>
  <c r="AG87" i="18"/>
  <c r="AD14" i="10"/>
  <c r="AD15" i="10" s="1"/>
  <c r="AD47" i="10"/>
  <c r="AD48" i="10" s="1"/>
  <c r="AD61" i="10"/>
  <c r="AD62" i="10" s="1"/>
  <c r="AD26" i="10"/>
  <c r="AD27" i="10" s="1"/>
  <c r="AJ71" i="17"/>
  <c r="N67" i="1"/>
  <c r="O67" i="1" s="1"/>
  <c r="AK10" i="35"/>
  <c r="AK11" i="35" s="1"/>
  <c r="AK58" i="17"/>
  <c r="AK60" i="17"/>
  <c r="AK42" i="35" s="1"/>
  <c r="AD60" i="18"/>
  <c r="AD61" i="18" s="1"/>
  <c r="AD13" i="18"/>
  <c r="AD14" i="18" s="1"/>
  <c r="AD46" i="18"/>
  <c r="AD47" i="18" s="1"/>
  <c r="AD25" i="18"/>
  <c r="AD26" i="18" s="1"/>
  <c r="AG71" i="10"/>
  <c r="AG79" i="18"/>
  <c r="AG86" i="18" s="1"/>
  <c r="AE47" i="10"/>
  <c r="AE48" i="10" s="1"/>
  <c r="AE14" i="10"/>
  <c r="AE15" i="10" s="1"/>
  <c r="AE61" i="10"/>
  <c r="AE62" i="10" s="1"/>
  <c r="AE26" i="10"/>
  <c r="AE27" i="10" s="1"/>
  <c r="AH76" i="17"/>
  <c r="AH82" i="17" s="1"/>
  <c r="AH77" i="17"/>
  <c r="AH83" i="17" s="1"/>
  <c r="AH80" i="18" s="1"/>
  <c r="AH75" i="17"/>
  <c r="AH81" i="17" s="1"/>
  <c r="AH78" i="17"/>
  <c r="AH84" i="17" s="1"/>
  <c r="AK14" i="17"/>
  <c r="AG78" i="18"/>
  <c r="AG66" i="10"/>
  <c r="AG67" i="10" s="1"/>
  <c r="AG70" i="10" s="1"/>
  <c r="AJ58" i="18"/>
  <c r="AJ61" i="17"/>
  <c r="AJ41" i="35"/>
  <c r="AJ43" i="35" s="1"/>
  <c r="AJ45" i="35" s="1"/>
  <c r="AJ46" i="35" s="1"/>
  <c r="AJ59" i="10"/>
  <c r="AF85" i="18"/>
  <c r="AF89" i="18" s="1"/>
  <c r="AF82" i="18"/>
  <c r="AI77" i="17"/>
  <c r="AI83" i="17" s="1"/>
  <c r="AI80" i="18" s="1"/>
  <c r="AI76" i="17"/>
  <c r="AI82" i="17" s="1"/>
  <c r="AK47" i="17"/>
  <c r="AE60" i="18"/>
  <c r="AE61" i="18" s="1"/>
  <c r="AE13" i="18"/>
  <c r="AE14" i="18" s="1"/>
  <c r="AE25" i="18"/>
  <c r="AE26" i="18" s="1"/>
  <c r="AE46" i="18"/>
  <c r="AE47" i="18" s="1"/>
  <c r="AG73" i="10"/>
  <c r="AG81" i="18"/>
  <c r="AG88" i="18" s="1"/>
  <c r="AB63" i="18"/>
  <c r="AB75" i="18" s="1"/>
  <c r="Z126" i="10" l="1"/>
  <c r="Z130" i="10" s="1"/>
  <c r="Z127" i="10"/>
  <c r="AI78" i="17"/>
  <c r="AI84" i="17" s="1"/>
  <c r="AI81" i="18" s="1"/>
  <c r="AI88" i="18" s="1"/>
  <c r="AF61" i="10"/>
  <c r="AF62" i="10" s="1"/>
  <c r="J49" i="1" s="1"/>
  <c r="AF14" i="10"/>
  <c r="AF15" i="10" s="1"/>
  <c r="J46" i="1" s="1"/>
  <c r="J51" i="1" s="1"/>
  <c r="AF26" i="10"/>
  <c r="AF27" i="10" s="1"/>
  <c r="J47" i="1" s="1"/>
  <c r="AE63" i="18"/>
  <c r="AE75" i="18" s="1"/>
  <c r="AG85" i="18"/>
  <c r="AG89" i="18" s="1"/>
  <c r="AG82" i="18"/>
  <c r="AH78" i="18"/>
  <c r="AH66" i="10"/>
  <c r="AH67" i="10" s="1"/>
  <c r="AH70" i="10" s="1"/>
  <c r="AI71" i="10"/>
  <c r="AI79" i="18"/>
  <c r="AI86" i="18" s="1"/>
  <c r="AF60" i="18"/>
  <c r="AF61" i="18" s="1"/>
  <c r="M37" i="1" s="1"/>
  <c r="N37" i="1" s="1"/>
  <c r="M40" i="1"/>
  <c r="N40" i="1" s="1"/>
  <c r="AF13" i="18"/>
  <c r="AF14" i="18" s="1"/>
  <c r="AF46" i="18"/>
  <c r="AF47" i="18" s="1"/>
  <c r="M36" i="1" s="1"/>
  <c r="N36" i="1" s="1"/>
  <c r="AF25" i="18"/>
  <c r="AF26" i="18" s="1"/>
  <c r="M35" i="1" s="1"/>
  <c r="N35" i="1" s="1"/>
  <c r="AH87" i="18"/>
  <c r="AH72" i="10"/>
  <c r="AE87" i="10"/>
  <c r="AE47" i="35" s="1"/>
  <c r="AE48" i="35" s="1"/>
  <c r="AK71" i="17"/>
  <c r="AK166" i="17" s="1"/>
  <c r="AJ166" i="17"/>
  <c r="AJ72" i="17"/>
  <c r="AJ165" i="17"/>
  <c r="AJ164" i="17"/>
  <c r="AJ163" i="17"/>
  <c r="AD87" i="10"/>
  <c r="AD47" i="35" s="1"/>
  <c r="AD48" i="35" s="1"/>
  <c r="AI66" i="10"/>
  <c r="AI67" i="10" s="1"/>
  <c r="AI70" i="10" s="1"/>
  <c r="AI78" i="18"/>
  <c r="AI73" i="10"/>
  <c r="AH71" i="10"/>
  <c r="AH79" i="18"/>
  <c r="AH86" i="18" s="1"/>
  <c r="AK61" i="17"/>
  <c r="AK41" i="35"/>
  <c r="AK43" i="35" s="1"/>
  <c r="AK45" i="35" s="1"/>
  <c r="AK46" i="35" s="1"/>
  <c r="AK59" i="10"/>
  <c r="AK58" i="18"/>
  <c r="AI72" i="10"/>
  <c r="AI87" i="18"/>
  <c r="AG83" i="10"/>
  <c r="AH73" i="10"/>
  <c r="AH81" i="18"/>
  <c r="AH88" i="18" s="1"/>
  <c r="AD63" i="18"/>
  <c r="AD75" i="18" s="1"/>
  <c r="AF87" i="10" l="1"/>
  <c r="AF47" i="35" s="1"/>
  <c r="AF48" i="35" s="1"/>
  <c r="AJ76" i="17"/>
  <c r="AJ82" i="17" s="1"/>
  <c r="AJ77" i="17"/>
  <c r="AJ83" i="17" s="1"/>
  <c r="AJ80" i="18" s="1"/>
  <c r="AJ75" i="17"/>
  <c r="AJ81" i="17" s="1"/>
  <c r="AJ78" i="17"/>
  <c r="AJ84" i="17" s="1"/>
  <c r="AH83" i="10"/>
  <c r="AH85" i="18"/>
  <c r="AH89" i="18" s="1"/>
  <c r="AH82" i="18"/>
  <c r="AI85" i="18"/>
  <c r="AI89" i="18" s="1"/>
  <c r="AI82" i="18"/>
  <c r="AG46" i="18"/>
  <c r="AG47" i="18" s="1"/>
  <c r="AG13" i="18"/>
  <c r="AG14" i="18" s="1"/>
  <c r="AG25" i="18"/>
  <c r="AG26" i="18" s="1"/>
  <c r="AG60" i="18"/>
  <c r="AG61" i="18" s="1"/>
  <c r="AG47" i="10"/>
  <c r="AG48" i="10" s="1"/>
  <c r="AG14" i="10"/>
  <c r="AG15" i="10" s="1"/>
  <c r="AG26" i="10"/>
  <c r="AG27" i="10" s="1"/>
  <c r="AG61" i="10"/>
  <c r="AG62" i="10" s="1"/>
  <c r="AI83" i="10"/>
  <c r="AK72" i="17"/>
  <c r="AK165" i="17"/>
  <c r="AK164" i="17"/>
  <c r="AK163" i="17"/>
  <c r="M34" i="1"/>
  <c r="N34" i="1" s="1"/>
  <c r="AF63" i="18"/>
  <c r="AF75" i="18" s="1"/>
  <c r="M38" i="1" s="1"/>
  <c r="J50" i="1" l="1"/>
  <c r="O49" i="1" s="1"/>
  <c r="AJ73" i="10"/>
  <c r="AJ81" i="18"/>
  <c r="AJ88" i="18" s="1"/>
  <c r="AK75" i="17"/>
  <c r="AK81" i="17" s="1"/>
  <c r="AK78" i="17"/>
  <c r="AK84" i="17" s="1"/>
  <c r="AK77" i="17"/>
  <c r="AK83" i="17" s="1"/>
  <c r="AK80" i="18" s="1"/>
  <c r="AK76" i="17"/>
  <c r="AK82" i="17" s="1"/>
  <c r="AG87" i="10"/>
  <c r="AG47" i="35" s="1"/>
  <c r="AG48" i="35" s="1"/>
  <c r="AG63" i="18"/>
  <c r="AG75" i="18" s="1"/>
  <c r="AH25" i="18"/>
  <c r="AH26" i="18" s="1"/>
  <c r="AH60" i="18"/>
  <c r="AH61" i="18" s="1"/>
  <c r="AH13" i="18"/>
  <c r="AH14" i="18" s="1"/>
  <c r="AH46" i="18"/>
  <c r="AH47" i="18" s="1"/>
  <c r="AJ66" i="10"/>
  <c r="AJ67" i="10" s="1"/>
  <c r="AJ70" i="10" s="1"/>
  <c r="AJ78" i="18"/>
  <c r="M41" i="1"/>
  <c r="N41" i="1" s="1"/>
  <c r="N38" i="1"/>
  <c r="AJ72" i="10"/>
  <c r="AJ87" i="18"/>
  <c r="AI61" i="10"/>
  <c r="AI62" i="10" s="1"/>
  <c r="AI47" i="10"/>
  <c r="AI48" i="10" s="1"/>
  <c r="AI26" i="10"/>
  <c r="AI27" i="10" s="1"/>
  <c r="AI14" i="10"/>
  <c r="AI15" i="10" s="1"/>
  <c r="AI25" i="18"/>
  <c r="AI26" i="18" s="1"/>
  <c r="AI13" i="18"/>
  <c r="AI14" i="18" s="1"/>
  <c r="AI60" i="18"/>
  <c r="AI61" i="18" s="1"/>
  <c r="AI46" i="18"/>
  <c r="AI47" i="18" s="1"/>
  <c r="AH61" i="10"/>
  <c r="AH62" i="10" s="1"/>
  <c r="AH47" i="10"/>
  <c r="AH48" i="10" s="1"/>
  <c r="AH26" i="10"/>
  <c r="AH27" i="10" s="1"/>
  <c r="AH14" i="10"/>
  <c r="AH15" i="10" s="1"/>
  <c r="AJ79" i="18"/>
  <c r="AJ86" i="18" s="1"/>
  <c r="AJ71" i="10"/>
  <c r="O47" i="1" l="1"/>
  <c r="J52" i="1"/>
  <c r="O46" i="1"/>
  <c r="O51" i="1"/>
  <c r="O48" i="1"/>
  <c r="O50" i="1"/>
  <c r="AI63" i="18"/>
  <c r="AI75" i="18" s="1"/>
  <c r="AJ83" i="10"/>
  <c r="AK87" i="18"/>
  <c r="AK72" i="10"/>
  <c r="AK73" i="10"/>
  <c r="AK81" i="18"/>
  <c r="AK88" i="18" s="1"/>
  <c r="AH63" i="18"/>
  <c r="AH75" i="18" s="1"/>
  <c r="AK78" i="18"/>
  <c r="AK66" i="10"/>
  <c r="AK67" i="10" s="1"/>
  <c r="AK70" i="10" s="1"/>
  <c r="AH87" i="10"/>
  <c r="AH47" i="35" s="1"/>
  <c r="AH48" i="35" s="1"/>
  <c r="AI87" i="10"/>
  <c r="AI47" i="35" s="1"/>
  <c r="AI48" i="35" s="1"/>
  <c r="AJ82" i="18"/>
  <c r="AJ85" i="18"/>
  <c r="AJ89" i="18" s="1"/>
  <c r="AK79" i="18"/>
  <c r="AK86" i="18" s="1"/>
  <c r="AK71" i="10"/>
  <c r="AK83" i="10" l="1"/>
  <c r="AJ60" i="18"/>
  <c r="AJ61" i="18" s="1"/>
  <c r="AJ25" i="18"/>
  <c r="AJ26" i="18" s="1"/>
  <c r="AJ46" i="18"/>
  <c r="AJ47" i="18" s="1"/>
  <c r="AJ13" i="18"/>
  <c r="AJ14" i="18" s="1"/>
  <c r="AK82" i="18"/>
  <c r="AK85" i="18"/>
  <c r="AK89" i="18" s="1"/>
  <c r="AJ61" i="10"/>
  <c r="AJ62" i="10" s="1"/>
  <c r="AJ26" i="10"/>
  <c r="AJ27" i="10" s="1"/>
  <c r="AJ47" i="10"/>
  <c r="AJ48" i="10" s="1"/>
  <c r="AJ14" i="10"/>
  <c r="AJ15" i="10" s="1"/>
  <c r="AK46" i="18" l="1"/>
  <c r="AK47" i="18" s="1"/>
  <c r="AK60" i="18"/>
  <c r="AJ87" i="10"/>
  <c r="AJ47" i="35" s="1"/>
  <c r="AJ48" i="35" s="1"/>
  <c r="AK61" i="18"/>
  <c r="AK13" i="18"/>
  <c r="AK14" i="18" s="1"/>
  <c r="AK25" i="18"/>
  <c r="AK26" i="18" s="1"/>
  <c r="AJ63" i="18"/>
  <c r="AJ75" i="18" s="1"/>
  <c r="AK61" i="10"/>
  <c r="AK62" i="10" s="1"/>
  <c r="AK14" i="10"/>
  <c r="AK15" i="10" s="1"/>
  <c r="AK47" i="10"/>
  <c r="AK48" i="10" s="1"/>
  <c r="AK26" i="10"/>
  <c r="AK27" i="10" s="1"/>
  <c r="AK87" i="10" l="1"/>
  <c r="AK47" i="35" s="1"/>
  <c r="AK48" i="35" s="1"/>
  <c r="AK63" i="18"/>
  <c r="AK75" i="18" s="1"/>
  <c r="W91" i="11" l="1"/>
  <c r="W13" i="11" l="1"/>
  <c r="W14" i="11" s="1"/>
  <c r="W92" i="11"/>
  <c r="W46" i="11"/>
  <c r="W47" i="11" s="1"/>
  <c r="W60" i="11"/>
  <c r="W61" i="11" s="1"/>
  <c r="W25" i="11"/>
  <c r="W26" i="11" s="1"/>
  <c r="W63" i="11" l="1"/>
  <c r="W75" i="11" s="1"/>
</calcChain>
</file>

<file path=xl/comments1.xml><?xml version="1.0" encoding="utf-8"?>
<comments xmlns="http://schemas.openxmlformats.org/spreadsheetml/2006/main">
  <authors>
    <author>Nothstein, Greg (COM)</author>
  </authors>
  <commentList>
    <comment ref="H39" authorId="0" shapeId="0">
      <text>
        <r>
          <rPr>
            <b/>
            <sz val="9"/>
            <color indexed="81"/>
            <rFont val="Tahoma"/>
            <family val="2"/>
          </rPr>
          <t>Nothstein, Greg (COM):</t>
        </r>
        <r>
          <rPr>
            <sz val="9"/>
            <color indexed="81"/>
            <rFont val="Tahoma"/>
            <family val="2"/>
          </rPr>
          <t xml:space="preserve">
Approx. state emission target.</t>
        </r>
      </text>
    </comment>
    <comment ref="H41" authorId="0" shapeId="0">
      <text>
        <r>
          <rPr>
            <b/>
            <sz val="9"/>
            <color indexed="81"/>
            <rFont val="Tahoma"/>
            <family val="2"/>
          </rPr>
          <t>Nothstein, Greg (COM):</t>
        </r>
        <r>
          <rPr>
            <sz val="9"/>
            <color indexed="81"/>
            <rFont val="Tahoma"/>
            <family val="2"/>
          </rPr>
          <t xml:space="preserve">
metric tons per capita
</t>
        </r>
      </text>
    </comment>
    <comment ref="H70" authorId="0" shapeId="0">
      <text>
        <r>
          <rPr>
            <b/>
            <sz val="9"/>
            <color indexed="81"/>
            <rFont val="Tahoma"/>
            <family val="2"/>
          </rPr>
          <t>Nothstein, Greg (COM):</t>
        </r>
        <r>
          <rPr>
            <sz val="9"/>
            <color indexed="81"/>
            <rFont val="Tahoma"/>
            <family val="2"/>
          </rPr>
          <t xml:space="preserve">
marine residual and jet fuel are not taxed unless toggles in D25 and D26 are set to "Yes"</t>
        </r>
      </text>
    </comment>
    <comment ref="H73" authorId="0" shapeId="0">
      <text>
        <r>
          <rPr>
            <b/>
            <sz val="9"/>
            <color indexed="81"/>
            <rFont val="Tahoma"/>
            <family val="2"/>
          </rPr>
          <t>Nothstein, Greg (COM):</t>
        </r>
        <r>
          <rPr>
            <sz val="9"/>
            <color indexed="81"/>
            <rFont val="Tahoma"/>
            <family val="2"/>
          </rPr>
          <t xml:space="preserve">
See comment for marine residual</t>
        </r>
      </text>
    </comment>
    <comment ref="B76" authorId="0" shapeId="0">
      <text>
        <r>
          <rPr>
            <b/>
            <sz val="9"/>
            <color indexed="81"/>
            <rFont val="Tahoma"/>
            <family val="2"/>
          </rPr>
          <t>Nothstein, Greg (COM):</t>
        </r>
        <r>
          <rPr>
            <sz val="9"/>
            <color indexed="81"/>
            <rFont val="Tahoma"/>
            <family val="2"/>
          </rPr>
          <t xml:space="preserve">
Colstrip 1 &amp; 2 closure is now included in baseline. User can adjust % renewable replacement for Units 1 &amp; 2.</t>
        </r>
      </text>
    </comment>
  </commentList>
</comments>
</file>

<file path=xl/comments10.xml><?xml version="1.0" encoding="utf-8"?>
<comments xmlns="http://schemas.openxmlformats.org/spreadsheetml/2006/main">
  <authors>
    <author>Nothstein, Greg (COM)</author>
  </authors>
  <commentList>
    <comment ref="A38" authorId="0" shapeId="0">
      <text>
        <r>
          <rPr>
            <b/>
            <sz val="9"/>
            <color indexed="81"/>
            <rFont val="Tahoma"/>
            <family val="2"/>
          </rPr>
          <t>Nothstein, Greg (COM):</t>
        </r>
        <r>
          <rPr>
            <sz val="9"/>
            <color indexed="81"/>
            <rFont val="Tahoma"/>
            <family val="2"/>
          </rPr>
          <t xml:space="preserve">
Not using nat. gas subtotal as this includes lease and plant fuel which WA does not consume.</t>
        </r>
      </text>
    </comment>
    <comment ref="A47" authorId="0" shapeId="0">
      <text>
        <r>
          <rPr>
            <b/>
            <sz val="9"/>
            <color indexed="81"/>
            <rFont val="Tahoma"/>
            <family val="2"/>
          </rPr>
          <t>Nothstein, Greg (COM):</t>
        </r>
        <r>
          <rPr>
            <sz val="9"/>
            <color indexed="81"/>
            <rFont val="Tahoma"/>
            <family val="2"/>
          </rPr>
          <t xml:space="preserve">
Exclude lease and plant fuel: not a category in WA</t>
        </r>
      </text>
    </comment>
  </commentList>
</comments>
</file>

<file path=xl/comments2.xml><?xml version="1.0" encoding="utf-8"?>
<comments xmlns="http://schemas.openxmlformats.org/spreadsheetml/2006/main">
  <authors>
    <author>Nothstein, Greg (COM)</author>
  </authors>
  <commentList>
    <comment ref="G46" authorId="0" shapeId="0">
      <text>
        <r>
          <rPr>
            <b/>
            <sz val="9"/>
            <color indexed="81"/>
            <rFont val="Tahoma"/>
            <family val="2"/>
          </rPr>
          <t>Nothstein, Greg (COM):</t>
        </r>
        <r>
          <rPr>
            <sz val="9"/>
            <color indexed="81"/>
            <rFont val="Tahoma"/>
            <family val="2"/>
          </rPr>
          <t xml:space="preserve">
EIA sites e85 as having an annual average of 73% ethanol.</t>
        </r>
      </text>
    </comment>
    <comment ref="B124" authorId="0" shapeId="0">
      <text>
        <r>
          <rPr>
            <b/>
            <sz val="9"/>
            <color indexed="81"/>
            <rFont val="Tahoma"/>
            <family val="2"/>
          </rPr>
          <t>Nothstein, Greg (COM):</t>
        </r>
        <r>
          <rPr>
            <sz val="9"/>
            <color indexed="81"/>
            <rFont val="Tahoma"/>
            <family val="2"/>
          </rPr>
          <t xml:space="preserve">
2010-14 5 yr. ave. from forecast spreadsheet: Misc. factors tab.</t>
        </r>
      </text>
    </comment>
  </commentList>
</comments>
</file>

<file path=xl/comments3.xml><?xml version="1.0" encoding="utf-8"?>
<comments xmlns="http://schemas.openxmlformats.org/spreadsheetml/2006/main">
  <authors>
    <author>Nothstein, Greg (COM)</author>
    <author>GREG NOTHSTEIN</author>
  </authors>
  <commentList>
    <comment ref="C6" authorId="0" shapeId="0">
      <text>
        <r>
          <rPr>
            <b/>
            <sz val="9"/>
            <color indexed="81"/>
            <rFont val="Tahoma"/>
            <family val="2"/>
          </rPr>
          <t>Nothstein, Greg (COM): Includes elasticity values from newer studies</t>
        </r>
        <r>
          <rPr>
            <sz val="9"/>
            <color indexed="81"/>
            <rFont val="Tahoma"/>
            <family val="2"/>
          </rPr>
          <t xml:space="preserve">
</t>
        </r>
      </text>
    </comment>
    <comment ref="B19" authorId="0" shapeId="0">
      <text>
        <r>
          <rPr>
            <b/>
            <sz val="9"/>
            <color indexed="81"/>
            <rFont val="Tahoma"/>
            <family val="2"/>
          </rPr>
          <t>Nothstein, Greg (COM):</t>
        </r>
        <r>
          <rPr>
            <sz val="9"/>
            <color indexed="81"/>
            <rFont val="Tahoma"/>
            <family val="2"/>
          </rPr>
          <t xml:space="preserve">
This is a substitution price elasticity: coal being replaced by nat. gas electric generation. It is a short term value. Source is EIA (2012)</t>
        </r>
      </text>
    </comment>
    <comment ref="B20" authorId="1" shapeId="0">
      <text>
        <r>
          <rPr>
            <b/>
            <sz val="9"/>
            <color indexed="81"/>
            <rFont val="Tahoma"/>
            <family val="2"/>
          </rPr>
          <t>GREG NOTHSTEIN:</t>
        </r>
        <r>
          <rPr>
            <sz val="9"/>
            <color indexed="81"/>
            <rFont val="Tahoma"/>
            <family val="2"/>
          </rPr>
          <t xml:space="preserve">
Set to WECC value. Natl. value is -0.11.</t>
        </r>
      </text>
    </comment>
  </commentList>
</comments>
</file>

<file path=xl/comments4.xml><?xml version="1.0" encoding="utf-8"?>
<comments xmlns="http://schemas.openxmlformats.org/spreadsheetml/2006/main">
  <authors>
    <author>Nothstein, Greg (COM)</author>
  </authors>
  <commentList>
    <comment ref="A21" authorId="0" shapeId="0">
      <text>
        <r>
          <rPr>
            <b/>
            <sz val="9"/>
            <color indexed="81"/>
            <rFont val="Tahoma"/>
            <family val="2"/>
          </rPr>
          <t>Nothstein, Greg (COM):</t>
        </r>
        <r>
          <rPr>
            <sz val="9"/>
            <color indexed="81"/>
            <rFont val="Tahoma"/>
            <family val="2"/>
          </rPr>
          <t xml:space="preserve">
marine residual and jet fuel are not taxed unless toggles in Dashboard D25 and D26 are set to "Yes"</t>
        </r>
      </text>
    </comment>
    <comment ref="A24" authorId="0" shapeId="0">
      <text>
        <r>
          <rPr>
            <b/>
            <sz val="9"/>
            <color indexed="81"/>
            <rFont val="Tahoma"/>
            <family val="2"/>
          </rPr>
          <t>Nothstein, Greg (COM):</t>
        </r>
        <r>
          <rPr>
            <sz val="9"/>
            <color indexed="81"/>
            <rFont val="Tahoma"/>
            <family val="2"/>
          </rPr>
          <t xml:space="preserve">
marine residual and jet fuel are not taxed unless toggles in Dashboard D25 and D26 are set to "Yes"</t>
        </r>
      </text>
    </comment>
    <comment ref="A38" authorId="0" shapeId="0">
      <text>
        <r>
          <rPr>
            <b/>
            <sz val="9"/>
            <color indexed="81"/>
            <rFont val="Tahoma"/>
            <family val="2"/>
          </rPr>
          <t>Nothstein, Greg (COM):</t>
        </r>
        <r>
          <rPr>
            <sz val="9"/>
            <color indexed="81"/>
            <rFont val="Tahoma"/>
            <family val="2"/>
          </rPr>
          <t xml:space="preserve">
This is a substitution price elasticity.</t>
        </r>
      </text>
    </comment>
    <comment ref="A54" authorId="0" shapeId="0">
      <text>
        <r>
          <rPr>
            <b/>
            <sz val="9"/>
            <color indexed="81"/>
            <rFont val="Tahoma"/>
            <family val="2"/>
          </rPr>
          <t>Nothstein, Greg (COM):</t>
        </r>
        <r>
          <rPr>
            <sz val="9"/>
            <color indexed="81"/>
            <rFont val="Tahoma"/>
            <family val="2"/>
          </rPr>
          <t xml:space="preserve">
This is a substitution price elasticity.</t>
        </r>
      </text>
    </comment>
  </commentList>
</comments>
</file>

<file path=xl/comments5.xml><?xml version="1.0" encoding="utf-8"?>
<comments xmlns="http://schemas.openxmlformats.org/spreadsheetml/2006/main">
  <authors>
    <author>Nothstein, Greg (COM)</author>
  </authors>
  <commentList>
    <comment ref="A10" authorId="0" shapeId="0">
      <text>
        <r>
          <rPr>
            <b/>
            <sz val="9"/>
            <color indexed="81"/>
            <rFont val="Tahoma"/>
            <family val="2"/>
          </rPr>
          <t>Nothstein, Greg (COM):</t>
        </r>
        <r>
          <rPr>
            <sz val="9"/>
            <color indexed="81"/>
            <rFont val="Tahoma"/>
            <family val="2"/>
          </rPr>
          <t xml:space="preserve">
Sector specific adjustments to natural gas and distillate calcs
</t>
        </r>
      </text>
    </comment>
    <comment ref="A20" authorId="0" shapeId="0">
      <text>
        <r>
          <rPr>
            <b/>
            <sz val="9"/>
            <color indexed="81"/>
            <rFont val="Tahoma"/>
            <family val="2"/>
          </rPr>
          <t xml:space="preserve">Nothstein, Greg (COM): </t>
        </r>
        <r>
          <rPr>
            <sz val="9"/>
            <color indexed="81"/>
            <rFont val="Tahoma"/>
            <family val="2"/>
          </rPr>
          <t>Sector specific adjustments to natural gas and distillate calcs</t>
        </r>
      </text>
    </comment>
    <comment ref="A28" authorId="0" shapeId="0">
      <text>
        <r>
          <rPr>
            <b/>
            <sz val="9"/>
            <color indexed="81"/>
            <rFont val="Tahoma"/>
            <family val="2"/>
          </rPr>
          <t>Nothstein, Greg (COM):</t>
        </r>
        <r>
          <rPr>
            <sz val="9"/>
            <color indexed="81"/>
            <rFont val="Tahoma"/>
            <family val="2"/>
          </rPr>
          <t xml:space="preserve">
New sector specific proration factor</t>
        </r>
      </text>
    </comment>
    <comment ref="A31" authorId="0" shapeId="0">
      <text>
        <r>
          <rPr>
            <b/>
            <sz val="9"/>
            <color indexed="81"/>
            <rFont val="Tahoma"/>
            <family val="2"/>
          </rPr>
          <t>Nothstein, Greg (COM):</t>
        </r>
        <r>
          <rPr>
            <sz val="9"/>
            <color indexed="81"/>
            <rFont val="Tahoma"/>
            <family val="2"/>
          </rPr>
          <t xml:space="preserve">
This cell has a formula in it - careful when updating consumption data. 
See "other petroleum" adjustment factor in cell B85. This removes non-energy products that are included in this category.</t>
        </r>
      </text>
    </comment>
    <comment ref="A32" authorId="0" shapeId="0">
      <text>
        <r>
          <rPr>
            <b/>
            <sz val="9"/>
            <color indexed="81"/>
            <rFont val="Tahoma"/>
            <family val="2"/>
          </rPr>
          <t>Nothstein, Greg (COM):</t>
        </r>
        <r>
          <rPr>
            <sz val="9"/>
            <color indexed="81"/>
            <rFont val="Tahoma"/>
            <family val="2"/>
          </rPr>
          <t xml:space="preserve">
 Previous calc for nat. gas was under performing relative to actual data. Altered proration tech. in prequel CTAM spreadsheet. Increase factor by approx. 10%.</t>
        </r>
      </text>
    </comment>
    <comment ref="A34" authorId="0" shapeId="0">
      <text>
        <r>
          <rPr>
            <b/>
            <sz val="9"/>
            <color indexed="81"/>
            <rFont val="Tahoma"/>
            <family val="2"/>
          </rPr>
          <t>Nothstein, Greg (COM):</t>
        </r>
        <r>
          <rPr>
            <sz val="9"/>
            <color indexed="81"/>
            <rFont val="Tahoma"/>
            <family val="2"/>
          </rPr>
          <t xml:space="preserve">
Exclude lease plant fuel as WA does not use this category</t>
        </r>
      </text>
    </comment>
    <comment ref="A35" authorId="0" shapeId="0">
      <text>
        <r>
          <rPr>
            <b/>
            <sz val="9"/>
            <color indexed="81"/>
            <rFont val="Tahoma"/>
            <family val="2"/>
          </rPr>
          <t>Nothstein, Greg (COM):</t>
        </r>
        <r>
          <rPr>
            <sz val="9"/>
            <color indexed="81"/>
            <rFont val="Tahoma"/>
            <family val="2"/>
          </rPr>
          <t xml:space="preserve">
No longer using this nat. gas consumption # as it includes leas and plant fuel.
</t>
        </r>
      </text>
    </comment>
    <comment ref="A48" authorId="0" shapeId="0">
      <text>
        <r>
          <rPr>
            <b/>
            <sz val="9"/>
            <color rgb="FF000000"/>
            <rFont val="Tahoma"/>
            <family val="2"/>
          </rPr>
          <t>Nothstein, Greg (COM):</t>
        </r>
        <r>
          <rPr>
            <sz val="9"/>
            <color rgb="FF000000"/>
            <rFont val="Tahoma"/>
            <family val="2"/>
          </rPr>
          <t xml:space="preserve">
CA AB32 adjustments are now in the Forecast spreadsheet. Ethanol added to gasoline is now removed on an energy basis in the CTAM forecast spreadsheet.</t>
        </r>
      </text>
    </comment>
  </commentList>
</comments>
</file>

<file path=xl/comments6.xml><?xml version="1.0" encoding="utf-8"?>
<comments xmlns="http://schemas.openxmlformats.org/spreadsheetml/2006/main">
  <authors>
    <author>Nothstein, Greg (COM)</author>
  </authors>
  <commentList>
    <comment ref="A11" authorId="0" shapeId="0">
      <text>
        <r>
          <rPr>
            <b/>
            <sz val="9"/>
            <color indexed="81"/>
            <rFont val="Tahoma"/>
            <family val="2"/>
          </rPr>
          <t>Nothstein, Greg (COM):</t>
        </r>
        <r>
          <rPr>
            <sz val="9"/>
            <color indexed="81"/>
            <rFont val="Tahoma"/>
            <family val="2"/>
          </rPr>
          <t xml:space="preserve">
Sector specific adjustments to natural gas and distillate calcs</t>
        </r>
      </text>
    </comment>
    <comment ref="A22" authorId="0" shapeId="0">
      <text>
        <r>
          <rPr>
            <b/>
            <sz val="9"/>
            <color indexed="81"/>
            <rFont val="Tahoma"/>
            <family val="2"/>
          </rPr>
          <t>Nothstein, Greg (COM):</t>
        </r>
        <r>
          <rPr>
            <sz val="9"/>
            <color indexed="81"/>
            <rFont val="Tahoma"/>
            <family val="2"/>
          </rPr>
          <t xml:space="preserve">
Sector specific adjustments to natural gas and distillate calcs</t>
        </r>
      </text>
    </comment>
    <comment ref="A34" authorId="0" shapeId="0">
      <text>
        <r>
          <rPr>
            <b/>
            <sz val="9"/>
            <color indexed="81"/>
            <rFont val="Tahoma"/>
            <family val="2"/>
          </rPr>
          <t>Nothstein, Greg (COM):</t>
        </r>
        <r>
          <rPr>
            <sz val="9"/>
            <color indexed="81"/>
            <rFont val="Tahoma"/>
            <family val="2"/>
          </rPr>
          <t xml:space="preserve">
Now included in emission calc, LPG emission rate.</t>
        </r>
      </text>
    </comment>
    <comment ref="A35" authorId="0" shapeId="0">
      <text>
        <r>
          <rPr>
            <b/>
            <sz val="9"/>
            <color indexed="81"/>
            <rFont val="Tahoma"/>
            <family val="2"/>
          </rPr>
          <t>Nothstein, Greg (COM):</t>
        </r>
        <r>
          <rPr>
            <sz val="9"/>
            <color indexed="81"/>
            <rFont val="Tahoma"/>
            <family val="2"/>
          </rPr>
          <t xml:space="preserve">
 Previous calc for nat. gas was under performing relative to actual data. Altered proration tech. in prequel CTAM spreadsheet. Increase by approx. 10%.</t>
        </r>
      </text>
    </comment>
    <comment ref="A52" authorId="0" shapeId="0">
      <text>
        <r>
          <rPr>
            <b/>
            <sz val="9"/>
            <color indexed="81"/>
            <rFont val="Tahoma"/>
            <family val="2"/>
          </rPr>
          <t>Nothstein, Greg (COM):</t>
        </r>
        <r>
          <rPr>
            <sz val="9"/>
            <color indexed="81"/>
            <rFont val="Tahoma"/>
            <family val="2"/>
          </rPr>
          <t xml:space="preserve">
Adjustment for 10% ethanol content (no emissions for ethanol) is done in CTAM forecast spreadsheet.</t>
        </r>
      </text>
    </comment>
    <comment ref="A54" authorId="0" shapeId="0">
      <text>
        <r>
          <rPr>
            <b/>
            <sz val="9"/>
            <color indexed="81"/>
            <rFont val="Tahoma"/>
            <family val="2"/>
          </rPr>
          <t>Nothstein, Greg (COM):</t>
        </r>
        <r>
          <rPr>
            <sz val="9"/>
            <color indexed="81"/>
            <rFont val="Tahoma"/>
            <family val="2"/>
          </rPr>
          <t xml:space="preserve"> Add adjustment for CA LCFS which is 10% carbon reduction by 2020. Assume CA is 2/3 of Pacific region
</t>
        </r>
      </text>
    </comment>
    <comment ref="A82" authorId="0" shapeId="0">
      <text>
        <r>
          <rPr>
            <b/>
            <sz val="9"/>
            <color indexed="81"/>
            <rFont val="Tahoma"/>
            <family val="2"/>
          </rPr>
          <t>Nothstein, Greg (COM):</t>
        </r>
        <r>
          <rPr>
            <sz val="9"/>
            <color indexed="81"/>
            <rFont val="Tahoma"/>
            <family val="2"/>
          </rPr>
          <t xml:space="preserve">
The heat rate trend for NG genr has been modified as the previous trend analysis was driving unrealistically low future rates. Efficiency improvements to new NG CCCTs are continuing, but are becoming smaller. In addition the observed historical rate declines in the NG fleet were driven by the retirement of inefficient older steam turbine power plants. This topic requires further research.</t>
        </r>
      </text>
    </comment>
  </commentList>
</comments>
</file>

<file path=xl/comments7.xml><?xml version="1.0" encoding="utf-8"?>
<comments xmlns="http://schemas.openxmlformats.org/spreadsheetml/2006/main">
  <authors>
    <author>Nothstein, Greg (COM)</author>
  </authors>
  <commentList>
    <comment ref="A11" authorId="0" shapeId="0">
      <text>
        <r>
          <rPr>
            <b/>
            <sz val="9"/>
            <color indexed="81"/>
            <rFont val="Tahoma"/>
            <family val="2"/>
          </rPr>
          <t>Nothstein, Greg (COM):</t>
        </r>
        <r>
          <rPr>
            <sz val="9"/>
            <color indexed="81"/>
            <rFont val="Tahoma"/>
            <family val="2"/>
          </rPr>
          <t xml:space="preserve">
Sector specific adjustments to natural gas and distillate calcs</t>
        </r>
      </text>
    </comment>
    <comment ref="A22" authorId="0" shapeId="0">
      <text>
        <r>
          <rPr>
            <b/>
            <sz val="9"/>
            <color indexed="81"/>
            <rFont val="Tahoma"/>
            <family val="2"/>
          </rPr>
          <t>Nothstein, Greg (COM):</t>
        </r>
        <r>
          <rPr>
            <sz val="9"/>
            <color indexed="81"/>
            <rFont val="Tahoma"/>
            <family val="2"/>
          </rPr>
          <t xml:space="preserve">
Sector specific adjustments to natural gas and distillate calcs</t>
        </r>
      </text>
    </comment>
    <comment ref="A34" authorId="0" shapeId="0">
      <text>
        <r>
          <rPr>
            <b/>
            <sz val="9"/>
            <color indexed="81"/>
            <rFont val="Tahoma"/>
            <family val="2"/>
          </rPr>
          <t>Nothstein, Greg (COM):</t>
        </r>
        <r>
          <rPr>
            <sz val="9"/>
            <color indexed="81"/>
            <rFont val="Tahoma"/>
            <family val="2"/>
          </rPr>
          <t xml:space="preserve">
EIA has changed this category. Switching to flared nat. gas emission factor from LPG. Note that natioanl forecast method. Produces higher OP energy cons.</t>
        </r>
      </text>
    </comment>
    <comment ref="A35" authorId="0" shapeId="0">
      <text>
        <r>
          <rPr>
            <b/>
            <sz val="9"/>
            <color indexed="81"/>
            <rFont val="Tahoma"/>
            <family val="2"/>
          </rPr>
          <t>Nothstein, Greg (COM):</t>
        </r>
        <r>
          <rPr>
            <sz val="9"/>
            <color indexed="81"/>
            <rFont val="Tahoma"/>
            <family val="2"/>
          </rPr>
          <t xml:space="preserve">
Should use this in emission calc as lease and plant fuel # is not reported for WA. Pacific region lease and plant fuel # come from CA and AK (primarily), so previous approach was over calc. indust sector nat gas emissions. Replaced w/ new calc and used nat gas category and not nat. gas subtotal, line 38.</t>
        </r>
      </text>
    </comment>
    <comment ref="A47" authorId="0" shapeId="0">
      <text>
        <r>
          <rPr>
            <b/>
            <sz val="9"/>
            <color indexed="81"/>
            <rFont val="Tahoma"/>
            <family val="2"/>
          </rPr>
          <t>Nothstein, Greg (COM):</t>
        </r>
        <r>
          <rPr>
            <sz val="9"/>
            <color indexed="81"/>
            <rFont val="Tahoma"/>
            <family val="2"/>
          </rPr>
          <t xml:space="preserve">
Excluding lease and plant fuel: not a category in WA</t>
        </r>
      </text>
    </comment>
    <comment ref="A52" authorId="0" shapeId="0">
      <text>
        <r>
          <rPr>
            <b/>
            <sz val="9"/>
            <color indexed="81"/>
            <rFont val="Tahoma"/>
            <family val="2"/>
          </rPr>
          <t>Nothstein, Greg (COM):</t>
        </r>
        <r>
          <rPr>
            <sz val="9"/>
            <color indexed="81"/>
            <rFont val="Tahoma"/>
            <family val="2"/>
          </rPr>
          <t xml:space="preserve">
Adjusted for ethanol in Mogas. 10% ethanol by 2016
</t>
        </r>
      </text>
    </comment>
    <comment ref="AP63" authorId="0" shapeId="0">
      <text>
        <r>
          <rPr>
            <b/>
            <sz val="9"/>
            <color indexed="81"/>
            <rFont val="Tahoma"/>
            <family val="2"/>
          </rPr>
          <t>Nothstein, Greg (COM):</t>
        </r>
        <r>
          <rPr>
            <sz val="9"/>
            <color indexed="81"/>
            <rFont val="Tahoma"/>
            <family val="2"/>
          </rPr>
          <t xml:space="preserve">
Unknown Centralia shutdown fits into the EIA forecast
</t>
        </r>
      </text>
    </comment>
    <comment ref="AR63" authorId="0" shapeId="0">
      <text>
        <r>
          <rPr>
            <b/>
            <sz val="9"/>
            <color indexed="81"/>
            <rFont val="Tahoma"/>
            <family val="2"/>
          </rPr>
          <t>Nothstein, Greg (COM):</t>
        </r>
        <r>
          <rPr>
            <sz val="9"/>
            <color indexed="81"/>
            <rFont val="Tahoma"/>
            <family val="2"/>
          </rPr>
          <t xml:space="preserve">
2012 is an abnormal low energy/emission year in the EIA series</t>
        </r>
      </text>
    </comment>
    <comment ref="L64" authorId="0" shapeId="0">
      <text>
        <r>
          <rPr>
            <b/>
            <sz val="9"/>
            <color indexed="81"/>
            <rFont val="Tahoma"/>
            <family val="2"/>
          </rPr>
          <t>Nothstein, Greg (COM):</t>
        </r>
        <r>
          <rPr>
            <sz val="9"/>
            <color indexed="81"/>
            <rFont val="Tahoma"/>
            <family val="2"/>
          </rPr>
          <t xml:space="preserve">
This incl FMD elec. emis and is the 1st yr. of the new FM software system. There is a 3 MMT diff between EIA 3 sector emissions and CTAM. We adjust the EIA "other petroleum" category which removes 1 MMT from emissions.</t>
        </r>
      </text>
    </comment>
    <comment ref="R104" authorId="0" shapeId="0">
      <text>
        <r>
          <rPr>
            <b/>
            <sz val="9"/>
            <color indexed="81"/>
            <rFont val="Tahoma"/>
            <family val="2"/>
          </rPr>
          <t>Nothstein, Greg (COM):</t>
        </r>
        <r>
          <rPr>
            <sz val="9"/>
            <color indexed="81"/>
            <rFont val="Tahoma"/>
            <family val="2"/>
          </rPr>
          <t xml:space="preserve">
Centralia unit 1 closes end of 2021.
</t>
        </r>
      </text>
    </comment>
    <comment ref="A108" authorId="0" shapeId="0">
      <text>
        <r>
          <rPr>
            <b/>
            <sz val="9"/>
            <color indexed="81"/>
            <rFont val="Tahoma"/>
            <family val="2"/>
          </rPr>
          <t>Nothstein, Greg (COM):</t>
        </r>
        <r>
          <rPr>
            <sz val="9"/>
            <color indexed="81"/>
            <rFont val="Tahoma"/>
            <family val="2"/>
          </rPr>
          <t xml:space="preserve">
Equivalent to million metric tons
</t>
        </r>
      </text>
    </comment>
    <comment ref="S113" authorId="0" shapeId="0">
      <text>
        <r>
          <rPr>
            <b/>
            <sz val="9"/>
            <color indexed="81"/>
            <rFont val="Tahoma"/>
            <family val="2"/>
          </rPr>
          <t>Nothstein, Greg (COM):</t>
        </r>
        <r>
          <rPr>
            <sz val="9"/>
            <color indexed="81"/>
            <rFont val="Tahoma"/>
            <family val="2"/>
          </rPr>
          <t xml:space="preserve">
Colstrip 1&amp;2 closure is July 1 2022.</t>
        </r>
      </text>
    </comment>
    <comment ref="A117" authorId="0" shapeId="0">
      <text>
        <r>
          <rPr>
            <b/>
            <sz val="9"/>
            <color indexed="81"/>
            <rFont val="Tahoma"/>
            <family val="2"/>
          </rPr>
          <t>Nothstein, Greg (COM):</t>
        </r>
        <r>
          <rPr>
            <sz val="9"/>
            <color indexed="81"/>
            <rFont val="Tahoma"/>
            <family val="2"/>
          </rPr>
          <t xml:space="preserve">
Equivalent to million metric tons
</t>
        </r>
      </text>
    </comment>
    <comment ref="N124" authorId="0" shapeId="0">
      <text>
        <r>
          <rPr>
            <b/>
            <sz val="9"/>
            <color indexed="81"/>
            <rFont val="Tahoma"/>
            <family val="2"/>
          </rPr>
          <t>Nothstein, Greg (COM):</t>
        </r>
        <r>
          <rPr>
            <sz val="9"/>
            <color indexed="81"/>
            <rFont val="Tahoma"/>
            <family val="2"/>
          </rPr>
          <t xml:space="preserve">
This represents a hypothetical shift from taxable coal power by WA utilities to tax exempt Centralia "transition coal".</t>
        </r>
      </text>
    </comment>
  </commentList>
</comments>
</file>

<file path=xl/comments8.xml><?xml version="1.0" encoding="utf-8"?>
<comments xmlns="http://schemas.openxmlformats.org/spreadsheetml/2006/main">
  <authors>
    <author>GREG NOTHSTEIN</author>
  </authors>
  <commentList>
    <comment ref="A52" authorId="0" shapeId="0">
      <text>
        <r>
          <rPr>
            <b/>
            <sz val="9"/>
            <color indexed="81"/>
            <rFont val="Tahoma"/>
            <family val="2"/>
          </rPr>
          <t>GREG NOTHSTEIN:</t>
        </r>
        <r>
          <rPr>
            <sz val="9"/>
            <color indexed="81"/>
            <rFont val="Tahoma"/>
            <family val="2"/>
          </rPr>
          <t xml:space="preserve">
Uses value in cell C17 of elasticity tab</t>
        </r>
      </text>
    </comment>
    <comment ref="A62" authorId="0" shapeId="0">
      <text>
        <r>
          <rPr>
            <b/>
            <sz val="9"/>
            <color indexed="81"/>
            <rFont val="Tahoma"/>
            <family val="2"/>
          </rPr>
          <t>GREG NOTHSTEIN:</t>
        </r>
        <r>
          <rPr>
            <sz val="9"/>
            <color indexed="81"/>
            <rFont val="Tahoma"/>
            <family val="2"/>
          </rPr>
          <t xml:space="preserve">
Natural gas values are modified to account for the superior thermal efficiency of natural gas power plants.</t>
        </r>
      </text>
    </comment>
  </commentList>
</comments>
</file>

<file path=xl/comments9.xml><?xml version="1.0" encoding="utf-8"?>
<comments xmlns="http://schemas.openxmlformats.org/spreadsheetml/2006/main">
  <authors>
    <author>Nothstein, Greg (COM)</author>
  </authors>
  <commentList>
    <comment ref="A52" authorId="0" shapeId="0">
      <text>
        <r>
          <rPr>
            <b/>
            <sz val="9"/>
            <color indexed="81"/>
            <rFont val="Tahoma"/>
            <family val="2"/>
          </rPr>
          <t>Nothstein, Greg (COM):</t>
        </r>
        <r>
          <rPr>
            <sz val="9"/>
            <color indexed="81"/>
            <rFont val="Tahoma"/>
            <family val="2"/>
          </rPr>
          <t xml:space="preserve">
Adjustment for ethanol content of 10% is made in CTAM forecast spreadsheet.
</t>
        </r>
      </text>
    </comment>
  </commentList>
</comments>
</file>

<file path=xl/sharedStrings.xml><?xml version="1.0" encoding="utf-8"?>
<sst xmlns="http://schemas.openxmlformats.org/spreadsheetml/2006/main" count="3342" uniqueCount="1434">
  <si>
    <t>Motor Gasoline</t>
  </si>
  <si>
    <t>Natural Gas</t>
  </si>
  <si>
    <t>Coal</t>
  </si>
  <si>
    <t>Jet Fuel</t>
  </si>
  <si>
    <t>Total</t>
  </si>
  <si>
    <t>Note</t>
  </si>
  <si>
    <t>Source</t>
  </si>
  <si>
    <t>Distillate Fuel</t>
  </si>
  <si>
    <t>Electricity</t>
  </si>
  <si>
    <t>State Revenue (State)</t>
  </si>
  <si>
    <t xml:space="preserve">Other selective sales   </t>
  </si>
  <si>
    <t xml:space="preserve">Motor vehicle license   </t>
  </si>
  <si>
    <t>US Census Bureau</t>
  </si>
  <si>
    <t>http://www.census.gov/govs/estimate/</t>
  </si>
  <si>
    <t xml:space="preserve">B&amp;O tax   </t>
  </si>
  <si>
    <t>Emission Factors</t>
  </si>
  <si>
    <t>Revenue</t>
  </si>
  <si>
    <t>cent/gallon</t>
  </si>
  <si>
    <t>Initial Rate</t>
  </si>
  <si>
    <t>Annual Increase</t>
  </si>
  <si>
    <t>Maximum Rate</t>
  </si>
  <si>
    <t/>
  </si>
  <si>
    <t xml:space="preserve"> Sector and Source</t>
  </si>
  <si>
    <t xml:space="preserve"> Residential</t>
  </si>
  <si>
    <t xml:space="preserve">   Liquefied Petroleum Gases</t>
  </si>
  <si>
    <t xml:space="preserve">   Distillate Fuel Oil</t>
  </si>
  <si>
    <t xml:space="preserve">   Natural Gas</t>
  </si>
  <si>
    <t xml:space="preserve">   Electricity</t>
  </si>
  <si>
    <t xml:space="preserve">     Total</t>
  </si>
  <si>
    <t xml:space="preserve"> Commercial</t>
  </si>
  <si>
    <t xml:space="preserve">   Motor Gasoline 2/</t>
  </si>
  <si>
    <t xml:space="preserve">   Residual Fuel Oil</t>
  </si>
  <si>
    <t xml:space="preserve"> Industrial 4/</t>
  </si>
  <si>
    <t xml:space="preserve">   Other Petroleum 5/</t>
  </si>
  <si>
    <t>- -</t>
  </si>
  <si>
    <t xml:space="preserve">   Lease and Plant Fuel 6/</t>
  </si>
  <si>
    <t xml:space="preserve">   Metallurgical Coal</t>
  </si>
  <si>
    <t xml:space="preserve">   Other Industrial Coal</t>
  </si>
  <si>
    <t xml:space="preserve"> Transportation</t>
  </si>
  <si>
    <t xml:space="preserve">   Jet Fuel 9/</t>
  </si>
  <si>
    <t xml:space="preserve">   Distillate Fuel Oil 10/</t>
  </si>
  <si>
    <t xml:space="preserve">   Steam Coal</t>
  </si>
  <si>
    <t xml:space="preserve">     Total 16/</t>
  </si>
  <si>
    <t>http://www.eia.doe.gov/oiaf/1605/emission_factors.html</t>
  </si>
  <si>
    <t>Residual Fuel</t>
  </si>
  <si>
    <t xml:space="preserve">   Residual Fuel</t>
  </si>
  <si>
    <t xml:space="preserve"> Industrial 1/</t>
  </si>
  <si>
    <t xml:space="preserve">   Natural Gas 2/</t>
  </si>
  <si>
    <t xml:space="preserve">   Coal to Liquids</t>
  </si>
  <si>
    <t xml:space="preserve">   Liquefied Petroleum Gases 3/</t>
  </si>
  <si>
    <t xml:space="preserve">   E85 4/</t>
  </si>
  <si>
    <t xml:space="preserve">   Motor Gasoline 5/</t>
  </si>
  <si>
    <t xml:space="preserve">   Jet Fuel 6/</t>
  </si>
  <si>
    <t xml:space="preserve">   Diesel Fuel (distillate fuel oil) 7/</t>
  </si>
  <si>
    <t xml:space="preserve">   Natural Gas 8/</t>
  </si>
  <si>
    <t>Baseline Consumption</t>
  </si>
  <si>
    <t xml:space="preserve">   Kerosene</t>
  </si>
  <si>
    <t xml:space="preserve">   Coal</t>
  </si>
  <si>
    <t xml:space="preserve">   Renewable Energy 1/</t>
  </si>
  <si>
    <t xml:space="preserve">   Renewable Energy 3/</t>
  </si>
  <si>
    <t xml:space="preserve">   Petrochemical Feedstocks</t>
  </si>
  <si>
    <t xml:space="preserve">   Natural-Gas-to-Liquids Heat and Power</t>
  </si>
  <si>
    <t xml:space="preserve">     Natural Gas Subtotal</t>
  </si>
  <si>
    <t xml:space="preserve">   Coal-to-Liquids Heat and Power</t>
  </si>
  <si>
    <t xml:space="preserve">   Net Coal Coke Imports</t>
  </si>
  <si>
    <t xml:space="preserve">     Coal Subtotal</t>
  </si>
  <si>
    <t xml:space="preserve">   Biofuels Heat and Coproducts</t>
  </si>
  <si>
    <t xml:space="preserve">   Renewable Energy 7/</t>
  </si>
  <si>
    <t xml:space="preserve">   E85 8/</t>
  </si>
  <si>
    <t xml:space="preserve">   Other Petroleum 11/</t>
  </si>
  <si>
    <t xml:space="preserve">   Pipeline Fuel Natural Gas</t>
  </si>
  <si>
    <t xml:space="preserve">   Compressed Natural Gas</t>
  </si>
  <si>
    <t xml:space="preserve">   Liquid Hydrogen</t>
  </si>
  <si>
    <t>Carbon Tax (per ton of CO2 emission)</t>
  </si>
  <si>
    <t>Ethanol (E85)</t>
  </si>
  <si>
    <t>LPG</t>
  </si>
  <si>
    <t>Ethanol</t>
  </si>
  <si>
    <t>Kerosene</t>
  </si>
  <si>
    <t>Residential</t>
  </si>
  <si>
    <t>Commercial</t>
  </si>
  <si>
    <t>Industrial</t>
  </si>
  <si>
    <t>Transportation</t>
  </si>
  <si>
    <t>Electricity Imports</t>
  </si>
  <si>
    <t>Cash Rebate</t>
  </si>
  <si>
    <t xml:space="preserve">Motor Fuel </t>
  </si>
  <si>
    <t>Author</t>
  </si>
  <si>
    <t>FY 2010</t>
  </si>
  <si>
    <t>Revenue Fate</t>
  </si>
  <si>
    <t>State General Fund</t>
  </si>
  <si>
    <t>Property Tax Offset</t>
  </si>
  <si>
    <t>Sales Tax Offset</t>
  </si>
  <si>
    <t>B&amp;O Tax Offset</t>
  </si>
  <si>
    <t>Population</t>
  </si>
  <si>
    <t>Code</t>
  </si>
  <si>
    <t>Year</t>
  </si>
  <si>
    <t>Title</t>
  </si>
  <si>
    <t>State Motor Fuel</t>
  </si>
  <si>
    <t>Heating Oil</t>
  </si>
  <si>
    <t>Aircraft Fuel</t>
  </si>
  <si>
    <t>State Excise Tax Rate</t>
  </si>
  <si>
    <t>R001</t>
  </si>
  <si>
    <t>R002</t>
  </si>
  <si>
    <t>R003</t>
  </si>
  <si>
    <t>R004</t>
  </si>
  <si>
    <t>R005</t>
  </si>
  <si>
    <t>R006</t>
  </si>
  <si>
    <t>R007</t>
  </si>
  <si>
    <t>R008</t>
  </si>
  <si>
    <t>R009</t>
  </si>
  <si>
    <t>R010</t>
  </si>
  <si>
    <t>R011</t>
  </si>
  <si>
    <t>R012</t>
  </si>
  <si>
    <t>R013</t>
  </si>
  <si>
    <t>R014</t>
  </si>
  <si>
    <t>R015</t>
  </si>
  <si>
    <t>R016</t>
  </si>
  <si>
    <t>R017</t>
  </si>
  <si>
    <t>R018</t>
  </si>
  <si>
    <t>R019</t>
  </si>
  <si>
    <t>R020</t>
  </si>
  <si>
    <t>R021</t>
  </si>
  <si>
    <t>R022</t>
  </si>
  <si>
    <t>Energy Information Administration</t>
  </si>
  <si>
    <t>Fuel Emission Factors</t>
  </si>
  <si>
    <t>Washington State Department of Licensing</t>
  </si>
  <si>
    <t>Fuel Tax</t>
  </si>
  <si>
    <t>Elasticity</t>
  </si>
  <si>
    <t>State Property Tax</t>
  </si>
  <si>
    <t xml:space="preserve">Retail Sales Tax  </t>
  </si>
  <si>
    <t>Motor Fuel</t>
  </si>
  <si>
    <t>Total State Personal Income</t>
  </si>
  <si>
    <t>State revenues grow at the same rate as the personal income growth forecasted by the Office of Financial Management</t>
  </si>
  <si>
    <t>million dollar</t>
  </si>
  <si>
    <t xml:space="preserve">   Property Tax (State Portion)</t>
  </si>
  <si>
    <t xml:space="preserve">   Sales Tax (State Portion)</t>
  </si>
  <si>
    <t xml:space="preserve">   B&amp;O Tax</t>
  </si>
  <si>
    <t xml:space="preserve">http://www.dol.wa.gov/vehicleregistration/fueltax.html </t>
  </si>
  <si>
    <t>FY 2008 State Revenues</t>
  </si>
  <si>
    <t>Washington State Office of Financial Management</t>
  </si>
  <si>
    <t>Long-Term Forecast of Washington Personal Income</t>
  </si>
  <si>
    <t>Long-Term Forecast of Washington Population and Net Migration</t>
  </si>
  <si>
    <t>Annual Energy Outlook: Regional Energy Consumption and Prices by Sector (Pacific Region)</t>
  </si>
  <si>
    <t xml:space="preserve">http://www.eia.gov/oiaf/archive/aeo10/aeoref_tab.html </t>
  </si>
  <si>
    <t>Turning on the Lights: A Meta-Analysis of Residential Electricity Demand Elasticities</t>
  </si>
  <si>
    <t xml:space="preserve">Espey, James A, and Molly Espey </t>
  </si>
  <si>
    <t xml:space="preserve">Goodwin, Phil, Joyce Dargay, and Mark Hanly </t>
  </si>
  <si>
    <t>Elasticities of Road Traffic and Fuel Consumption with Respect to Price and Income: A Review</t>
  </si>
  <si>
    <t>Explaining the Variations in Elasticity Estimates of Gasoline Demand in the United States: A Meta-Analysis</t>
  </si>
  <si>
    <t xml:space="preserve">Espey, Molly </t>
  </si>
  <si>
    <t>Energy Journal 17 (3), 49</t>
  </si>
  <si>
    <t xml:space="preserve">Brons, Martijn et al </t>
  </si>
  <si>
    <t>A Meta-Analysis of the Price Elasticity of Gasoline Demand. A System of Equations Approach</t>
  </si>
  <si>
    <t>http://www.tinbergen.nl/discussionpapers/06106.pdf</t>
  </si>
  <si>
    <t>Northwest Power and Conservation Council</t>
  </si>
  <si>
    <t>Model Sensitivity Test: Issue Paper</t>
  </si>
  <si>
    <t xml:space="preserve">Dahl, C. and T. Sterner </t>
  </si>
  <si>
    <t>Analyzing Gasoline Demand Elasticities: A Survey</t>
  </si>
  <si>
    <t>A derived demand model of regional highway diesel fuel use</t>
  </si>
  <si>
    <t>Greene, David L.</t>
  </si>
  <si>
    <t>Transportation Research Part B: Methodological, Volume 18, Issue 1</t>
  </si>
  <si>
    <t xml:space="preserve">Bernstein, M.A, and J Griffin </t>
  </si>
  <si>
    <t>Regional Differences in the Price-Elasticity of Demand for Energy</t>
  </si>
  <si>
    <t>http://www.nrel.gov/docs/fy06osti/39512.pdf</t>
  </si>
  <si>
    <t xml:space="preserve">Small, Kenneth and Kurt Van Dender </t>
  </si>
  <si>
    <t>Fuel Efficiency and Motor Vehicle Travel: The Declining Rebound Effect</t>
  </si>
  <si>
    <t xml:space="preserve">Agras J. and D. Chapman </t>
  </si>
  <si>
    <t>The Kyoto Protocol, CAFE Standards, and Gasoline Taxes</t>
  </si>
  <si>
    <t>Estimation of Short-Run and Long-Run Elasticities of Energy Demand from Panel Data Using Shrinkage Estimators</t>
  </si>
  <si>
    <t>Journal of Business &amp; Economic Statistics Vol. 15, No. 1 (Jan., 1997), pp. 90-100</t>
  </si>
  <si>
    <t>OLS</t>
  </si>
  <si>
    <t>Shrinkage</t>
  </si>
  <si>
    <t>Maddala G. S. , Robert P. Trost, Hongyi Li and Frederick Joutz</t>
  </si>
  <si>
    <t>AzevedoInes M. Lima, Granger Morgan and Lester Lave</t>
  </si>
  <si>
    <t>Residential and Regional Electricity Consumption in the US and EU: How Much Will Higher Prices Reduce CO2 Emissions?</t>
  </si>
  <si>
    <t>Journal of Business &amp; Economic Statistics Vol. 15, No. 1 (Jan., 1997), pp. 90-10</t>
  </si>
  <si>
    <t>US Regional and Temporal Fixed Effects</t>
  </si>
  <si>
    <t>Effectiveness of Gasoline Taxation to Manage Air Pollution</t>
  </si>
  <si>
    <t xml:space="preserve">Sipes, Kristin N. and Robert Mendelsohn </t>
  </si>
  <si>
    <t xml:space="preserve">Regional Elasticity for Pacific Coast </t>
  </si>
  <si>
    <t xml:space="preserve">Sterner, Thomas </t>
  </si>
  <si>
    <t>R023</t>
  </si>
  <si>
    <t>Fuel Taxes: An Important Instrument for Climate Policy</t>
  </si>
  <si>
    <t>Energy Policy, Vol. 35. pp. 3194–3202</t>
  </si>
  <si>
    <t>R024</t>
  </si>
  <si>
    <t xml:space="preserve">Goodwin, Phil </t>
  </si>
  <si>
    <t>Review of New Demand Elasticities with Special Reference to Short and Long Run Effects of Price Changes</t>
  </si>
  <si>
    <t>R025</t>
  </si>
  <si>
    <t xml:space="preserve">Hewlett, James G. </t>
  </si>
  <si>
    <t>An Econometric Model of the Market for Residual Fuel Oil on the East Coast</t>
  </si>
  <si>
    <t>DOE/EIA-0183/18, Technical Report TR/EA/80-04</t>
  </si>
  <si>
    <t>R026</t>
  </si>
  <si>
    <t>Potential for Fuel Taxes to Reduce Greenhouse Gas Emissions from Transport</t>
  </si>
  <si>
    <t xml:space="preserve">Hagler Bailly </t>
  </si>
  <si>
    <r>
      <t>Residual Fuel (</t>
    </r>
    <r>
      <rPr>
        <b/>
        <sz val="10"/>
        <color indexed="8"/>
        <rFont val="Calibri"/>
        <family val="2"/>
      </rPr>
      <t>Marine</t>
    </r>
    <r>
      <rPr>
        <b/>
        <sz val="10"/>
        <color indexed="8"/>
        <rFont val="Calibri"/>
        <family val="2"/>
      </rPr>
      <t xml:space="preserve"> Fuel)</t>
    </r>
  </si>
  <si>
    <t>Commercial and industrial sector share common elasticities for electricity and natural gas consumption</t>
  </si>
  <si>
    <t>Following fuel sources are assumed to produce no GHG emissions: renewable energy, biofuel, petrochemical feedstock, other petroleum, hydrogen, nuclear, and electricity import</t>
  </si>
  <si>
    <t>Carbon tax is assumed to have no effect on other minor fuels such as petroleum feedstock</t>
  </si>
  <si>
    <t>GHG emissions from electricity generation are distributed to the other sectors based on their usage share, including electricity related loss</t>
  </si>
  <si>
    <t>Assumptions</t>
  </si>
  <si>
    <t>State Population Growth Rate</t>
  </si>
  <si>
    <t>The number of household would grow at the same rate as the population growth rate</t>
  </si>
  <si>
    <t>Number of households in WA</t>
  </si>
  <si>
    <t xml:space="preserve">http://quickfacts.census.gov/qfd/states/53000.html </t>
  </si>
  <si>
    <t>GHG Emissions</t>
  </si>
  <si>
    <t>Carbon Tax Revenue</t>
  </si>
  <si>
    <t>Sector and Source</t>
  </si>
  <si>
    <t>Number of Washington Households</t>
  </si>
  <si>
    <t>R027</t>
  </si>
  <si>
    <t>Julian I. Silk and Frederick L. Joutz</t>
  </si>
  <si>
    <t>Short and long-run elasticities in US residential electricity demand: a co-integration approach</t>
  </si>
  <si>
    <t>Price Responsiveness in the AEO2003 NEMS Residential and Commercial Buildings Sector Models</t>
  </si>
  <si>
    <t>http://www.eia.doe.gov/oiaf/analysispaper/elasticity/</t>
  </si>
  <si>
    <t>Commercial natural gas's elasticity applies to other commercial heating fuels (LPG, distillate fuel, residual fuel, coal, and other petroleum)</t>
  </si>
  <si>
    <t>Residential natural gas's elasticity applies to other residential heating fuels (LPG and distillate fuel)</t>
  </si>
  <si>
    <t xml:space="preserve"> </t>
  </si>
  <si>
    <t>R028</t>
  </si>
  <si>
    <t>State Energy Database System: Washington</t>
  </si>
  <si>
    <t>http://www.eia.doe.gov/states/state.html?q_state_a=wa&amp;q_state=WASHINGTON</t>
  </si>
  <si>
    <t>R029</t>
  </si>
  <si>
    <t>Gately, Dermot</t>
  </si>
  <si>
    <r>
      <t>Taking off: the U.S. demand for air travel and jet fuel</t>
    </r>
    <r>
      <rPr>
        <i/>
        <sz val="11"/>
        <color indexed="8"/>
        <rFont val="Calibri"/>
        <family val="2"/>
      </rPr>
      <t/>
    </r>
  </si>
  <si>
    <t>Date</t>
  </si>
  <si>
    <t>Who</t>
  </si>
  <si>
    <t>Sheet(s) affected</t>
  </si>
  <si>
    <t>Description</t>
  </si>
  <si>
    <t>Roel</t>
  </si>
  <si>
    <t>Top</t>
  </si>
  <si>
    <t>Improved Output labeling</t>
  </si>
  <si>
    <t>Version 2.1</t>
  </si>
  <si>
    <t>Version 2.0</t>
  </si>
  <si>
    <t>Keibun</t>
  </si>
  <si>
    <t>Emailed complete Version 2.0 to WSEO.</t>
  </si>
  <si>
    <t>n/a</t>
  </si>
  <si>
    <t>Natural Gas: Residential</t>
  </si>
  <si>
    <t>Natural Gas: Commercial</t>
  </si>
  <si>
    <t>Electricity: Residential</t>
  </si>
  <si>
    <t>Electricity: Commercial</t>
  </si>
  <si>
    <t>Electricity: Industrial</t>
  </si>
  <si>
    <t>Distillate Fuel: retail</t>
  </si>
  <si>
    <t>Distillate Fuel: electric generator</t>
  </si>
  <si>
    <t>Natural Gas: electric generator</t>
  </si>
  <si>
    <t>Coal: electric generator</t>
  </si>
  <si>
    <t>R030</t>
  </si>
  <si>
    <t>Fuel Competition in Power Generation and Elasticities of Substitution</t>
  </si>
  <si>
    <t>Added price elasticities of demand for electric generation fuels. (Temporary locations)</t>
  </si>
  <si>
    <t>Top, Variable Parameters, Elasticity</t>
  </si>
  <si>
    <t>Formatted cells end here.</t>
  </si>
  <si>
    <t>R031</t>
  </si>
  <si>
    <t>http://www.eia.gov/forecasts/aeo/</t>
  </si>
  <si>
    <t>Hydropower</t>
  </si>
  <si>
    <t>Nuclear</t>
  </si>
  <si>
    <t>Wind</t>
  </si>
  <si>
    <t>Biomass</t>
  </si>
  <si>
    <t>Petroleum</t>
  </si>
  <si>
    <t>Geothermal</t>
  </si>
  <si>
    <t>Solar</t>
  </si>
  <si>
    <t>$/MWh</t>
  </si>
  <si>
    <t>R032</t>
  </si>
  <si>
    <t>assume value of coal</t>
  </si>
  <si>
    <t>total</t>
  </si>
  <si>
    <t>various</t>
  </si>
  <si>
    <t>Residual Fuel Oil</t>
  </si>
  <si>
    <t>Residential sector</t>
  </si>
  <si>
    <t>Commercial sector</t>
  </si>
  <si>
    <t>Industrial sector</t>
  </si>
  <si>
    <t>Electric sector</t>
  </si>
  <si>
    <t>All Other sectors</t>
  </si>
  <si>
    <t>First Year</t>
  </si>
  <si>
    <t>Coal (electric sector only)</t>
  </si>
  <si>
    <t>Version History</t>
  </si>
  <si>
    <t>Simplified to eliminate "notes" column &amp; report only two years of output in tabular format (2020 &amp; 2035).</t>
  </si>
  <si>
    <t>Moved assumptions descriptions to 'Cover' sheet &amp; deleted 'Assumptions' sheet.</t>
  </si>
  <si>
    <t>Greg</t>
  </si>
  <si>
    <t>Regional cons</t>
  </si>
  <si>
    <t>Updated regional baseline consumption to AEO 2013 Pacific region.</t>
  </si>
  <si>
    <t>Updated high and low oil price cases to reflect AEO 2013 Pacific values - separate spreadsheets</t>
  </si>
  <si>
    <t>Added recursive calculation of electric consumption. Deleted extraneous rows.</t>
  </si>
  <si>
    <t>Minor chart format changes</t>
  </si>
  <si>
    <r>
      <t>Clean Energy Trust Fund</t>
    </r>
    <r>
      <rPr>
        <b/>
        <vertAlign val="superscript"/>
        <sz val="11"/>
        <color theme="1"/>
        <rFont val="Calibri"/>
        <family val="2"/>
      </rPr>
      <t>a</t>
    </r>
  </si>
  <si>
    <t>Notes</t>
  </si>
  <si>
    <t>$/t</t>
  </si>
  <si>
    <t>State-level emissions, financial and demographic information</t>
  </si>
  <si>
    <t>Growth Rates</t>
  </si>
  <si>
    <t>Top, Elasticities</t>
  </si>
  <si>
    <t>Moved user input of elasticities from 'Top' to 'Elasticities.'</t>
  </si>
  <si>
    <t>default</t>
  </si>
  <si>
    <t>your value</t>
  </si>
  <si>
    <t>operating values</t>
  </si>
  <si>
    <t>elasticity</t>
  </si>
  <si>
    <t>stickiness</t>
  </si>
  <si>
    <t>Motor Fuel (Gasoline)</t>
  </si>
  <si>
    <t>Elasticities, Parameter Rollout</t>
  </si>
  <si>
    <t>Renamed tab 'Variable Parameters' to 'Parameter Rollout.' Implemented user-alterable ramp lengths. Implemented user-alterable tax start year.</t>
  </si>
  <si>
    <t>Growth</t>
  </si>
  <si>
    <t>projection year</t>
  </si>
  <si>
    <t>Extended historical data range to begin at 2005. Limited modeling capability to begin at calendar year 2014 at the earliest.</t>
  </si>
  <si>
    <t>Price and consumption tabs</t>
  </si>
  <si>
    <t>Extended forecast range to 2040.</t>
  </si>
  <si>
    <t>Inflator</t>
  </si>
  <si>
    <t>2006 dollars</t>
  </si>
  <si>
    <t>FY2010</t>
  </si>
  <si>
    <t>Historical # from Biennial Report</t>
  </si>
  <si>
    <t>change</t>
  </si>
  <si>
    <t>Price Change</t>
  </si>
  <si>
    <t>Incorporated carbon tax into adjusted fuel mix pricing.</t>
  </si>
  <si>
    <t>Price Change, Adjusted Consumption</t>
  </si>
  <si>
    <t>Replaced recursive electric calculation with 6-step process described in WREPC paper.</t>
  </si>
  <si>
    <t>Allocation of Electric Power to Sectors</t>
  </si>
  <si>
    <t>Baseline Contributions to Electricity Price ($/MWh-fuel)</t>
  </si>
  <si>
    <t>Clean Energy Trust Fund</t>
  </si>
  <si>
    <t>Parameters acquired from Dashboard</t>
  </si>
  <si>
    <t>Repaired revenue estimate for Industrial Sector electricity consumption (was pointing to Transportation total instead of Electricity total).</t>
  </si>
  <si>
    <t>Parameter Rollout</t>
  </si>
  <si>
    <t>Repaired fencepost error on start year (added "+1" to row 5 formulae).</t>
  </si>
  <si>
    <t>Version 2.1 release, as presented at WEPRC.</t>
  </si>
  <si>
    <t>Electric Price Change (%)</t>
  </si>
  <si>
    <t>Dashboard, Price Change, Adjusted Consumption</t>
  </si>
  <si>
    <t>Added switch to allow "Method A" or "Method B" approach to electricity consumption.</t>
  </si>
  <si>
    <t>Version 2.2 release, for use by SAIC.</t>
  </si>
  <si>
    <t>Methodology Notes</t>
  </si>
  <si>
    <t>Yes</t>
  </si>
  <si>
    <t xml:space="preserve">Allocation of Electric Power to the four primary sectors (used by 'Adjusted Emissions' and 'Revenue' sheets) </t>
  </si>
  <si>
    <t>Graphics, Sensitivity Analysis, Monte Carlo</t>
  </si>
  <si>
    <t>Deleted sheets that are not currently maintained.</t>
  </si>
  <si>
    <t>Sources</t>
  </si>
  <si>
    <t>Updated regional baseline consumption to AEO 2014 Pacific region. Updated proration factors</t>
  </si>
  <si>
    <t>quadrillion Btu</t>
  </si>
  <si>
    <t>A</t>
  </si>
  <si>
    <t xml:space="preserve">Dashboard to A setting </t>
  </si>
  <si>
    <t>Motor fuel's elasticity applies to LPG, E85 (ethanol), and natural gas in transportation sector</t>
  </si>
  <si>
    <t>Natural Gas: Industrial</t>
  </si>
  <si>
    <t>Industrial electricity's elasticity applies to other processing fuels (LPG, residual fuel, distillate fuel,  and coal)</t>
  </si>
  <si>
    <t>Ind. Elasticity</t>
  </si>
  <si>
    <t>CTAM now includes the option (controlled at Dashboard) of using two alternative EIA baseline scenarios in addition to the EIA Reference Case. CTAM is currently setup with 1. Standard Reference Case, 2. Extended Policies Case, and 3. Low Oil and Gas Price Case. Other EIA cases can be substituted for # 2 or #3.  Altered E85 proration factor and updated price forecast to AEO 2014: expressed in 2012 $.</t>
  </si>
  <si>
    <t>Optional baseline cases, price forecast</t>
  </si>
  <si>
    <t>Regional Baseline</t>
  </si>
  <si>
    <t>Motor gas</t>
  </si>
  <si>
    <t>MMBtu/gallon</t>
  </si>
  <si>
    <t>Exogenous fuel tax</t>
  </si>
  <si>
    <t xml:space="preserve">Added an option to include an increase in the Federal fuel tax rate for motor gasoline and on-road diesel. The tax is expressed as $ per ton of CO2 emissions, but a simple calculation the Parameters tab converts this $ per ton rate to $ per gallon. </t>
  </si>
  <si>
    <t>Added reference values for industrial natural gas price elasticity of demand. These references are of medium-low quality: arrived at a recommended elasticity value of -0.70. Added computational lines where necessary. Made minor changes to tables in Dashboard section.</t>
  </si>
  <si>
    <t>Liquid hydrogen assumed to be zero emission fuel for this analysis</t>
  </si>
  <si>
    <t xml:space="preserve">Assumed to be carbon neutral for this analysis </t>
  </si>
  <si>
    <t>Renewable Energy etc.</t>
  </si>
  <si>
    <t>levelized costs of generation from fuels (EIA)</t>
  </si>
  <si>
    <t>--</t>
  </si>
  <si>
    <t>Adjusted Price After Carbon Tax</t>
  </si>
  <si>
    <t>2005-11 EIA average</t>
  </si>
  <si>
    <t>residential</t>
  </si>
  <si>
    <t>commercial</t>
  </si>
  <si>
    <t>industrial</t>
  </si>
  <si>
    <t>gasoline</t>
  </si>
  <si>
    <t>diesel</t>
  </si>
  <si>
    <t>Adjusted WA Energy Expenditures</t>
  </si>
  <si>
    <t>Other petroleum</t>
  </si>
  <si>
    <t>Total energy expenditures</t>
  </si>
  <si>
    <t>Energy Expenditures</t>
  </si>
  <si>
    <t>Baseline Energy Expenditures</t>
  </si>
  <si>
    <t>Federal fuel tax revenue increase</t>
  </si>
  <si>
    <t>Fuel price adjustments</t>
  </si>
  <si>
    <t>Expenditure data</t>
  </si>
  <si>
    <t xml:space="preserve"> Fuel prices are for the Pacific region and are dominated by California were prices for some fuels are higher. Fuel price adjustments  were made, making them more representative of WA, for gasoline, diesel, natural gas and electricity using historical EIA data.</t>
  </si>
  <si>
    <t>Added expenditure data to the dashboard. Switched to EIA Extended Policies for the baseline.</t>
  </si>
  <si>
    <t>Historical</t>
  </si>
  <si>
    <t>Forecast</t>
  </si>
  <si>
    <t>Baseline Price, constant $</t>
  </si>
  <si>
    <t>EIA, derived from AEO price worksheets</t>
  </si>
  <si>
    <t xml:space="preserve">Jet Fuel </t>
  </si>
  <si>
    <t>Fuel price summary data</t>
  </si>
  <si>
    <t>imported electricity and industrial process emissions</t>
  </si>
  <si>
    <t>No</t>
  </si>
  <si>
    <t>Waste</t>
  </si>
  <si>
    <t xml:space="preserve">Coal </t>
  </si>
  <si>
    <t xml:space="preserve">Waste </t>
  </si>
  <si>
    <t xml:space="preserve">Landfill Gases </t>
  </si>
  <si>
    <t>Other</t>
  </si>
  <si>
    <t>Industrial process emissions</t>
  </si>
  <si>
    <t>Share of Centralia genr. that is sold to WA utilities</t>
  </si>
  <si>
    <t>FY2013</t>
  </si>
  <si>
    <t>R033</t>
  </si>
  <si>
    <t>units unless otherwise noted:</t>
  </si>
  <si>
    <t>source unless otherwise noted:</t>
  </si>
  <si>
    <t>description:</t>
  </si>
  <si>
    <t>meta-formula:</t>
  </si>
  <si>
    <t>baseline consumption' = 'regional baseline consumption' x 'proration factor'</t>
  </si>
  <si>
    <t>checksums</t>
  </si>
  <si>
    <t>Electricity Step 3 occurs on sheet 'Price Change.'</t>
  </si>
  <si>
    <t>Adjusted Consumption (after carbon tax)</t>
  </si>
  <si>
    <t>consumption after application of carbon tax</t>
  </si>
  <si>
    <t>Adjusted Consumption = Baseline Consumption * Price Change * Elasticity + Baseline Consumption</t>
  </si>
  <si>
    <r>
      <t xml:space="preserve">   Electricity - </t>
    </r>
    <r>
      <rPr>
        <b/>
        <sz val="10"/>
        <color rgb="FFFF0000"/>
        <rFont val="Calibri"/>
        <family val="2"/>
      </rPr>
      <t>Electricity Step 4</t>
    </r>
  </si>
  <si>
    <t>EOD</t>
  </si>
  <si>
    <t>WA State Dept. of Commerce</t>
  </si>
  <si>
    <t>Transport Reviews 24, no. 3 (May 2004): 275-92</t>
  </si>
  <si>
    <t>Journal of Agricultural and Applied Economics 36, no. 1 (April 2004): 65-81</t>
  </si>
  <si>
    <t>Energy Economics, Vol. 13(3), pp 203-210</t>
  </si>
  <si>
    <t>Contemporary Economic Policy, 17:3</t>
  </si>
  <si>
    <t>Ecological Economics, Vol. 36, pp. 299–309</t>
  </si>
  <si>
    <t>Journal of Transport Economics, Vol. 26, No. 2, May 1992, pp. 155-171</t>
  </si>
  <si>
    <r>
      <rPr>
        <b/>
        <i/>
        <sz val="10"/>
        <color indexed="8"/>
        <rFont val="Calibri"/>
        <family val="2"/>
      </rPr>
      <t>The Energy Journal</t>
    </r>
    <r>
      <rPr>
        <b/>
        <sz val="10"/>
        <color indexed="8"/>
        <rFont val="Calibri"/>
        <family val="2"/>
      </rPr>
      <t xml:space="preserve"> Volume 28.1 </t>
    </r>
  </si>
  <si>
    <r>
      <rPr>
        <i/>
        <sz val="10"/>
        <color indexed="8"/>
        <rFont val="Calibri"/>
        <family val="2"/>
      </rPr>
      <t>The Electricity Journal</t>
    </r>
    <r>
      <rPr>
        <b/>
        <sz val="10"/>
        <color indexed="8"/>
        <rFont val="Calibri"/>
        <family val="2"/>
      </rPr>
      <t>, Vol. 24, Issue 1 (Jan/Feb 2011), pp. 21-29</t>
    </r>
  </si>
  <si>
    <r>
      <rPr>
        <i/>
        <sz val="10"/>
        <color indexed="8"/>
        <rFont val="Calibri"/>
        <family val="2"/>
      </rPr>
      <t>Energy Economics</t>
    </r>
    <r>
      <rPr>
        <b/>
        <sz val="10"/>
        <color indexed="8"/>
        <rFont val="Calibri"/>
        <family val="2"/>
      </rPr>
      <t>, Volume 19, Issue 4, October 1997, Pages 493-513, pp. 507</t>
    </r>
  </si>
  <si>
    <r>
      <rPr>
        <i/>
        <sz val="10"/>
        <rFont val="Calibri"/>
        <family val="2"/>
      </rPr>
      <t>Energy Journal</t>
    </r>
    <r>
      <rPr>
        <sz val="10"/>
        <rFont val="Calibri"/>
        <family val="2"/>
      </rPr>
      <t>. Volume 9: 63-91</t>
    </r>
  </si>
  <si>
    <t>Fuel-Mix-Aggregate-Time-Series2012.xlsx</t>
  </si>
  <si>
    <t>R034</t>
  </si>
  <si>
    <t>Retail_sales_of_electricity.csv</t>
  </si>
  <si>
    <t>http://www.eia.gov/electricity/data/browser/#/topic/5?agg=0,1&amp;geo=000000000001&amp;endsec=vg&amp;freq=A&amp;start=2001&amp;end=2013&amp;ctype=linechart&amp;ltype=pin&amp;rtype=s&amp;pin=&amp;rse=0&amp;maptype=0</t>
  </si>
  <si>
    <t>Standard Report #5.4</t>
  </si>
  <si>
    <t>Electric Generators (consumption-basis)</t>
  </si>
  <si>
    <t>Adjusted Emissions</t>
  </si>
  <si>
    <t>Emissions after application of carbon tax</t>
  </si>
  <si>
    <r>
      <t>million tCO</t>
    </r>
    <r>
      <rPr>
        <b/>
        <vertAlign val="subscript"/>
        <sz val="12"/>
        <color theme="1"/>
        <rFont val="Arial Narrow"/>
        <family val="2"/>
      </rPr>
      <t>2</t>
    </r>
  </si>
  <si>
    <r>
      <t>adjusted emissions (MtCO</t>
    </r>
    <r>
      <rPr>
        <b/>
        <vertAlign val="subscript"/>
        <sz val="12"/>
        <color theme="1"/>
        <rFont val="Arial Narrow"/>
        <family val="2"/>
      </rPr>
      <t>2</t>
    </r>
    <r>
      <rPr>
        <b/>
        <sz val="12"/>
        <color theme="1"/>
        <rFont val="Arial Narrow"/>
        <family val="2"/>
      </rPr>
      <t>) = adjusted consumption (quad) * emission factor (MtCO</t>
    </r>
    <r>
      <rPr>
        <b/>
        <vertAlign val="subscript"/>
        <sz val="12"/>
        <color theme="1"/>
        <rFont val="Arial Narrow"/>
        <family val="2"/>
      </rPr>
      <t>2</t>
    </r>
    <r>
      <rPr>
        <b/>
        <sz val="12"/>
        <color theme="1"/>
        <rFont val="Arial Narrow"/>
        <family val="2"/>
      </rPr>
      <t>/quad)</t>
    </r>
  </si>
  <si>
    <t>Baseline Emissions</t>
  </si>
  <si>
    <t>R035</t>
  </si>
  <si>
    <t>Table 8.1 Average Operating heat Rate for Selected Energy Sources, 2002 through 2012</t>
  </si>
  <si>
    <t>R036</t>
  </si>
  <si>
    <t>Washington Class Electric Sales (MWa/Year)</t>
  </si>
  <si>
    <t>Email from Massoud Jourabchi to Greg Nothstein, 2014-12-18.</t>
  </si>
  <si>
    <t>R037</t>
  </si>
  <si>
    <t>http://www.eia.gov/electricity/data/state/sales_annual.xls</t>
  </si>
  <si>
    <r>
      <t xml:space="preserve">Increases in Taxed Fuel Consumption by the Electric Power Sector -- </t>
    </r>
    <r>
      <rPr>
        <b/>
        <sz val="10"/>
        <color rgb="FFFF0000"/>
        <rFont val="Calibri"/>
        <family val="2"/>
      </rPr>
      <t>Electricity Step 1</t>
    </r>
  </si>
  <si>
    <t xml:space="preserve">Natural Gas </t>
  </si>
  <si>
    <t xml:space="preserve">Cogeneration </t>
  </si>
  <si>
    <t xml:space="preserve">Petroleum </t>
  </si>
  <si>
    <t xml:space="preserve">Nuclear </t>
  </si>
  <si>
    <t xml:space="preserve">Biomass </t>
  </si>
  <si>
    <t xml:space="preserve">Geothermal </t>
  </si>
  <si>
    <t xml:space="preserve">Wind </t>
  </si>
  <si>
    <t>Price Change (%) = Carbon Tax Rate ($/mmBtu) / Baseline Price ($/mmBtu)</t>
  </si>
  <si>
    <t>The relative change in price of fuels due to the carbon tax.</t>
  </si>
  <si>
    <t>%</t>
  </si>
  <si>
    <t>Electric Generators - primary fuels</t>
  </si>
  <si>
    <t>Landfill Gases</t>
  </si>
  <si>
    <t>assume value of NG</t>
  </si>
  <si>
    <t>Cogeneration</t>
  </si>
  <si>
    <t>total levelized price of generation per EIA</t>
  </si>
  <si>
    <r>
      <t xml:space="preserve">Adjusted Contributions to Electric Price ($/MWh-fuel) - </t>
    </r>
    <r>
      <rPr>
        <b/>
        <sz val="10"/>
        <color rgb="FFFF0000"/>
        <rFont val="Calibri"/>
        <family val="2"/>
      </rPr>
      <t>Electricity Step 3b</t>
    </r>
  </si>
  <si>
    <t>R007, Table 19</t>
  </si>
  <si>
    <t>Electricity PRICE forecasts follow EIA fuel taxonomy, not WA FMD taxonomy.</t>
  </si>
  <si>
    <t>Fraction of fuel mix that is taxed,</t>
  </si>
  <si>
    <t>before application of tax</t>
  </si>
  <si>
    <t>after application of tax</t>
  </si>
  <si>
    <t>Fraction of fuel mix that is untaxed,</t>
  </si>
  <si>
    <t>[ratio]</t>
  </si>
  <si>
    <r>
      <t xml:space="preserve">Adjusted Electric Fuel Mix (%) -- </t>
    </r>
    <r>
      <rPr>
        <b/>
        <sz val="10"/>
        <color rgb="FFFF0000"/>
        <rFont val="Calibri"/>
        <family val="2"/>
      </rPr>
      <t>Electricity Step 2</t>
    </r>
  </si>
  <si>
    <t>[ratio with baseline]</t>
  </si>
  <si>
    <r>
      <t xml:space="preserve"> Electric Power -- </t>
    </r>
    <r>
      <rPr>
        <b/>
        <sz val="10"/>
        <color rgb="FFFF0000"/>
        <rFont val="Calibri"/>
        <family val="2"/>
      </rPr>
      <t>Electricity step 6b</t>
    </r>
  </si>
  <si>
    <t>Electricity total</t>
  </si>
  <si>
    <r>
      <t xml:space="preserve">Electric Power Sector, ratio of adjusted/baseline primary fuel consumption - </t>
    </r>
    <r>
      <rPr>
        <b/>
        <sz val="10"/>
        <color rgb="FFFF0000"/>
        <rFont val="Calibri"/>
        <family val="2"/>
      </rPr>
      <t>Electricity step 6a</t>
    </r>
  </si>
  <si>
    <t>R038</t>
  </si>
  <si>
    <t>Form EIA-861 data.</t>
  </si>
  <si>
    <t>http://www.eia.gov/electricity/data.cfm#sales</t>
  </si>
  <si>
    <t>price scenario A</t>
  </si>
  <si>
    <t>scenario description:</t>
  </si>
  <si>
    <t>consumption scenario A</t>
  </si>
  <si>
    <t>Electric Power</t>
  </si>
  <si>
    <t>Electric generators - generation shares by prime mover (%)</t>
  </si>
  <si>
    <t>price scenario B</t>
  </si>
  <si>
    <t>price scenario C</t>
  </si>
  <si>
    <t>consumption scenario B</t>
  </si>
  <si>
    <t>consumption scenario C</t>
  </si>
  <si>
    <t xml:space="preserve">Baseline expenditure = Baseline price * Baseline Consumption (Btu) </t>
  </si>
  <si>
    <t>electricity</t>
  </si>
  <si>
    <t>other</t>
  </si>
  <si>
    <t>petroleum</t>
  </si>
  <si>
    <t>coal</t>
  </si>
  <si>
    <t>1990 (baseline) emission level</t>
  </si>
  <si>
    <t>value</t>
  </si>
  <si>
    <t>units</t>
  </si>
  <si>
    <t>source</t>
  </si>
  <si>
    <t>notes</t>
  </si>
  <si>
    <t>parameter</t>
  </si>
  <si>
    <r>
      <t>J</t>
    </r>
    <r>
      <rPr>
        <b/>
        <sz val="10"/>
        <color indexed="8"/>
        <rFont val="Calibri"/>
        <family val="2"/>
      </rPr>
      <t>et Fuel Exemption</t>
    </r>
  </si>
  <si>
    <r>
      <t>M</t>
    </r>
    <r>
      <rPr>
        <b/>
        <sz val="10"/>
        <color indexed="8"/>
        <rFont val="Calibri"/>
        <family val="2"/>
      </rPr>
      <t>arine Fuel Exemption</t>
    </r>
  </si>
  <si>
    <t>ramps</t>
  </si>
  <si>
    <t>Parameters</t>
  </si>
  <si>
    <t>R039</t>
  </si>
  <si>
    <t>Washington Department of Ecology</t>
  </si>
  <si>
    <t>Washington State 1990 Greenhouse Gas Emissions Inventory</t>
  </si>
  <si>
    <r>
      <t>MtCO</t>
    </r>
    <r>
      <rPr>
        <b/>
        <vertAlign val="subscript"/>
        <sz val="10"/>
        <color indexed="8"/>
        <rFont val="Calibri"/>
        <family val="2"/>
      </rPr>
      <t>2</t>
    </r>
    <r>
      <rPr>
        <b/>
        <sz val="10"/>
        <color indexed="8"/>
        <rFont val="Calibri"/>
        <family val="2"/>
      </rPr>
      <t>e</t>
    </r>
  </si>
  <si>
    <t>1990 energy-related emissions</t>
  </si>
  <si>
    <t>Targets</t>
  </si>
  <si>
    <t>Table 2 (p.5)</t>
  </si>
  <si>
    <t>lookupBoolean</t>
  </si>
  <si>
    <t>Washington State Greenhouse Gas Emissions Inventory 2010-2011.</t>
  </si>
  <si>
    <t>R040</t>
  </si>
  <si>
    <t>Department of Ecology</t>
  </si>
  <si>
    <t>R041</t>
  </si>
  <si>
    <t>Office of Financial Management</t>
  </si>
  <si>
    <t>Long-Term Economic and Labor Force Forecast for Washington</t>
  </si>
  <si>
    <t>http://ofm.wa.gov/researchbriefs/default.asp</t>
  </si>
  <si>
    <t>cement manufacture</t>
  </si>
  <si>
    <t>aluminum production</t>
  </si>
  <si>
    <t>limestone and dolomite use</t>
  </si>
  <si>
    <t>soda ash</t>
  </si>
  <si>
    <t>ODS substitutes</t>
  </si>
  <si>
    <t>semiconductor manufacturing</t>
  </si>
  <si>
    <t>electric power T&amp;D</t>
  </si>
  <si>
    <r>
      <t>Industrial process emissions (million tCO</t>
    </r>
    <r>
      <rPr>
        <b/>
        <vertAlign val="subscript"/>
        <sz val="10"/>
        <color indexed="8"/>
        <rFont val="Calibri"/>
        <family val="2"/>
      </rPr>
      <t>2</t>
    </r>
    <r>
      <rPr>
        <b/>
        <sz val="10"/>
        <color indexed="8"/>
        <rFont val="Calibri"/>
        <family val="2"/>
      </rPr>
      <t>e)</t>
    </r>
  </si>
  <si>
    <t>jet fuel</t>
  </si>
  <si>
    <t>primary variables</t>
  </si>
  <si>
    <r>
      <t>$/tCO</t>
    </r>
    <r>
      <rPr>
        <b/>
        <vertAlign val="subscript"/>
        <sz val="10"/>
        <color indexed="8"/>
        <rFont val="Calibri"/>
        <family val="2"/>
      </rPr>
      <t>2</t>
    </r>
    <r>
      <rPr>
        <b/>
        <sz val="10"/>
        <color indexed="8"/>
        <rFont val="Calibri"/>
        <family val="2"/>
      </rPr>
      <t>e</t>
    </r>
  </si>
  <si>
    <t>$/mmBtu</t>
  </si>
  <si>
    <t>elasticities</t>
  </si>
  <si>
    <t>Very suspicious that these are hard-coded. Review.</t>
  </si>
  <si>
    <t>mm$</t>
  </si>
  <si>
    <t>Non-Carbon Tax Revenues</t>
  </si>
  <si>
    <t>[unitless]</t>
  </si>
  <si>
    <t>yr</t>
  </si>
  <si>
    <t>demographic &amp; other background variables</t>
  </si>
  <si>
    <t>Step 1: build each unscaled, unit ramp</t>
  </si>
  <si>
    <t>Step 2: apply each ramp to the respective, long-run elasticity value.</t>
  </si>
  <si>
    <t>natural gas</t>
  </si>
  <si>
    <t>first allowable model year</t>
  </si>
  <si>
    <t>This is the first year in which a change can happen. Should be larger than the current, calendar year.</t>
  </si>
  <si>
    <t>Single-valued parameters or short series that drive behavior of the model. Time series do not appear here, though some of these parameters are applied to model time series via the 'ramp' tab.</t>
  </si>
  <si>
    <t>last allowable model year</t>
  </si>
  <si>
    <t>Parameters that change over time. These are mostly calculated from static parameters based on time-dependent equations.</t>
  </si>
  <si>
    <t>exogenous demand factors by sector (user forces from 'dashboard' tab)</t>
  </si>
  <si>
    <t>TOTAL industrial process emissions</t>
  </si>
  <si>
    <t>Grand Total Energy-Related Emissions</t>
  </si>
  <si>
    <t>Grand Total Emissions</t>
  </si>
  <si>
    <t>R042</t>
  </si>
  <si>
    <t>Washington State Greenhouse Gas Emissions Inventory 2007-2008.</t>
  </si>
  <si>
    <t>industrial process emissions?</t>
  </si>
  <si>
    <t>nominal heat rates (Btu/kWh)</t>
  </si>
  <si>
    <r>
      <rPr>
        <b/>
        <sz val="11"/>
        <color indexed="8"/>
        <rFont val="Calibri"/>
        <family val="2"/>
      </rPr>
      <t>a</t>
    </r>
    <r>
      <rPr>
        <b/>
        <sz val="10"/>
        <color indexed="8"/>
        <rFont val="Calibri"/>
        <family val="2"/>
      </rPr>
      <t xml:space="preserve">. These are </t>
    </r>
    <r>
      <rPr>
        <b/>
        <i/>
        <sz val="10"/>
        <color indexed="8"/>
        <rFont val="Calibri"/>
        <family val="2"/>
      </rPr>
      <t>long-run</t>
    </r>
    <r>
      <rPr>
        <b/>
        <sz val="10"/>
        <color indexed="8"/>
        <rFont val="Calibri"/>
        <family val="2"/>
      </rPr>
      <t xml:space="preserve"> elasticities of demand. All default values are computed in spreadsheet 230-08c</t>
    </r>
  </si>
  <si>
    <t xml:space="preserve">     cells 'Elasticities'!BG7:BG22. Citations from original literature are in the same spreadsheet.</t>
  </si>
  <si>
    <t>b. Stickiness is the length, in years, of the linear ramp over which a particular elasticity is fully rolled into the model.</t>
  </si>
  <si>
    <t>mmBtu/gal</t>
  </si>
  <si>
    <r>
      <t>kg CO</t>
    </r>
    <r>
      <rPr>
        <b/>
        <vertAlign val="subscript"/>
        <sz val="10"/>
        <color indexed="8"/>
        <rFont val="Calibri"/>
        <family val="2"/>
      </rPr>
      <t>2</t>
    </r>
    <r>
      <rPr>
        <b/>
        <sz val="10"/>
        <color indexed="8"/>
        <rFont val="Calibri"/>
        <family val="2"/>
      </rPr>
      <t>/mmBtu</t>
    </r>
  </si>
  <si>
    <t>PSE</t>
  </si>
  <si>
    <t>Claims on Colstrip coal</t>
  </si>
  <si>
    <t>MWh</t>
  </si>
  <si>
    <t>Avista</t>
  </si>
  <si>
    <t>total claims on (any) coal</t>
  </si>
  <si>
    <t>A269</t>
  </si>
  <si>
    <t>MW</t>
  </si>
  <si>
    <t>A268</t>
  </si>
  <si>
    <t>claims affecting units 1+2</t>
  </si>
  <si>
    <t>claims affecting units 3+4</t>
  </si>
  <si>
    <t>Unit 1+2 share of PSE's Colstrip capacity</t>
  </si>
  <si>
    <t>Unit 1 capacity owned</t>
  </si>
  <si>
    <t>Unit 2 capacity owned</t>
  </si>
  <si>
    <t>Unit 3 capacity owned</t>
  </si>
  <si>
    <t>Unit 4 capacity owned</t>
  </si>
  <si>
    <t>analysis of coal-based resources</t>
  </si>
  <si>
    <t>Colstrip</t>
  </si>
  <si>
    <t>% of total coal claims due to Colstrip 1+2</t>
  </si>
  <si>
    <t>% of total coal claims due to Colstrip 3+4</t>
  </si>
  <si>
    <t>% replaced</t>
  </si>
  <si>
    <t>shut down</t>
  </si>
  <si>
    <r>
      <t>Y</t>
    </r>
    <r>
      <rPr>
        <b/>
        <sz val="10"/>
        <color indexed="8"/>
        <rFont val="Calibri"/>
        <family val="2"/>
      </rPr>
      <t>es</t>
    </r>
  </si>
  <si>
    <t>parameter description</t>
  </si>
  <si>
    <t>1. define the carbon tax</t>
  </si>
  <si>
    <t>first year</t>
  </si>
  <si>
    <t>initial rate</t>
  </si>
  <si>
    <t>annual increment</t>
  </si>
  <si>
    <t>maximum rate</t>
  </si>
  <si>
    <t>Property Tax offset</t>
  </si>
  <si>
    <t>Sales Tax offset</t>
  </si>
  <si>
    <t>B&amp;O Tax offset</t>
  </si>
  <si>
    <t>cash rebate</t>
  </si>
  <si>
    <t>state General Fund</t>
  </si>
  <si>
    <t>total revenues assigned</t>
  </si>
  <si>
    <t>3. specify model behavior</t>
  </si>
  <si>
    <t>exempt jet fuels</t>
  </si>
  <si>
    <t>exempt marine fuels</t>
  </si>
  <si>
    <r>
      <t>baseline forecast (A, B or C)</t>
    </r>
    <r>
      <rPr>
        <b/>
        <vertAlign val="superscript"/>
        <sz val="10"/>
        <color indexed="8"/>
        <rFont val="Calibri"/>
        <family val="2"/>
      </rPr>
      <t>f</t>
    </r>
  </si>
  <si>
    <t>name of baseline forecast ---&gt;</t>
  </si>
  <si>
    <t>sector / fuel</t>
  </si>
  <si>
    <t>target year</t>
  </si>
  <si>
    <t>industrial process</t>
  </si>
  <si>
    <t>fuel type</t>
  </si>
  <si>
    <t>gasoline-like</t>
  </si>
  <si>
    <t>diesel-like</t>
  </si>
  <si>
    <t>Units 1 &amp; 2</t>
  </si>
  <si>
    <t>Units 3 &amp; 4</t>
  </si>
  <si>
    <t>residential sector</t>
  </si>
  <si>
    <t>commercial sector</t>
  </si>
  <si>
    <t>transportation</t>
  </si>
  <si>
    <t>ramp length,</t>
  </si>
  <si>
    <t>years</t>
  </si>
  <si>
    <t>demand</t>
  </si>
  <si>
    <t>reduction, %</t>
  </si>
  <si>
    <t>parameters</t>
  </si>
  <si>
    <t>valid?</t>
  </si>
  <si>
    <t>emissions</t>
  </si>
  <si>
    <t>AFCI</t>
  </si>
  <si>
    <t>Jan. 1 of....</t>
  </si>
  <si>
    <t>by NG CCCT</t>
  </si>
  <si>
    <t>5. (optional) add exogenous reductions to industrial process emissions</t>
  </si>
  <si>
    <t>by renewables</t>
  </si>
  <si>
    <t>baseline</t>
  </si>
  <si>
    <t>adjusted</t>
  </si>
  <si>
    <t>sector</t>
  </si>
  <si>
    <t>TOTALS</t>
  </si>
  <si>
    <t>targets</t>
  </si>
  <si>
    <t>electricity *</t>
  </si>
  <si>
    <r>
      <t>OUTPUT: energy related emissions, million metric tons CO</t>
    </r>
    <r>
      <rPr>
        <b/>
        <vertAlign val="subscript"/>
        <sz val="12"/>
        <color theme="1"/>
        <rFont val="Arial Narrow"/>
        <family val="2"/>
      </rPr>
      <t>2</t>
    </r>
  </si>
  <si>
    <t>(individual)</t>
  </si>
  <si>
    <t>(business)</t>
  </si>
  <si>
    <t>sector or group</t>
  </si>
  <si>
    <t>revenue fate</t>
  </si>
  <si>
    <t>rebate ($/household)</t>
  </si>
  <si>
    <t>General Fund (mm$)</t>
  </si>
  <si>
    <t>Clean Energy (mm$)</t>
  </si>
  <si>
    <t>fuel</t>
  </si>
  <si>
    <t>Property Tax decrease</t>
  </si>
  <si>
    <t>Sales Tax decrease</t>
  </si>
  <si>
    <t>B&amp;O Tax decrease</t>
  </si>
  <si>
    <t>OUTPUT: carbon tax revenue (mm$)</t>
  </si>
  <si>
    <t>state goals</t>
  </si>
  <si>
    <t>target without process emissions</t>
  </si>
  <si>
    <t>target with process emissions</t>
  </si>
  <si>
    <t>target reduction below 1990</t>
  </si>
  <si>
    <t>1990 energy &amp; process emissions</t>
  </si>
  <si>
    <t>1990 industrial process emissions</t>
  </si>
  <si>
    <t>(ref) 1990 level used in first CTAM</t>
  </si>
  <si>
    <t>2050 prorated to last model year</t>
  </si>
  <si>
    <t>A270</t>
  </si>
  <si>
    <t>"...or seventy percent below the state's expected emissions that year."</t>
  </si>
  <si>
    <t>ramp travel since 2035</t>
  </si>
  <si>
    <t>2020 target</t>
  </si>
  <si>
    <t>2035 target</t>
  </si>
  <si>
    <t>last-model-year target</t>
  </si>
  <si>
    <t>composite target series</t>
  </si>
  <si>
    <t>adjusted emissions</t>
  </si>
  <si>
    <t>baseline emissions</t>
  </si>
  <si>
    <t>Primary fuel PRICE forecasts for the electric sector follow EIA fuel taxonomy, not WA FMD taxonomy.</t>
  </si>
  <si>
    <t>industrial NG, $/mmBtu</t>
  </si>
  <si>
    <t>energy content of barrel petroleum</t>
  </si>
  <si>
    <t>Conversion factors for physical units</t>
  </si>
  <si>
    <t>To convert</t>
  </si>
  <si>
    <t>Multiply</t>
  </si>
  <si>
    <t>from</t>
  </si>
  <si>
    <t>to</t>
  </si>
  <si>
    <t>(cell name)</t>
  </si>
  <si>
    <t>by</t>
  </si>
  <si>
    <t>distance</t>
  </si>
  <si>
    <t>cm</t>
  </si>
  <si>
    <t>in</t>
  </si>
  <si>
    <t>cmTOin</t>
  </si>
  <si>
    <t>ft</t>
  </si>
  <si>
    <t>m</t>
  </si>
  <si>
    <t>ftTOm</t>
  </si>
  <si>
    <t>inTOcm</t>
  </si>
  <si>
    <t>mm</t>
  </si>
  <si>
    <t>inTOmm</t>
  </si>
  <si>
    <t>km</t>
  </si>
  <si>
    <t>mi</t>
  </si>
  <si>
    <t>kmTOmi</t>
  </si>
  <si>
    <t>miTOkm</t>
  </si>
  <si>
    <t>mmTOin</t>
  </si>
  <si>
    <t>mass</t>
  </si>
  <si>
    <t>g</t>
  </si>
  <si>
    <t>lb</t>
  </si>
  <si>
    <t>gTOlb</t>
  </si>
  <si>
    <t>kg</t>
  </si>
  <si>
    <t>kgTOg</t>
  </si>
  <si>
    <t>kgTOlb</t>
  </si>
  <si>
    <t>lbTOg</t>
  </si>
  <si>
    <t>lbTOkg</t>
  </si>
  <si>
    <t>Mg</t>
  </si>
  <si>
    <t>lbTOMg</t>
  </si>
  <si>
    <t>ton</t>
  </si>
  <si>
    <t>lbTOton</t>
  </si>
  <si>
    <t>MgTOkg</t>
  </si>
  <si>
    <t>MgTOton</t>
  </si>
  <si>
    <t>oz</t>
  </si>
  <si>
    <t>lbTOoz</t>
  </si>
  <si>
    <t>ozTOkg</t>
  </si>
  <si>
    <t>tonTOlb</t>
  </si>
  <si>
    <t>tonTOkg</t>
  </si>
  <si>
    <t>tonTOMg</t>
  </si>
  <si>
    <t>time</t>
  </si>
  <si>
    <t>day</t>
  </si>
  <si>
    <t>min</t>
  </si>
  <si>
    <t>dayTOmin</t>
  </si>
  <si>
    <t>dayTOyr</t>
  </si>
  <si>
    <t>hr</t>
  </si>
  <si>
    <t>hrTOday</t>
  </si>
  <si>
    <t>hrTOmin</t>
  </si>
  <si>
    <t>s</t>
  </si>
  <si>
    <t>hrTOs</t>
  </si>
  <si>
    <t>hrTOyr</t>
  </si>
  <si>
    <t>minTOday</t>
  </si>
  <si>
    <t>mo</t>
  </si>
  <si>
    <t>moTOday</t>
  </si>
  <si>
    <t>moTOyr</t>
  </si>
  <si>
    <t>sTOday</t>
  </si>
  <si>
    <t>sTOhr</t>
  </si>
  <si>
    <t>sTOyr</t>
  </si>
  <si>
    <t>yrTOday</t>
  </si>
  <si>
    <t>yrTOhr</t>
  </si>
  <si>
    <t>yrTOmo</t>
  </si>
  <si>
    <t>yrTOs</t>
  </si>
  <si>
    <t>area (distance x distance)</t>
  </si>
  <si>
    <t>acre</t>
  </si>
  <si>
    <t>ft2</t>
  </si>
  <si>
    <t>acreTOft2</t>
  </si>
  <si>
    <t>ha</t>
  </si>
  <si>
    <t>acreTOha</t>
  </si>
  <si>
    <t>km2</t>
  </si>
  <si>
    <t>acreTOkm2</t>
  </si>
  <si>
    <t>m2</t>
  </si>
  <si>
    <t>acreTOm2</t>
  </si>
  <si>
    <t>mi2</t>
  </si>
  <si>
    <t>acreTOmi2</t>
  </si>
  <si>
    <t>ft2TOm2</t>
  </si>
  <si>
    <t>yd2</t>
  </si>
  <si>
    <t>ft2TOyd2</t>
  </si>
  <si>
    <t>haTOacre</t>
  </si>
  <si>
    <t>haTOkm2</t>
  </si>
  <si>
    <t>km2TOacre</t>
  </si>
  <si>
    <t>km2TOha</t>
  </si>
  <si>
    <t>km2TOm2</t>
  </si>
  <si>
    <t>km2TOmi2</t>
  </si>
  <si>
    <t>m2TOacre</t>
  </si>
  <si>
    <t>m2TOft2</t>
  </si>
  <si>
    <t>m2TOha</t>
  </si>
  <si>
    <t>m2TOkm2</t>
  </si>
  <si>
    <t>mi2TOacre</t>
  </si>
  <si>
    <t>yd2TOft2</t>
  </si>
  <si>
    <t>mi2TOkm2</t>
  </si>
  <si>
    <t>volume (area x distance)</t>
  </si>
  <si>
    <t>acre-ft</t>
  </si>
  <si>
    <t>gal</t>
  </si>
  <si>
    <t>acreftTOgal</t>
  </si>
  <si>
    <t>m3</t>
  </si>
  <si>
    <t>acreftTOm3</t>
  </si>
  <si>
    <t>acre-in</t>
  </si>
  <si>
    <t>acreinTOgal</t>
  </si>
  <si>
    <t>bbl</t>
  </si>
  <si>
    <t>bblTOgal</t>
  </si>
  <si>
    <t>L</t>
  </si>
  <si>
    <t>bblTOL</t>
  </si>
  <si>
    <t>ft3</t>
  </si>
  <si>
    <t>ft3TOgal</t>
  </si>
  <si>
    <t>ft3TOL</t>
  </si>
  <si>
    <t>ft3TOm3</t>
  </si>
  <si>
    <t>galTOacreft</t>
  </si>
  <si>
    <t>galTOacrein</t>
  </si>
  <si>
    <t>galTObbl</t>
  </si>
  <si>
    <t>galTOL</t>
  </si>
  <si>
    <t>galTOm3</t>
  </si>
  <si>
    <t>LTOft3</t>
  </si>
  <si>
    <t>LTOgal</t>
  </si>
  <si>
    <t>LTOm3</t>
  </si>
  <si>
    <t>m3TOacreft</t>
  </si>
  <si>
    <t>m3TOft3</t>
  </si>
  <si>
    <t>m3TOgal</t>
  </si>
  <si>
    <t>liter</t>
  </si>
  <si>
    <t>m3TOliter</t>
  </si>
  <si>
    <t>yd3</t>
  </si>
  <si>
    <t>yd3TOm3</t>
  </si>
  <si>
    <t>force (mass x acceleration)</t>
  </si>
  <si>
    <t>N</t>
  </si>
  <si>
    <t>lbTON</t>
  </si>
  <si>
    <t>pressure (force/area)</t>
  </si>
  <si>
    <t>atm</t>
  </si>
  <si>
    <t>bar</t>
  </si>
  <si>
    <t>atmTObar</t>
  </si>
  <si>
    <t>psi</t>
  </si>
  <si>
    <t>atmTOpsi</t>
  </si>
  <si>
    <t>Pa</t>
  </si>
  <si>
    <t>barTOPa</t>
  </si>
  <si>
    <t>barTOpsi</t>
  </si>
  <si>
    <t>psiTOPa</t>
  </si>
  <si>
    <t>energy (force x distance)</t>
  </si>
  <si>
    <t>Btu</t>
  </si>
  <si>
    <t>cal</t>
  </si>
  <si>
    <t>BtuTOcal</t>
  </si>
  <si>
    <t>J</t>
  </si>
  <si>
    <t>BtuTOJ</t>
  </si>
  <si>
    <t>kJ</t>
  </si>
  <si>
    <t>BtuTOkJ</t>
  </si>
  <si>
    <t>kWh</t>
  </si>
  <si>
    <t>BtuTOkWh</t>
  </si>
  <si>
    <t>MJ</t>
  </si>
  <si>
    <t>BtuTOMJ</t>
  </si>
  <si>
    <t>Wh</t>
  </si>
  <si>
    <t>BtuTOWh</t>
  </si>
  <si>
    <t>calTOBtu</t>
  </si>
  <si>
    <t>calTOJ</t>
  </si>
  <si>
    <t>EJ</t>
  </si>
  <si>
    <t>TWh</t>
  </si>
  <si>
    <t>EJTOTWh</t>
  </si>
  <si>
    <t>gge</t>
  </si>
  <si>
    <t>ggeTOMJ</t>
  </si>
  <si>
    <t>GJ</t>
  </si>
  <si>
    <t>GJTOMWh</t>
  </si>
  <si>
    <t>mmBtu</t>
  </si>
  <si>
    <t>GJTOmmBtu</t>
  </si>
  <si>
    <t>therm</t>
  </si>
  <si>
    <t>GJTOtherm</t>
  </si>
  <si>
    <t>JTOBtu</t>
  </si>
  <si>
    <t>JTOcal</t>
  </si>
  <si>
    <t>JTOWh</t>
  </si>
  <si>
    <t>kcal</t>
  </si>
  <si>
    <t>kcalTOMJ</t>
  </si>
  <si>
    <t>kJTOBtu</t>
  </si>
  <si>
    <t>kWhTOBtu</t>
  </si>
  <si>
    <t>kWhTOMJ</t>
  </si>
  <si>
    <t>MJTOBtu</t>
  </si>
  <si>
    <t>MJTOkWh</t>
  </si>
  <si>
    <t>MJTOkcal</t>
  </si>
  <si>
    <t>MJTOMWh</t>
  </si>
  <si>
    <t>MJTOtherm</t>
  </si>
  <si>
    <t>mmBtuTOMJ</t>
  </si>
  <si>
    <t>mmBtuTOMWh</t>
  </si>
  <si>
    <t>mmBtuTOtherm</t>
  </si>
  <si>
    <t>TJ</t>
  </si>
  <si>
    <t>mmBtuTOTJ</t>
  </si>
  <si>
    <t>Mtoe</t>
  </si>
  <si>
    <t>GWh</t>
  </si>
  <si>
    <t>MtoeTOGWh</t>
  </si>
  <si>
    <t>MtoeTOmmBtu</t>
  </si>
  <si>
    <t>MtoeTOTJ</t>
  </si>
  <si>
    <t>MWa</t>
  </si>
  <si>
    <t>MWaTOMWh</t>
  </si>
  <si>
    <t>MWhTOGJ</t>
  </si>
  <si>
    <t>MWhTOmmBtu</t>
  </si>
  <si>
    <t>MWhTOMWa</t>
  </si>
  <si>
    <t>MWhTOTJ</t>
  </si>
  <si>
    <t>quad</t>
  </si>
  <si>
    <t>quadTOEJ</t>
  </si>
  <si>
    <t>quadTOTWh</t>
  </si>
  <si>
    <t>thermTOBtu</t>
  </si>
  <si>
    <t>thermTOGJ</t>
  </si>
  <si>
    <t>thermTOkWh</t>
  </si>
  <si>
    <t>thermTOMJ</t>
  </si>
  <si>
    <t>thermTOTJ</t>
  </si>
  <si>
    <t>TWhTOEJ</t>
  </si>
  <si>
    <t>TWhTOquad</t>
  </si>
  <si>
    <t>WhTOBtu</t>
  </si>
  <si>
    <t>WhTOJ</t>
  </si>
  <si>
    <t>power (energy/time)</t>
  </si>
  <si>
    <t>GJ/hr</t>
  </si>
  <si>
    <t>GJ.hrTOMW</t>
  </si>
  <si>
    <t>GW</t>
  </si>
  <si>
    <t>kW</t>
  </si>
  <si>
    <t>GWTOkW</t>
  </si>
  <si>
    <t>quad/yr</t>
  </si>
  <si>
    <t>GWTOquad.yr</t>
  </si>
  <si>
    <t>TWh/yr</t>
  </si>
  <si>
    <t>GWTOTWh.yr</t>
  </si>
  <si>
    <t>hp</t>
  </si>
  <si>
    <t>hpTOkW</t>
  </si>
  <si>
    <t>kWTOhp</t>
  </si>
  <si>
    <t>MJ/hr</t>
  </si>
  <si>
    <t>MJ.hrTOkW</t>
  </si>
  <si>
    <t>MWTOGJ.hr</t>
  </si>
  <si>
    <t>MWTOkW</t>
  </si>
  <si>
    <t>quad.yrTOGW</t>
  </si>
  <si>
    <t>TWh.yrTOGW</t>
  </si>
  <si>
    <t>flow (volume/time)</t>
  </si>
  <si>
    <t>gpm</t>
  </si>
  <si>
    <t>liter/s</t>
  </si>
  <si>
    <t>gpmTOliter.s</t>
  </si>
  <si>
    <t>L/s</t>
  </si>
  <si>
    <t>L.sTOgpm</t>
  </si>
  <si>
    <r>
      <t>m</t>
    </r>
    <r>
      <rPr>
        <b/>
        <vertAlign val="superscript"/>
        <sz val="10"/>
        <color theme="3"/>
        <rFont val="Calibri"/>
        <family val="2"/>
        <scheme val="minor"/>
      </rPr>
      <t>3</t>
    </r>
    <r>
      <rPr>
        <b/>
        <sz val="10"/>
        <color indexed="8"/>
        <rFont val="Calibri"/>
        <family val="2"/>
      </rPr>
      <t>/day</t>
    </r>
  </si>
  <si>
    <t>m3.dayTOgpm</t>
  </si>
  <si>
    <t>heat rate (energy/energy)</t>
  </si>
  <si>
    <t>Btu/hp-h</t>
  </si>
  <si>
    <t>mmBtu/MWh</t>
  </si>
  <si>
    <t>Btu.hphTOmmBtu.MWh</t>
  </si>
  <si>
    <t>kJ/kWh</t>
  </si>
  <si>
    <t>kJ.kWhTOmmBtu.MWh</t>
  </si>
  <si>
    <t>MJ/kWh</t>
  </si>
  <si>
    <t>MJ.kWhTOmmBtu.MWh</t>
  </si>
  <si>
    <t>mmBtu.MWhTOBtu.hph</t>
  </si>
  <si>
    <t>mmBtu.MWhTOkJ.kWh</t>
  </si>
  <si>
    <t>mmBtu.MWhTOMJ.kWh</t>
  </si>
  <si>
    <t>emission rate (mass/energy)</t>
  </si>
  <si>
    <t>g/hp-h</t>
  </si>
  <si>
    <t>lb/MWh</t>
  </si>
  <si>
    <t>g.hphTOlb.MWh</t>
  </si>
  <si>
    <t>g/kWh</t>
  </si>
  <si>
    <t>g.kWhTOlb.MWh</t>
  </si>
  <si>
    <t>kg/GJ</t>
  </si>
  <si>
    <t>kg.GJTOlb.MWh</t>
  </si>
  <si>
    <t>lb/mmBtu</t>
  </si>
  <si>
    <t>Mg/mmBtu</t>
  </si>
  <si>
    <t>lb.mmBtuTOMg.mmBtu</t>
  </si>
  <si>
    <t>ng/J</t>
  </si>
  <si>
    <t>lb.mmBtuTOng.J</t>
  </si>
  <si>
    <t>Tg/quad</t>
  </si>
  <si>
    <t>lb.mmBtuTOTg.quad</t>
  </si>
  <si>
    <t>lb.MWhTOg.hph</t>
  </si>
  <si>
    <t>lb.MWhTOg.kWh</t>
  </si>
  <si>
    <t>lb.MWhTOkg.GJ</t>
  </si>
  <si>
    <t>ton/GWh</t>
  </si>
  <si>
    <t>lb.MWhTOton.GWh</t>
  </si>
  <si>
    <t>ng.JTOlb.mmBtu</t>
  </si>
  <si>
    <t>Tg.quadTOlb.mmBtu</t>
  </si>
  <si>
    <t>ton.GWhTOlb.MWh</t>
  </si>
  <si>
    <t>heating value (energy/mass)</t>
  </si>
  <si>
    <t>Btu/lb</t>
  </si>
  <si>
    <t>MJ/kg</t>
  </si>
  <si>
    <t>Btu.lbTOMJ.kg</t>
  </si>
  <si>
    <t>mmBtu/ton</t>
  </si>
  <si>
    <t>Btu.lbTOmmBtu.ton</t>
  </si>
  <si>
    <t>kWh/ton</t>
  </si>
  <si>
    <t>kWh.tonTOMJ.kg</t>
  </si>
  <si>
    <t>MJ.kgTOBtu.lb</t>
  </si>
  <si>
    <t>MJ.kgTOkWh.ton</t>
  </si>
  <si>
    <t>MJ.kgTOmmBtu.ton</t>
  </si>
  <si>
    <t>mmBtu.tonTOBtu.lb</t>
  </si>
  <si>
    <t>heating value (energy/volume)</t>
  </si>
  <si>
    <t>Btu/ft3</t>
  </si>
  <si>
    <t>MJ/m3</t>
  </si>
  <si>
    <t>Btu.ft3TOMJ.m3</t>
  </si>
  <si>
    <t>MJ.m3TOBtu.ft3</t>
  </si>
  <si>
    <t>fuel efficiency (distance/volume)</t>
  </si>
  <si>
    <t>km/l</t>
  </si>
  <si>
    <t>mi/gal</t>
  </si>
  <si>
    <t>km.lTOmi.gal</t>
  </si>
  <si>
    <t>yield (mass/(area x time))</t>
  </si>
  <si>
    <t>Mg/ha-yr</t>
  </si>
  <si>
    <t>ton/acre-yr</t>
  </si>
  <si>
    <t>Mg.hayrTOton.acreyr</t>
  </si>
  <si>
    <t>Notes:</t>
  </si>
  <si>
    <t>Constants (green boxes) are from A203 unless otherwise noted, and contain the same number of significant digits as the original source.</t>
  </si>
  <si>
    <t>Calculated values (black numbers) are displayed to 4 significant digits.</t>
  </si>
  <si>
    <t>Joules are absolute joules (not archaic international joules).</t>
  </si>
  <si>
    <t>"cal" or "calorie" are gram-based calories.  kg-based Calories are referred to as "kcal."</t>
  </si>
  <si>
    <t>Gallons are U.S. liquid gallons (not dry gallons).</t>
  </si>
  <si>
    <t>Barrels are U.S. "blue barrel" oil barrels</t>
  </si>
  <si>
    <t>English system weights are in the avoirdupois system unless noted otherwise.</t>
  </si>
  <si>
    <t>mmBtuTOkWh</t>
  </si>
  <si>
    <t>residential elec., ¢/kWh</t>
  </si>
  <si>
    <t>industrial elec., ¢/kWh</t>
  </si>
  <si>
    <t>temporary value obtained at https://www.unitjuggler.com/convert-energy-from-boe-to-MMBtu.html</t>
  </si>
  <si>
    <t>OUTPUT: effects of revenue</t>
  </si>
  <si>
    <t>gasoline, $/gal</t>
  </si>
  <si>
    <t>diesel, $/gal</t>
  </si>
  <si>
    <t>Motor Gasoline HHV</t>
  </si>
  <si>
    <t>Btu/gal</t>
  </si>
  <si>
    <t>A011</t>
  </si>
  <si>
    <t>"</t>
  </si>
  <si>
    <t>Distillate Fuel HHV</t>
  </si>
  <si>
    <t>LPG HHV</t>
  </si>
  <si>
    <t>Emissions before application of carbon tax</t>
  </si>
  <si>
    <r>
      <t>baseline emissions (MtCO</t>
    </r>
    <r>
      <rPr>
        <b/>
        <vertAlign val="subscript"/>
        <sz val="12"/>
        <color theme="1"/>
        <rFont val="Arial Narrow"/>
        <family val="2"/>
      </rPr>
      <t>2</t>
    </r>
    <r>
      <rPr>
        <b/>
        <sz val="12"/>
        <color theme="1"/>
        <rFont val="Arial Narrow"/>
        <family val="2"/>
      </rPr>
      <t>) = baseline consumption (quad) * emission factor (MtCO</t>
    </r>
    <r>
      <rPr>
        <b/>
        <vertAlign val="subscript"/>
        <sz val="12"/>
        <color theme="1"/>
        <rFont val="Arial Narrow"/>
        <family val="2"/>
      </rPr>
      <t>2</t>
    </r>
    <r>
      <rPr>
        <b/>
        <sz val="12"/>
        <color theme="1"/>
        <rFont val="Arial Narrow"/>
        <family val="2"/>
      </rPr>
      <t>/quad)</t>
    </r>
  </si>
  <si>
    <t>baseline generation, MWh</t>
  </si>
  <si>
    <r>
      <t>kgCO</t>
    </r>
    <r>
      <rPr>
        <b/>
        <vertAlign val="subscript"/>
        <sz val="10"/>
        <color indexed="8"/>
        <rFont val="Calibri"/>
        <family val="2"/>
      </rPr>
      <t>2</t>
    </r>
    <r>
      <rPr>
        <b/>
        <sz val="10"/>
        <color indexed="8"/>
        <rFont val="Calibri"/>
        <family val="2"/>
      </rPr>
      <t>/mmBtu is the same as TgCO</t>
    </r>
    <r>
      <rPr>
        <b/>
        <vertAlign val="subscript"/>
        <sz val="10"/>
        <color indexed="8"/>
        <rFont val="Calibri"/>
        <family val="2"/>
      </rPr>
      <t>2</t>
    </r>
    <r>
      <rPr>
        <b/>
        <sz val="10"/>
        <color indexed="8"/>
        <rFont val="Calibri"/>
        <family val="2"/>
      </rPr>
      <t>/quad</t>
    </r>
  </si>
  <si>
    <t>fraction delivered in WA</t>
  </si>
  <si>
    <r>
      <t>taxable emissions, TgCO</t>
    </r>
    <r>
      <rPr>
        <b/>
        <vertAlign val="subscript"/>
        <sz val="10"/>
        <color indexed="8"/>
        <rFont val="Calibri"/>
        <family val="2"/>
      </rPr>
      <t>2</t>
    </r>
  </si>
  <si>
    <t>qualifying generation, MWh</t>
  </si>
  <si>
    <t>qualifying coal consumption, quad</t>
  </si>
  <si>
    <t>Electric Power 14/</t>
  </si>
  <si>
    <t>Coal consumption adjusted for Centralia exemption, quad</t>
  </si>
  <si>
    <t>Unit 1+2 share of total capacity owned</t>
  </si>
  <si>
    <t>Electric  generators - generation shares by prime mover</t>
  </si>
  <si>
    <t>points of generation share lost by coal</t>
  </si>
  <si>
    <t>points of generation share gained by NG</t>
  </si>
  <si>
    <t>points of generation share gained by renewables</t>
  </si>
  <si>
    <t>reductions in coal claims caused by shutdown</t>
  </si>
  <si>
    <t>units 1 &amp; 2</t>
  </si>
  <si>
    <t>units 3 &amp; 4</t>
  </si>
  <si>
    <t>all units</t>
  </si>
  <si>
    <t>biomass</t>
  </si>
  <si>
    <t>geothermal</t>
  </si>
  <si>
    <t>wind</t>
  </si>
  <si>
    <t>solar</t>
  </si>
  <si>
    <t>allocation of gain by renewables</t>
  </si>
  <si>
    <r>
      <t xml:space="preserve">Adjustments to electricity demand and price are calculated as follows:
Step 0: If the user has requested a (partial) Colstrip shutdown, adjust the average fuel mix accordingly.
</t>
    </r>
    <r>
      <rPr>
        <b/>
        <sz val="10"/>
        <color indexed="8"/>
        <rFont val="Calibri"/>
        <family val="2"/>
      </rPr>
      <t>Step 1: Adjust gross demand by electric generators for each of the fossil fuels by applying elasticities measured for the electric sector (EIA 2012) against fossil fuel price increases created by the modeled carbon tax.
Step 2: Calculate a new electric fuel mix by replacing any reduced fossil fuel consumption with the mix of renewables &amp; nuclear fuel present in the baseline scenario.
Step 3: Calculate a new retail price for electricity by increasing the levelized costs of generation from fossil fuels, and applying the new set of levelized costs to the new fuel mix.
Step 4:  Adjust demand for electricity in each of the four end-use sectors from baseline values according to their respective price elasticities of demand for electricity.
Step 5: Calculate gross, adjusted electric generation by summing adjusted consumption in the four end-use sectors.
Step 6: Calculate the quantities of all primary fuels consumed by the electric sector by applying the new fuel mix (Step 2) to the adjusted gross consumption (Step 5).</t>
    </r>
  </si>
  <si>
    <t>primary fuels consumed after share adjustment</t>
  </si>
  <si>
    <r>
      <t xml:space="preserve">Electric  generators - adjust baseline consumption for Colstrip shutdown - </t>
    </r>
    <r>
      <rPr>
        <b/>
        <sz val="10"/>
        <color rgb="FF800026"/>
        <rFont val="Calibri"/>
        <family val="2"/>
      </rPr>
      <t>Electricity Step 0</t>
    </r>
  </si>
  <si>
    <t>transport fuel emission factors after LCFS</t>
  </si>
  <si>
    <r>
      <t>kgCO</t>
    </r>
    <r>
      <rPr>
        <b/>
        <vertAlign val="subscript"/>
        <sz val="10"/>
        <color indexed="8"/>
        <rFont val="Calibri"/>
        <family val="2"/>
      </rPr>
      <t>2</t>
    </r>
    <r>
      <rPr>
        <b/>
        <sz val="10"/>
        <color indexed="8"/>
        <rFont val="Calibri"/>
        <family val="2"/>
      </rPr>
      <t>e/mmBtu</t>
    </r>
  </si>
  <si>
    <t>apply ramps to fuel emissions factors</t>
  </si>
  <si>
    <t>generate adjustment factor ramps</t>
  </si>
  <si>
    <t>gasoline-like fuels</t>
  </si>
  <si>
    <t>diesel-like fuels</t>
  </si>
  <si>
    <t>For:</t>
  </si>
  <si>
    <t>Washington State Department of Commerce</t>
  </si>
  <si>
    <t>Document no.:</t>
  </si>
  <si>
    <t>Release date:</t>
  </si>
  <si>
    <t>This workbook conforms with Best Practice Spreadsheet Modeling Standards version 6.1</t>
  </si>
  <si>
    <t>Table of Contents</t>
  </si>
  <si>
    <t>tab</t>
  </si>
  <si>
    <t>sheet title</t>
  </si>
  <si>
    <t>cover</t>
  </si>
  <si>
    <t>Styles key</t>
  </si>
  <si>
    <t>style</t>
  </si>
  <si>
    <t>purpose</t>
  </si>
  <si>
    <t>Sheet title</t>
  </si>
  <si>
    <t>black if constant; blue if calculated</t>
  </si>
  <si>
    <t>label</t>
  </si>
  <si>
    <t>column labels</t>
  </si>
  <si>
    <t>units label</t>
  </si>
  <si>
    <t>a label describing units in a column</t>
  </si>
  <si>
    <t>Heading 1</t>
  </si>
  <si>
    <t>top-level heading in data hierarchy</t>
  </si>
  <si>
    <t>Heading 2</t>
  </si>
  <si>
    <t>second-level heading in data hierarchy</t>
  </si>
  <si>
    <t>Normal</t>
  </si>
  <si>
    <t>descriptive text</t>
  </si>
  <si>
    <t>calculation</t>
  </si>
  <si>
    <t>calculation with no embedded constants</t>
  </si>
  <si>
    <t>may have a text result; not necessarily numeric</t>
  </si>
  <si>
    <t>mixed</t>
  </si>
  <si>
    <t>calculation with embedded constants</t>
  </si>
  <si>
    <t>strongly discouraged</t>
  </si>
  <si>
    <t>hyperlink</t>
  </si>
  <si>
    <t>input</t>
  </si>
  <si>
    <t>user input (an assumption)</t>
  </si>
  <si>
    <t>constant</t>
  </si>
  <si>
    <t>constant (parameter from an external source)</t>
  </si>
  <si>
    <t>each constant requires a source citation</t>
  </si>
  <si>
    <t>7. (optional) invoke a low carbon fuel standard</t>
  </si>
  <si>
    <t>8. (optional) shut down Colstrip</t>
  </si>
  <si>
    <t>tax, $/gal</t>
  </si>
  <si>
    <t>carbon tax policy year</t>
  </si>
  <si>
    <t>$/gal</t>
  </si>
  <si>
    <t>supplemental fuel tax rate (gasoline)</t>
  </si>
  <si>
    <t>supplemental fuel tax rate (diesel)</t>
  </si>
  <si>
    <t>composite target series (for Dashboard)</t>
  </si>
  <si>
    <t>data labels (for Dashboard)</t>
  </si>
  <si>
    <t>Revenue (mm$) = Adjusted Consumption (quad) * 1000 * Carbon Tax ($/mmBtu)</t>
  </si>
  <si>
    <r>
      <t>ODS substitutes</t>
    </r>
    <r>
      <rPr>
        <b/>
        <vertAlign val="superscript"/>
        <sz val="10"/>
        <color indexed="8"/>
        <rFont val="Calibri"/>
        <family val="2"/>
      </rPr>
      <t>e</t>
    </r>
  </si>
  <si>
    <t>c. USE CAUTION. The baseline forecast you chose in cell D22 may already include aggressive assumptions of sector energy demands.</t>
  </si>
  <si>
    <r>
      <t>include industrial process em.</t>
    </r>
    <r>
      <rPr>
        <b/>
        <vertAlign val="superscript"/>
        <sz val="10"/>
        <color indexed="8"/>
        <rFont val="Calibri"/>
        <family val="2"/>
      </rPr>
      <t>d</t>
    </r>
  </si>
  <si>
    <t>e. Ozone depleting substance (ODS) substitutes are refrigerants that replace chlorofluorocarbons per requirements of the Montreal Protocol.</t>
  </si>
  <si>
    <t>* These are INCLUDED in each sector's emissions forecast above.</t>
  </si>
  <si>
    <r>
      <t>exempt "transition coal"</t>
    </r>
    <r>
      <rPr>
        <b/>
        <vertAlign val="superscript"/>
        <sz val="11"/>
        <color indexed="8"/>
        <rFont val="Calibri"/>
        <family val="2"/>
      </rPr>
      <t>g</t>
    </r>
  </si>
  <si>
    <t>d. Industrial process emissions are not taxed by CTAM, but you may invoke exogenous reductions in Step 5.</t>
  </si>
  <si>
    <t>b. CTAM will use your values of Revenue Fate only when they add to 100% (cell D18 will read "valid").</t>
  </si>
  <si>
    <t>a. The supplemental fuel tax decreases consumption but does not add to the carbon tax revenue stream. This is equivalent, for example, to an increase in the federal gasoline tax.</t>
  </si>
  <si>
    <t>Version 3.0</t>
  </si>
  <si>
    <t>all</t>
  </si>
  <si>
    <t>Dashboard</t>
  </si>
  <si>
    <t>Baseline Price</t>
  </si>
  <si>
    <t>Baseline expend</t>
  </si>
  <si>
    <t>Adjusted Price</t>
  </si>
  <si>
    <t>Adjusted Consumption</t>
  </si>
  <si>
    <t>Adjusted expend</t>
  </si>
  <si>
    <t>Versions</t>
  </si>
  <si>
    <t>lookup</t>
  </si>
  <si>
    <t>These are imported from the Washington State Energy Forecast</t>
  </si>
  <si>
    <t>Lookup Tables for Spreadsheet Automation</t>
  </si>
  <si>
    <t>CTAM is a project of the Washington State Energy Office, and as such is a public asset freely available for use or further modification.</t>
  </si>
  <si>
    <t>For technical assistance please contact:
   Greg Nothstein
   Program Manager, Washington State Energy Strategy
   greg.nothstein@commerce.wa.gov
   tel. 360-725-3112</t>
  </si>
  <si>
    <t>For extended assistance under contract (Japan):
   Keibun Mori
   keibun.mori@gmail.com</t>
  </si>
  <si>
    <t>See spreadsheet 230-09a for documentation.</t>
  </si>
  <si>
    <t>All elasticities are long-run and are phased in on linear ramps as specified in tab 'elasticities' (user may override).</t>
  </si>
  <si>
    <t>Baseline Policies &amp; Data</t>
  </si>
  <si>
    <r>
      <t>GHG emissions are in metric tons CO</t>
    </r>
    <r>
      <rPr>
        <b/>
        <vertAlign val="subscript"/>
        <sz val="10"/>
        <color indexed="8"/>
        <rFont val="Calibri"/>
        <family val="2"/>
      </rPr>
      <t>2</t>
    </r>
    <r>
      <rPr>
        <b/>
        <sz val="10"/>
        <color indexed="8"/>
        <rFont val="Calibri"/>
        <family val="2"/>
      </rPr>
      <t>-equivalent (tCO</t>
    </r>
    <r>
      <rPr>
        <b/>
        <vertAlign val="subscript"/>
        <sz val="10"/>
        <color indexed="8"/>
        <rFont val="Calibri"/>
        <family val="2"/>
      </rPr>
      <t>2</t>
    </r>
    <r>
      <rPr>
        <b/>
        <sz val="10"/>
        <color indexed="8"/>
        <rFont val="Calibri"/>
        <family val="2"/>
      </rPr>
      <t>e)</t>
    </r>
  </si>
  <si>
    <r>
      <t xml:space="preserve">9. (optional) increase penetration of EVs [note </t>
    </r>
    <r>
      <rPr>
        <i/>
        <sz val="9"/>
        <color theme="1"/>
        <rFont val="Arial Black"/>
        <family val="2"/>
      </rPr>
      <t>h</t>
    </r>
    <r>
      <rPr>
        <sz val="9"/>
        <color theme="1"/>
        <rFont val="Arial Black"/>
        <family val="2"/>
      </rPr>
      <t>]</t>
    </r>
  </si>
  <si>
    <t>h. Use extreme caution when deploying a low carbon fuel standard (LCFS, #7) and EV penetration (#9) simultaneously: in some LCFS designs EV penetration contributes to AFCI target achievement.</t>
  </si>
  <si>
    <t>EV penetration ramps</t>
  </si>
  <si>
    <t>displaced</t>
  </si>
  <si>
    <t>displacement of light vehicle fleet</t>
  </si>
  <si>
    <t>% gasoline</t>
  </si>
  <si>
    <t>gasoline displacement factor</t>
  </si>
  <si>
    <t>gasoline consumption factor</t>
  </si>
  <si>
    <t>light vehicle mpg</t>
  </si>
  <si>
    <t>EV mpge</t>
  </si>
  <si>
    <t>energy displacement ratio</t>
  </si>
  <si>
    <t>mi/gal-equiv.</t>
  </si>
  <si>
    <t>Transportation sector, displacement of gasoline by electricity</t>
  </si>
  <si>
    <t>gasoline consumption avoided (before effect of carbon tax)</t>
  </si>
  <si>
    <t>electricity consumption gained (before effect of carbon tax)</t>
  </si>
  <si>
    <t>R043</t>
  </si>
  <si>
    <t>Annual Energy Outlook: Transportation Sector Key Indicators and Delivered Energy Consumption</t>
  </si>
  <si>
    <t>http://www.eia.gov/oiaf/aeo/tablebrowser/#release=AEO2014&amp;subject=0-AEO2014&amp;table=7-AEO2014&amp;region=0-0&amp;cases=ref2014-d102413a</t>
  </si>
  <si>
    <t>http://www.ofm.wa.gov/economy/longterm/2014/lt2014ch4.pdf</t>
  </si>
  <si>
    <t>http://www.ofm.wa.gov/pop/stfc/default.asp</t>
  </si>
  <si>
    <t>Average Growth Rate between 2015 and 2040</t>
  </si>
  <si>
    <t>Price Elasticities of Demand</t>
  </si>
  <si>
    <t>a</t>
  </si>
  <si>
    <t>AEO consumption and price sheets</t>
  </si>
  <si>
    <t>low growth case</t>
  </si>
  <si>
    <t>high growth case</t>
  </si>
  <si>
    <t>EIA data update</t>
  </si>
  <si>
    <t>MMT</t>
  </si>
  <si>
    <t>See column AN for comparison of EIA and CTAM calc. historical emission numbers.</t>
  </si>
  <si>
    <t>9/8-9/2015</t>
  </si>
  <si>
    <t>Forecast based on 2011</t>
  </si>
  <si>
    <t>Growth rate</t>
  </si>
  <si>
    <t xml:space="preserve"> EIA Pac reg. growth rate</t>
  </si>
  <si>
    <t>Forecast based on 2012 start</t>
  </si>
  <si>
    <t>CO2 emissions forecast</t>
  </si>
  <si>
    <t>Several adjustments made to both spreadsheets: Forecast and CTAM. Created sector specific proration factors to correct sector specific inaccuracies in natural gas and distillate consumption. Added "other petroleum" to the calculations, removed Lease plant fuel from natural gas calculations. Adjusted for CA LCFS, lowers Pacific region EIA forecast for gasoline and diesel.</t>
  </si>
  <si>
    <t>Consumption and emissions spreadsheets</t>
  </si>
  <si>
    <t>same as above</t>
  </si>
  <si>
    <t>Completed similar updates for the two EIA side cases in CTAM: low and high economic growth</t>
  </si>
  <si>
    <t>Consumption tab</t>
  </si>
  <si>
    <t>Updated with insertion of the revised 2013 FMD data into consumption tab</t>
  </si>
  <si>
    <t>Revenue calc tab</t>
  </si>
  <si>
    <t>Referenced wrong cell for distillate fuel: change row 19 to row 18 (tax rate) in ramp tab.</t>
  </si>
  <si>
    <t>Altered WA forecast by taking into account CA LCFS and its impact on gasoline and diesel consumption reductions in CA. WA does not have an LCFS and so would not see such reductions.</t>
  </si>
  <si>
    <t>WA forecast(s)</t>
  </si>
  <si>
    <t xml:space="preserve"> Greg</t>
  </si>
  <si>
    <t>Update AEO consumption and price sheets with AEO2015 reference, high and low price cases. Modify electricity sheet to change historical WA electricity to constant dollars.</t>
  </si>
  <si>
    <t>Relabeled "Fuel Mix Change" to "Electric Fuel Mix Change"</t>
  </si>
  <si>
    <t>Added fuel price summary table to dashboard. Fuel prices are in common units both before and after carbon tax. Detailed price data in common units ($/gal. etc.) added at bottom of Base price tab.</t>
  </si>
  <si>
    <t>Added a toggle on the dashboard which brings emissions associated  with imported electricity into the spreadsheet.  Industrial process emissions were also brought into the model. A separate toggle allows for the exclusion of the ODS (refrigerant) sub-category. Updated 1990 and 2035 targets to include imported electricity and industrial process emissions.</t>
  </si>
  <si>
    <r>
      <t xml:space="preserve">4. (optional) add exogenous reductions to sector energy demands [note </t>
    </r>
    <r>
      <rPr>
        <b/>
        <i/>
        <sz val="9"/>
        <color theme="1"/>
        <rFont val="Arial Black"/>
        <family val="2"/>
      </rPr>
      <t>c</t>
    </r>
    <r>
      <rPr>
        <b/>
        <sz val="9"/>
        <color theme="1"/>
        <rFont val="Arial Black"/>
        <family val="2"/>
      </rPr>
      <t>]</t>
    </r>
  </si>
  <si>
    <r>
      <t xml:space="preserve">6. (optional) add a supplemental fuel tax [note </t>
    </r>
    <r>
      <rPr>
        <b/>
        <i/>
        <sz val="9"/>
        <color theme="1"/>
        <rFont val="Arial Black"/>
        <family val="2"/>
      </rPr>
      <t>a</t>
    </r>
    <r>
      <rPr>
        <b/>
        <sz val="9"/>
        <color theme="1"/>
        <rFont val="Arial Black"/>
        <family val="2"/>
      </rPr>
      <t>]</t>
    </r>
  </si>
  <si>
    <r>
      <t xml:space="preserve">2. assign fates for the revenue [note </t>
    </r>
    <r>
      <rPr>
        <b/>
        <i/>
        <sz val="9"/>
        <color theme="1"/>
        <rFont val="Arial Black"/>
        <family val="2"/>
      </rPr>
      <t>b</t>
    </r>
    <r>
      <rPr>
        <b/>
        <sz val="9"/>
        <color theme="1"/>
        <rFont val="Arial Black"/>
        <family val="2"/>
      </rPr>
      <t>]</t>
    </r>
  </si>
  <si>
    <t>http://www.eia.gov/electricity/annual/html/epa_08_01.html</t>
  </si>
  <si>
    <t>Centralia capacity</t>
  </si>
  <si>
    <t>Capacity factor</t>
  </si>
  <si>
    <t>Update/change heat rate trend values in Baseline Consumption tab and Centralia output that is taxable in Baseline Emissions tab</t>
  </si>
  <si>
    <t>All</t>
  </si>
  <si>
    <t xml:space="preserve"> Update and add detail to proration table. </t>
  </si>
  <si>
    <t>Historical resid. natural gas use</t>
  </si>
  <si>
    <t>Historical comm. natural gas use</t>
  </si>
  <si>
    <t>Historical indust. natural gas use</t>
  </si>
  <si>
    <t>Updated consumption and price forecast</t>
  </si>
  <si>
    <t>Additional correction to consumption forecast</t>
  </si>
  <si>
    <t>correction to electric forecast</t>
  </si>
  <si>
    <t>7th Plan forecast received from power Council did not include agriculture use in the total or commercial sector. Corrected and electric forecast fits historical values much better.</t>
  </si>
  <si>
    <t xml:space="preserve"> Greg (reviewer Gibson Peters)</t>
  </si>
  <si>
    <t>Fuel Mix 2014 and EIA 2014 WA electric sector update. Centralia output reduced to 8.7 million MWh.</t>
  </si>
  <si>
    <t xml:space="preserve"> Greg (Yoram Bauman review)</t>
  </si>
  <si>
    <t>Baseline  and Adjusted expend. + Adjusted cons. Coal sum value</t>
  </si>
  <si>
    <t>Corrected formula errors that reviewer noted on line 41 for expenditures, line 43 for consumption (no change observable for this last correction)</t>
  </si>
  <si>
    <t>FY 2016</t>
  </si>
  <si>
    <t>https://www.eia.gov/electricity/annual/html/epa_08_02.html</t>
  </si>
  <si>
    <t xml:space="preserve">Washington Dept. Of Commerce Energy Division </t>
  </si>
  <si>
    <t>Fuel Mix Disclosure series</t>
  </si>
  <si>
    <t>update forecast spreadsheet</t>
  </si>
  <si>
    <t>update Colstrip values</t>
  </si>
  <si>
    <t>heat rates</t>
  </si>
  <si>
    <t>Ave. values used in forecast spreadsheet</t>
  </si>
  <si>
    <t>Avista (units 3 &amp; 4)</t>
  </si>
  <si>
    <t>PSE (units 1&amp;2, 3&amp;4)</t>
  </si>
  <si>
    <t xml:space="preserve">Pacific Corp market coal </t>
  </si>
  <si>
    <t>Total claims on coal</t>
  </si>
  <si>
    <t>Total sales WA</t>
  </si>
  <si>
    <t>Total sales OR</t>
  </si>
  <si>
    <t xml:space="preserve">Colstrip and Pacific Corp power plant generation </t>
  </si>
  <si>
    <t>Pacific Corp Sales</t>
  </si>
  <si>
    <t>Total  FMD claims on coal</t>
  </si>
  <si>
    <t>Colstrip 3 &amp; 4 output</t>
  </si>
  <si>
    <t>PC Colstrip share</t>
  </si>
  <si>
    <t>Colstrip share/unit generation numbers changed to 5-year average. Values in forecast spreadsheet. PSE phase-out of Colstrip 1&amp;2 included on dashboard page.</t>
  </si>
  <si>
    <t>CTAM 3.2 for web</t>
  </si>
  <si>
    <t>Proration updates, Adjustment tab added (population, CA share, LCFS corrections), CA LCFS changes (EIA informed), etc. See notes in CTAM forecast spreadsheet</t>
  </si>
  <si>
    <t>Added 2013 &amp;14 EIA heat rate values and modified trend formula in Baseline emissions tab. Natural gas heat rate forecast is still not realistic. Use trend analysis for coal, but not natural gas (.2% improvement per year). CEC reference documenting little change in NG CCCT fleet heat rates over 10+ years.</t>
  </si>
  <si>
    <t>Finalize forecast spreadsheets for Reference, High growth, and Low growth cases. Test and trouble-shoot CTAM spreadsheet, correct minor referencing problems.</t>
  </si>
  <si>
    <t>CTAM 3.2c for web final</t>
  </si>
  <si>
    <t>Finished testing, formatting changes</t>
  </si>
  <si>
    <t>Update of consumption and price forecast using AEO 2016 Reference case with CPP. Change Centralia CF from 80% to 73.5% (2000-15 reported generation #). Update proration table with additional year of data, and more detail for distillate fuel use. Added a new correction factor to account for more rapid forecast of population growth in WA relative to rest of Pacific region. Added option of escalating process emissions (from historical emissions) using population growth rate instead of per capita personal income (using the population escalation factor current iteration of CTAM).</t>
  </si>
  <si>
    <t>Found several calculations were still using lease and plant fuel (natural gas) which WA does not have and consequently should not be prorated from Pac. Region # (AK and CA have this subcategory). Removing this sub-category of fuel use reduces calculated emissions and revenue collected. Also note that for 2016 the LPG industrial consumption forecast for Pacific region is 1/6 of what it was in the 2015 AEO Reference case. This in explicable change reduces emissions and revenue collected.</t>
  </si>
  <si>
    <t>cogeneration</t>
  </si>
  <si>
    <t>Adjusted levelized costs of electricity ($/MWh)</t>
  </si>
  <si>
    <t>Roel &amp; Greg</t>
  </si>
  <si>
    <t>baseline price, adjusted price, price change</t>
  </si>
  <si>
    <t>Changed computation of tax-affected components of levelized electricity cost, to affect only the fuel price portion of the levelized cost. (CTAM was scaling the entire levelized cost by the ratio of taxed and untaxed fuel).</t>
  </si>
  <si>
    <t>For extended assistance under contract (U.S.):
   roel@hammerschlag.org
   Roel Hammerschlag
   tel. 360-352-6866
   skype: r.hammerschlag</t>
  </si>
  <si>
    <t>2015 $</t>
  </si>
  <si>
    <r>
      <t>Legislated federal and state policies (</t>
    </r>
    <r>
      <rPr>
        <b/>
        <i/>
        <sz val="10"/>
        <color indexed="8"/>
        <rFont val="Calibri"/>
        <family val="2"/>
      </rPr>
      <t>e.g.</t>
    </r>
    <r>
      <rPr>
        <b/>
        <sz val="10"/>
        <color indexed="8"/>
        <rFont val="Calibri"/>
        <family val="2"/>
      </rPr>
      <t xml:space="preserve"> CAFE standards) are incorporated in the U.S. Energy Information Administration (EIA) baseline forecasts.</t>
    </r>
  </si>
  <si>
    <t>Energy consumption</t>
  </si>
  <si>
    <t>Other petroleum category fraction to energy</t>
  </si>
  <si>
    <t>Change in expenditures</t>
  </si>
  <si>
    <t>Revenue generated</t>
  </si>
  <si>
    <t>Consumer expend redux net of carbon reduction</t>
  </si>
  <si>
    <t>R044</t>
  </si>
  <si>
    <t>Efficiency of CA electric natural gas fleet:  http://www.energy.ca.gov/2014publications/CEC-200-2014-005/CEC-200-2014-005.pdf</t>
  </si>
  <si>
    <t>Annual percent increase</t>
  </si>
  <si>
    <t>carbon tax rate, fixed $ amt</t>
  </si>
  <si>
    <t xml:space="preserve">carbon tax rate, fixed percentage inc. </t>
  </si>
  <si>
    <r>
      <t xml:space="preserve">annual percentage increase </t>
    </r>
    <r>
      <rPr>
        <b/>
        <vertAlign val="superscript"/>
        <sz val="10"/>
        <color indexed="8"/>
        <rFont val="Calibri"/>
        <family val="2"/>
      </rPr>
      <t>i</t>
    </r>
  </si>
  <si>
    <t>AEO 2017 Reference Case</t>
  </si>
  <si>
    <t>Consider modifying population adjustment factor</t>
  </si>
  <si>
    <t>Energy consumption and price. Colstrip 2022 closure now in baseline</t>
  </si>
  <si>
    <t>Average 2005-2014</t>
  </si>
  <si>
    <t>Emissions by CTAM proration</t>
  </si>
  <si>
    <t>Emissions reported by EIA</t>
  </si>
  <si>
    <t>Energy related CO2</t>
  </si>
  <si>
    <t>Ethanol energy percent</t>
  </si>
  <si>
    <t>Ethanol in Mogas calculation</t>
  </si>
  <si>
    <t>Corrected for ethanol in gasoline. No emissions for ethanol. Moved  "other petroleum" category for non-energy correction to forecast spreadsheet .</t>
  </si>
  <si>
    <t>AEO  Pac region forecast</t>
  </si>
  <si>
    <t>Electric module</t>
  </si>
  <si>
    <t>[ratio] applied to Electric Fuel Mix</t>
  </si>
  <si>
    <t>Cleanup and testing</t>
  </si>
  <si>
    <t>Roel/Keibun</t>
  </si>
  <si>
    <t>Significant upgrades to CTAM -preliminary release. See Commerce contract no. F14-52110-001 for work description.</t>
  </si>
  <si>
    <t>Supporting evidence</t>
  </si>
  <si>
    <t>Percent in gasoline (assumed volume)</t>
  </si>
  <si>
    <t>Centralia (non-exemption) GWH taxed</t>
  </si>
  <si>
    <t>Baseline Consumption'!R52*ramps!S72*ramps!S97*(1+'Price Change'!R33*ramps!S44)</t>
  </si>
  <si>
    <t>EIA AEO 2017</t>
  </si>
  <si>
    <t>State population</t>
  </si>
  <si>
    <t>jet fuel, $/gal</t>
  </si>
  <si>
    <t>Base case = baseline elasticity values, no elasticity of substitution or other policies.</t>
  </si>
  <si>
    <t>Checking and combining all changes made during last 2 months which were distributed between 2 versions of CTAM. Changed EV ramp factors to reflect current EV MPGe (was too high in the near term). Changed coal electric price elasticity value to -0.14 (WECCC value instead of natl. value).</t>
  </si>
  <si>
    <t>Forecast update</t>
  </si>
  <si>
    <t>Incorporate Colstrip 1 &amp; 2 closure in 2022, hard coded now.</t>
  </si>
  <si>
    <t>New EIA correction for AEO  Pac region forecast. Takes into account CA cap &amp; trade targets. Reassessed mechanism for incorporating CA AB32 into forecast</t>
  </si>
  <si>
    <t>More replacement power (tax induced) is now attributed to new renewables, wind, biomass and solar.</t>
  </si>
  <si>
    <t>Set process emissions inflation factor to population growth factor. Removed population adjust factor from industrial sector which has not shown growth over the past 15-20 years.</t>
  </si>
  <si>
    <t>Revisited this topic, reworking calculations in cashare file. Slightly less growth in resid &amp; comm nat. gas, less growth in indust. nat gas use, slower decline in motor gas use, added still gas adjustment (adds cons) to indust other petroleum category. Net result is a smaller decline in energy consumption during 2018-30, and less consumption rebound during 2035-40.</t>
  </si>
  <si>
    <t>Misc.</t>
  </si>
  <si>
    <t>Minor formatting changes and updating of historical comparative data</t>
  </si>
  <si>
    <t>Greg/NPCC</t>
  </si>
  <si>
    <t xml:space="preserve">EIA CO2 w/ WA FMD Emissions compare </t>
  </si>
  <si>
    <t>fuel tax rates: fixed amt/yr or fixed %/yr</t>
  </si>
  <si>
    <t>On-road Distillate Fuel, + supplemental fuel tax option</t>
  </si>
  <si>
    <t>Motor Gasoline, + supplemental fuel tax option</t>
  </si>
  <si>
    <t>Ethanol associated emissions MT</t>
  </si>
  <si>
    <t>Change in gasoline emissions from EtOH, MT</t>
  </si>
  <si>
    <t>constant (2016) dollars per million Btu</t>
  </si>
  <si>
    <t>Billions of 2016 dollars</t>
  </si>
  <si>
    <t>units: million dollar (2016 $)</t>
  </si>
  <si>
    <t>OUTPUT: gross energy expenditures, billions of 2016 dollars</t>
  </si>
  <si>
    <t>Revenue (million $) tax percent fcn</t>
  </si>
  <si>
    <t>Revenue (million $) tax fixed step fcn</t>
  </si>
  <si>
    <t>Grand Revenue Total</t>
  </si>
  <si>
    <t>Historical data</t>
  </si>
  <si>
    <t>Synced up historical energy consumption and price data for Scenarios A, B and C.</t>
  </si>
  <si>
    <t>OUTPUT: energy prices, 2016 dollars</t>
  </si>
  <si>
    <t>Centralia capacity factor</t>
  </si>
  <si>
    <t>Centralia tax exemption</t>
  </si>
  <si>
    <t>U.S. units</t>
  </si>
  <si>
    <t>U.S CO2 Emissions (EIA)</t>
  </si>
  <si>
    <t>Projected 2050 U.S. population, millions, Census, 2014</t>
  </si>
  <si>
    <t>Per capita emissions, tons per-year</t>
  </si>
  <si>
    <t>U.S. population, millions, Census</t>
  </si>
  <si>
    <t>WA CO2 Emissions (COM)</t>
  </si>
  <si>
    <t>2050 80% reduction target, MMT</t>
  </si>
  <si>
    <t>WA population, millions, OFM</t>
  </si>
  <si>
    <t>Projected 2050 WA population, millions, OFM</t>
  </si>
  <si>
    <t>Emission Intensity Calculations</t>
  </si>
  <si>
    <t>Electric: natural gas sub. for coal</t>
  </si>
  <si>
    <t>Natural Gas subs Coal : electric generator</t>
  </si>
  <si>
    <t>Relative change in coal cons.</t>
  </si>
  <si>
    <t>*</t>
  </si>
  <si>
    <t>2017 EIA Levelized Cost of Generation Table 2 *</t>
  </si>
  <si>
    <t>2015 EIA Levelized Cost of Generation Table 2 *</t>
  </si>
  <si>
    <t>https://www.eia.gov/outlooks/aeo/pdf/electricity_generation_2015.pdf</t>
  </si>
  <si>
    <t>Levelized Cost of New Generation Resources in the Annual Energy Outlook 2015 and 2017</t>
  </si>
  <si>
    <t>$/MWh (2016$)</t>
  </si>
  <si>
    <t>See note by section 2, row 140 for description of modified allocation of renewables.</t>
  </si>
  <si>
    <t>Dashboard control</t>
  </si>
  <si>
    <t>Centralia WECC capacity, MW</t>
  </si>
  <si>
    <t>2050 66.7% reduction target</t>
  </si>
  <si>
    <t>Baseline for given year</t>
  </si>
  <si>
    <t>OFM population forecast. Shared with energy forecast spreadsheet.</t>
  </si>
  <si>
    <t>per capita emissions</t>
  </si>
  <si>
    <t>CM-010a TEST b</t>
  </si>
  <si>
    <t>residential NG, $/therm</t>
  </si>
  <si>
    <t>f. You may select from three EIA baseline scenarios: 1. Reference, 2. Extended policies, and 3. Low oil and natural gas price. See EIA Annual Energy Outlook for details: http://www.eia.gov/forecasts/aeo/</t>
  </si>
  <si>
    <t>g. "Transition coal" is coal-fired generation from Trans Alta's Centralia facility, which is scheduled to close by December 31 2025. This switch affects revenue collection only, it does not affect the fuel mix.</t>
  </si>
  <si>
    <t>older value, 2013 EIA Levelized Cost of Generation</t>
  </si>
  <si>
    <t>Avista and PacifiCorp both share ONLY in Units 3+4 (see A268).</t>
  </si>
  <si>
    <t>PacifiCorp (claims as market power)</t>
  </si>
  <si>
    <t>2010-15 ave.</t>
  </si>
  <si>
    <t>exogenous industrial emissions adjustment factors (user forces from 'dashboard' tab)</t>
  </si>
  <si>
    <t>EV improvement per year</t>
  </si>
  <si>
    <t>hydropower</t>
  </si>
  <si>
    <t>State and County Quick Facts, Washington</t>
  </si>
  <si>
    <t>Retail Sales of Electricity (Megawatt hours) by State by Sector by Provider, 1990-2012</t>
  </si>
  <si>
    <t>Average Price (Cents/kilowatt-hour) by State by Provider, 1990-2012</t>
  </si>
  <si>
    <t>California Energy Commission</t>
  </si>
  <si>
    <t>Add note about modifying residential and commercial electricity and natural gas elasticity values to reflect cost effectiveness test.</t>
  </si>
  <si>
    <t>Added a toggle for removing part of the energy input to the "other petroleum" category. Other petroleum includes non-energy categories which the toggle removes. This reduces fossil fuel energy in the industrial category and associated CO2 emissions.</t>
  </si>
  <si>
    <t>Updated electricity forecast</t>
  </si>
  <si>
    <t xml:space="preserve">Multiple changes to the electricity forecast: Reduced FMD averaging period to 4 years, which boosts wind contribution in 2011-15 period. Incorporate Energy Independence Act into the forecast; assuming statewide 6% renewables in 2016 and 10% in 2020, all wind and maintained through 2040. </t>
  </si>
  <si>
    <t>Option to add renewables as replacement power for Colstrip 1&amp;2 shutdown in 2022.</t>
  </si>
  <si>
    <t>Added electricity irrigation and street lighting/facilities in NPCC forecast to industrial sector. This prevents significant drop in industrial electric use in the CTAM forecast (we ignored these small subcategories before).</t>
  </si>
  <si>
    <t>Extended Centralia capacity factor calc thru 2016 resulting in lower value. Reduced rated capacity in Centralia tax calculation (emissions tab) from 1460 to 1360 MW (NPCC "big spreadsheet).</t>
  </si>
  <si>
    <t>Corrected error in %/yr. calc controlled from dashboard. Added per capita emission estimates for 1990, 2020 2035 and 2050 at bottom of Emission tab</t>
  </si>
  <si>
    <t>E10 gasoline and ethanol have approx. 121,000 and 84,000 Btu/gal</t>
  </si>
  <si>
    <t>Jet Fuel (+ other petroleum in transportation = aviation gasoline)</t>
  </si>
  <si>
    <t>mmBtu/bbl.</t>
  </si>
  <si>
    <r>
      <t xml:space="preserve">Contributions to Electric Price ($/MWh-fuel) - </t>
    </r>
    <r>
      <rPr>
        <b/>
        <sz val="10"/>
        <color rgb="FFFF0000"/>
        <rFont val="Calibri"/>
        <family val="2"/>
      </rPr>
      <t>Electricity Step 3b</t>
    </r>
  </si>
  <si>
    <t>Electric Price Change ($/MWh)</t>
  </si>
  <si>
    <t>Electric Price Change ($/MMBtu)</t>
  </si>
  <si>
    <t>Electricity price change</t>
  </si>
  <si>
    <t>Centralia coal shift</t>
  </si>
  <si>
    <t>Additional Centralia</t>
  </si>
  <si>
    <t>due to tax exemption</t>
  </si>
  <si>
    <t>Lost taxable emissions</t>
  </si>
  <si>
    <t>Additional Centralia calculations</t>
  </si>
  <si>
    <t>million 2016$</t>
  </si>
  <si>
    <t>Centralia heat rate MMBtu/MWh</t>
  </si>
  <si>
    <t>tax exempt status for "transition coal"</t>
  </si>
  <si>
    <t>Forgone taxable emissions MMT</t>
  </si>
  <si>
    <t>Lost revenue million $</t>
  </si>
  <si>
    <t>Additional Centralia generation GWh</t>
  </si>
  <si>
    <t>Centralia maximum</t>
  </si>
  <si>
    <t>capacity factor</t>
  </si>
  <si>
    <t xml:space="preserve">Lost revenue from coal </t>
  </si>
  <si>
    <t>shift</t>
  </si>
  <si>
    <t>generation to WA</t>
  </si>
  <si>
    <t>For out-of-state coal power to Centralia coal shift calculations</t>
  </si>
  <si>
    <t>Centralia coal pwr purchase shift due to</t>
  </si>
  <si>
    <t>Revenue from tax on Industrial process emissions</t>
  </si>
  <si>
    <t>Based on row 10 of ramps tab</t>
  </si>
  <si>
    <t>Annual emis. decline</t>
  </si>
  <si>
    <t>Indust. process emissions w/ tax side calculations</t>
  </si>
  <si>
    <t>1990 WA population</t>
  </si>
  <si>
    <t>persons</t>
  </si>
  <si>
    <t>Energy emissions, MMT</t>
  </si>
  <si>
    <t>2050 80% reduction target (2050 pop. Est.)</t>
  </si>
  <si>
    <t>Colstrip heat rate MMBtu/MWh</t>
  </si>
  <si>
    <t>Proposed 2018 changes</t>
  </si>
  <si>
    <t>Electric Generation Reduction from Baseline</t>
  </si>
  <si>
    <t>scheduled plant closures</t>
  </si>
  <si>
    <r>
      <t xml:space="preserve"> Electric Power 9/ - </t>
    </r>
    <r>
      <rPr>
        <b/>
        <sz val="10"/>
        <color rgb="FFFF0000"/>
        <rFont val="Calibri"/>
        <family val="2"/>
      </rPr>
      <t>Electricity Step 3a (price change)</t>
    </r>
  </si>
  <si>
    <t>Modified fuel share percentages</t>
  </si>
  <si>
    <t>See notes for details</t>
  </si>
  <si>
    <t>Centralia 1</t>
  </si>
  <si>
    <t>Colstrip 1&amp;2</t>
  </si>
  <si>
    <t>Centralia 2</t>
  </si>
  <si>
    <t>Electric generator fuel cost, $/MWh</t>
  </si>
  <si>
    <t>Natural gas</t>
  </si>
  <si>
    <t>WA electric generation (qBtu)</t>
  </si>
  <si>
    <t>Ratio nat. gas to coal consumption (unitless)</t>
  </si>
  <si>
    <t>5-yr ave.</t>
  </si>
  <si>
    <t>Elasticity of subs</t>
  </si>
  <si>
    <t>Fuel cost to electric generators, $/MWh</t>
  </si>
  <si>
    <t>Elasticity: consumption change/fuel price change rel. to 2005</t>
  </si>
  <si>
    <t>Elasticity: consumption change/fuel price change rel. to previous year</t>
  </si>
  <si>
    <t>90 percent CI</t>
  </si>
  <si>
    <t>One year lag</t>
  </si>
  <si>
    <t>Std dev</t>
  </si>
  <si>
    <t>i. The carbon tax ramp can also be set using an annual percentage increase. The user must enter a starting price otherwise the default value will be used. The maximum value is set to $200/ton</t>
  </si>
  <si>
    <t>All monetary data are in the current units used in the EIA forecast</t>
  </si>
  <si>
    <t>Sector level energy expenditures were calculated by multiplying baseline or adjusted energy prices by baseline or adjusted state energy consumption.</t>
  </si>
  <si>
    <t>yr.</t>
  </si>
  <si>
    <r>
      <t>Stickiness</t>
    </r>
    <r>
      <rPr>
        <b/>
        <vertAlign val="superscript"/>
        <sz val="9"/>
        <color theme="0"/>
        <rFont val="Arial Narrow"/>
        <family val="2"/>
      </rPr>
      <t xml:space="preserve">b </t>
    </r>
    <r>
      <rPr>
        <b/>
        <sz val="9"/>
        <color theme="0"/>
        <rFont val="Arial Narrow"/>
        <family val="2"/>
      </rPr>
      <t>(yr.)</t>
    </r>
  </si>
  <si>
    <t>Pseudo elasticity: percent decline/yr.</t>
  </si>
  <si>
    <t>percent change relative to 2005</t>
  </si>
  <si>
    <t>percent change relative to previous year</t>
  </si>
  <si>
    <t>Informational, not part of CTAM calculations.</t>
  </si>
  <si>
    <t>10 yr. ave.</t>
  </si>
  <si>
    <t>9 yr. ave.</t>
  </si>
  <si>
    <t>Check of CTAM forecasting approach</t>
  </si>
  <si>
    <t>2050 80% reduction target (2050 pop. est.)</t>
  </si>
  <si>
    <t>Fuel cost of electricity, MMBtu</t>
  </si>
  <si>
    <t>The reductions exclude</t>
  </si>
  <si>
    <t>Centralia tax side calculations</t>
  </si>
  <si>
    <t>Revenue w/ assumed an annual percent decline (no elasticity values available)</t>
  </si>
  <si>
    <t>Emission reduction MMT/yr.</t>
  </si>
  <si>
    <t xml:space="preserve">Corrected error in electricity calculation: dashboard showing the same % increase for sectors with different baseline price forecasts. Previously a global % Price Change was calculated, but now unique % Price Changes are calcautled for electricity used in the residential, commercial, industrial and transportation sectors. See Price Change tab rows 86 and 88. </t>
  </si>
  <si>
    <t>marine residual oil, $/bbl.</t>
  </si>
  <si>
    <t xml:space="preserve">Assumed to be carbon neutral for this analysis, including renewable energy, liquid hydrogen, biofuel, nuclear power, feedstock, heat and power (co-generation), and other petroleum (e.g. lubricant) </t>
  </si>
  <si>
    <t>In the Baseline Emissions tab, starting at row 109 &amp; column N, are additional exogenous calculations that reflect the taxed coal power to non-taxed coal power shift (Centralia "transition coal" exemption from tax) that might occur. The values also appear at the bottom of the Revenue tab: row 95 to 99. This hypothetical shift would be by the 3 IOUs that own shares of (imported) production from coal-fired power plants in MT, WY and NV (taxed) who would switch to power produced by the Trans Alta Centralia power plant during the 2019-2025 interval (Agreement with Trans Alta calls for cessation of Centralia operation after Dec. 21 2025).</t>
  </si>
  <si>
    <t xml:space="preserve">Scheduled plant closures: </t>
  </si>
  <si>
    <t>to make up for reduced coal pwr. Hydropower is to make up 1/4, wind 1/2, solar 1/8 and biomass 1/8 of the redux in coal pwr (zero emission resources). Natural gas, hydro and wind backfill for the three scheduled coal closures in 2020, 2022 and 2025.</t>
  </si>
  <si>
    <t>The application of this ratio has been altered from 2016 CTAM. Hydro power is the dominant  NW</t>
  </si>
  <si>
    <t>Distribute the replacement MWhs used to compensate for coal plant closure to 25% hydropower genr, 50% wind, 12.5% solar and 12.5% biomass.   Corrected an error in electric sector calcs.</t>
  </si>
  <si>
    <t>resource, but it is limited and cannot contribute 10% more electric power (previous method) to the resource mix</t>
  </si>
  <si>
    <t>Carbon Tax Analysis Model (CTAM) version 3.5 base case (Washington State)</t>
  </si>
  <si>
    <t>Carbon Tax Analysis Model (CTAM), version 3.5 base case</t>
  </si>
  <si>
    <t>CTAM updates for 2018</t>
  </si>
  <si>
    <t xml:space="preserve"> AEO 2018 Reference, derived from the national reference forecast </t>
  </si>
  <si>
    <t>Elasticity values &amp; WA forecast methodology</t>
  </si>
  <si>
    <t>Natural gas efficiency</t>
  </si>
  <si>
    <t>COP</t>
  </si>
  <si>
    <t>Heat pump efficiency</t>
  </si>
  <si>
    <t>Comm. electric subs for nat. gas</t>
  </si>
  <si>
    <t>Resid. electric subs for nat. gas</t>
  </si>
  <si>
    <t>Resid. &amp; Comm. sector, displacement of natural gas by electricity</t>
  </si>
  <si>
    <t>natural gasconsumption avoided (after effect of carbon tax)</t>
  </si>
  <si>
    <t>electricity consumption gained (after effect of carbon tax)</t>
  </si>
  <si>
    <t>Electricity total -- Electricity step 5</t>
  </si>
  <si>
    <t>Heat pump natural gas displacement, residential and commercial sector</t>
  </si>
  <si>
    <t>constant (2017) dollars per million Btu</t>
  </si>
  <si>
    <t>reference case: AEO 2018</t>
  </si>
  <si>
    <t>forecast is in 2017 dollars per million Btu</t>
  </si>
  <si>
    <t>Total energy, all sectors excl. elec.</t>
  </si>
  <si>
    <t>Flared natural gas (sub. for still gas)</t>
  </si>
  <si>
    <t>https://www.eia.gov/environment/emissions/co2_vol_mass.php</t>
  </si>
  <si>
    <t>Elec. forecast</t>
  </si>
  <si>
    <t>natural gas price/coal price before tax</t>
  </si>
  <si>
    <t>natural gas price/coal price w/ tax</t>
  </si>
  <si>
    <t>Change in price ratio due to tax</t>
  </si>
  <si>
    <t>Consumption ratio: Nat gas/coal</t>
  </si>
  <si>
    <t>New consumption ratio: Nat gas/coal</t>
  </si>
  <si>
    <t>New natural gas consumption Qbtu</t>
  </si>
  <si>
    <t>New coal consumption Qbtu</t>
  </si>
  <si>
    <r>
      <rPr>
        <b/>
        <u/>
        <sz val="10"/>
        <color indexed="8"/>
        <rFont val="Calibri"/>
        <family val="2"/>
      </rPr>
      <t>Nat. gas vs. coal elasticity of substitution</t>
    </r>
    <r>
      <rPr>
        <b/>
        <sz val="10"/>
        <color indexed="8"/>
        <rFont val="Calibri"/>
        <family val="2"/>
      </rPr>
      <t xml:space="preserve"> calc. </t>
    </r>
  </si>
  <si>
    <t>Relative change in nat gas cons.</t>
  </si>
  <si>
    <t>Change in coal cons. due to subs effect</t>
  </si>
  <si>
    <t>Change in nat gas cons. due to subs effect</t>
  </si>
  <si>
    <t>adjusted generation shares (exog. control via sec. 8 of dashboard)</t>
  </si>
  <si>
    <t>Ratio coal to nat gas price (unitless)</t>
  </si>
  <si>
    <t>This calc used the residual fuel emis factor. Changed to natural gas emis factor.</t>
  </si>
  <si>
    <t>lb/MMBtu</t>
  </si>
  <si>
    <t xml:space="preserve"> lb. CO2/gal</t>
  </si>
  <si>
    <t>Modified Pacific region prices</t>
  </si>
  <si>
    <t>Note switch to national AEO reference case forecast</t>
  </si>
  <si>
    <t xml:space="preserve">Electric Generators (consumption-basis) </t>
  </si>
  <si>
    <t>Final electric step, then allocated to sub-sectors</t>
  </si>
  <si>
    <t>Modified elec. forecast to reduce coal pwr genr, and bring in more renewables over forecast period. This reflects EIA requirements and recent IRP reports taht renewables are the low cost resource presented in most utility IRPs (simple cost basis calc, not service provided basis). Previous method relied on historical FMD reporting with trend analysis. Have limited the trend analysis period as it creates problems if extended much more than 10 yrs. In addition we are undertaking measures to more accurately assess coal pwr genr in the FMD market purchase pwr, resulting in lower overall coal genr purchases for WA utilities. The old FMD market power fuel mix created an upward bias for coal pwr gener in market power purchases.</t>
  </si>
  <si>
    <t>artifact of change in forecast methodology</t>
  </si>
  <si>
    <t>Total transport energy, excl. elec.</t>
  </si>
  <si>
    <t>Total industrial energy, excl. elec.</t>
  </si>
  <si>
    <t>Total commercial energy, excl. elec.</t>
  </si>
  <si>
    <t>Total residential energy, excl. elec.</t>
  </si>
  <si>
    <t>Colstrip capacity</t>
  </si>
  <si>
    <t>Colstrip 1&amp;2 WECC capacity, MW</t>
  </si>
  <si>
    <t>Colstrip capacity factor</t>
  </si>
  <si>
    <t>Colstrip maximum</t>
  </si>
  <si>
    <t>exempt Colstrip 1&amp;2</t>
  </si>
  <si>
    <t>Colstrip tax exemption</t>
  </si>
  <si>
    <t>Centralia emission exemption</t>
  </si>
  <si>
    <t>Colstrip  emission exemption</t>
  </si>
  <si>
    <t>Coal consumption adjusted for Colstrip exemption, quad</t>
  </si>
  <si>
    <t>Added a carbon tax exemption for colstrip 1&amp;2, similar to the existing Centralia "transition coal" exemption. Controlled from the Dashboard.</t>
  </si>
  <si>
    <t>I-631, possible exemption</t>
  </si>
  <si>
    <t>2011-2017 ave. for both Colstrip and Centralia capacity factors</t>
  </si>
  <si>
    <t>est. based on 2011-2017 EPA Acid Rain Prgm. data</t>
  </si>
  <si>
    <t>based on 2011-2017 EPA Acid Rain Prgm. data</t>
  </si>
  <si>
    <t>Coal--&gt; Nat. gas subs elasticity raised to 0.28 (2X documented), reflecting current lower gas price, higher value of CCCT power plant services. Natural gas own elasticity reduced to 0.17 (ref. report shows .29 natl, .05 WECC, averaged), reasoning that report data is limited and the WECC value is too low - reference is also somewhat out of date (2008-09 data) and does not reflect increasing option to switch to renewables or DR.  Switch to an energy forecast based on the AEO national reference case. The forecast was previously based on AEO Pacific region forecast, but there were forecast challenges because of CA's more aggressive climate policy goals. Extend the energy forecast, with concerns, to 2050 but not implemented in the CTAM model. Changed cogeneration emission factor ref. to natural gas - was inexplicably referring to the residual fuel emission factor.</t>
  </si>
  <si>
    <t>Coal price nat. gas subs elasticity and stickiness values are changed: increase substitution rate of gas for coal. EIA elasticity study used 2008-09 data and is not reflecting current lower price and superior nature of natural gas. The electricity forecast is different than 2017, see forecast spreadsheet for changes: result is different resource % shares, in particular a lower coal share. Consider adding exemption option for EITE's, etc for DOR use. Correct double count of one small category in NPCC WA electric load forecast: reduces total MWh forecast (and emissions) WA.</t>
  </si>
  <si>
    <t>Adjusted Electric Revenue for EITE</t>
  </si>
  <si>
    <t>EITE reduction in electric revenues</t>
  </si>
  <si>
    <t>[Mirror calc from previous CTAM version]</t>
  </si>
  <si>
    <t>Grand Rev Total w/ EITE adj for elec. and nat. gas</t>
  </si>
  <si>
    <t>Line 85 is subtracted from line 87 here</t>
  </si>
  <si>
    <t>Not modeled past 2029</t>
  </si>
  <si>
    <t>Credit for light/power/gas distribution businesses</t>
  </si>
  <si>
    <t>How much revenue is from light and power businesses and gas distribution businesses?</t>
  </si>
  <si>
    <t>These assumptions developed after discussion with commerce (see SB 5930/HB 2230 from 2017 Leg Session)</t>
  </si>
  <si>
    <t xml:space="preserve">Residential/Commercial Sectors – 100% of the revenue derived from natural gas and electricity </t>
  </si>
  <si>
    <t xml:space="preserve">Transportation Sector – 100% of the revenue derived from pipeline fuel natural gas and electricity </t>
  </si>
  <si>
    <r>
      <rPr>
        <b/>
        <sz val="10"/>
        <color rgb="FFFF0000"/>
        <rFont val="Calibri"/>
        <family val="2"/>
      </rPr>
      <t>Industrial Sector – 5% of the revenue derived from natural gas</t>
    </r>
    <r>
      <rPr>
        <b/>
        <sz val="10"/>
        <color indexed="8"/>
        <rFont val="Calibri"/>
        <family val="2"/>
      </rPr>
      <t xml:space="preserve"> and 50% of the revenue from electricity </t>
    </r>
  </si>
  <si>
    <t>(Change to assumption made per Glenn Blackmon, Department of Commerce, previous assumption was 75%)</t>
  </si>
  <si>
    <t xml:space="preserve">Commercial </t>
  </si>
  <si>
    <t>Amount that is "credit" and not collected by DOR</t>
  </si>
  <si>
    <t>Amount that is not "credit" and is collected by DOR</t>
  </si>
  <si>
    <t>Amount of revenue remaining after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</si>
</sst>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Red]\(\$#,##0\)"/>
    <numFmt numFmtId="165" formatCode="#,##0.0000"/>
    <numFmt numFmtId="166" formatCode="0.0"/>
    <numFmt numFmtId="167" formatCode="0.000"/>
    <numFmt numFmtId="168" formatCode="###,###,###,##0;\-#,###,###,##0;\-"/>
    <numFmt numFmtId="169" formatCode="0.0%"/>
    <numFmt numFmtId="170" formatCode="&quot;$&quot;#,##0.00"/>
    <numFmt numFmtId="171" formatCode="&quot;$&quot;#,##0"/>
    <numFmt numFmtId="172" formatCode="0.00_)"/>
    <numFmt numFmtId="173" formatCode="0.0000"/>
    <numFmt numFmtId="174" formatCode="#,##0.0"/>
    <numFmt numFmtId="175" formatCode="#,##0.000"/>
    <numFmt numFmtId="176" formatCode="[Red]#.####;[Red]\-#.####;\o.\k.;@"/>
    <numFmt numFmtId="177" formatCode="0.00000"/>
    <numFmt numFmtId="178" formatCode="0.0000000"/>
    <numFmt numFmtId="179" formatCode="#,##0.00000"/>
    <numFmt numFmtId="180" formatCode="0.000000"/>
    <numFmt numFmtId="181" formatCode="0.0000E+00"/>
    <numFmt numFmtId="182" formatCode="0.000E+00"/>
    <numFmt numFmtId="183" formatCode="#,##0.000000"/>
    <numFmt numFmtId="184" formatCode="#,##0.0000000"/>
    <numFmt numFmtId="185" formatCode="[$-409]mmmm\ d\,\ yyyy;@"/>
    <numFmt numFmtId="186" formatCode="_(* #,##0_);_(* \(#,##0\);_(* &quot;-&quot;??_);_(@_)"/>
    <numFmt numFmtId="187" formatCode="###,###,##0"/>
    <numFmt numFmtId="188" formatCode="&quot;$&quot;#,##0.0"/>
  </numFmts>
  <fonts count="150">
    <font>
      <b/>
      <sz val="10"/>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6"/>
      <name val="ＭＳ Ｐゴシック"/>
      <family val="3"/>
      <charset val="128"/>
    </font>
    <font>
      <sz val="11"/>
      <color indexed="8"/>
      <name val="Calibri"/>
      <family val="2"/>
    </font>
    <font>
      <b/>
      <sz val="11"/>
      <color indexed="8"/>
      <name val="Calibri"/>
      <family val="2"/>
    </font>
    <font>
      <b/>
      <sz val="16"/>
      <name val="Calibri"/>
      <family val="2"/>
    </font>
    <font>
      <b/>
      <sz val="11"/>
      <name val="Calibri"/>
      <family val="2"/>
    </font>
    <font>
      <sz val="11"/>
      <name val="Calibri"/>
      <family val="2"/>
    </font>
    <font>
      <i/>
      <sz val="11"/>
      <color indexed="8"/>
      <name val="Calibri"/>
      <family val="2"/>
    </font>
    <font>
      <b/>
      <u/>
      <sz val="11"/>
      <color indexed="8"/>
      <name val="Calibri"/>
      <family val="2"/>
    </font>
    <font>
      <b/>
      <sz val="11"/>
      <color indexed="8"/>
      <name val="Calibri"/>
      <family val="2"/>
    </font>
    <font>
      <b/>
      <sz val="16"/>
      <color indexed="8"/>
      <name val="Calibri"/>
      <family val="2"/>
    </font>
    <font>
      <b/>
      <sz val="12"/>
      <color indexed="8"/>
      <name val="Calibri"/>
      <family val="2"/>
    </font>
    <font>
      <u/>
      <sz val="11"/>
      <color indexed="12"/>
      <name val="Calibri"/>
      <family val="2"/>
    </font>
    <font>
      <sz val="11"/>
      <color theme="1"/>
      <name val="Calibri"/>
      <family val="2"/>
    </font>
    <font>
      <sz val="11"/>
      <color theme="0"/>
      <name val="Calibri"/>
      <family val="2"/>
    </font>
    <font>
      <sz val="11"/>
      <color rgb="FF9C0006"/>
      <name val="Calibri"/>
      <family val="2"/>
    </font>
    <font>
      <sz val="11"/>
      <color rgb="FF006100"/>
      <name val="Calibri"/>
      <family val="2"/>
    </font>
    <font>
      <b/>
      <sz val="15"/>
      <color theme="3"/>
      <name val="Calibri"/>
      <family val="2"/>
    </font>
    <font>
      <sz val="11"/>
      <color rgb="FF3F3F76"/>
      <name val="Calibri"/>
      <family val="2"/>
    </font>
    <font>
      <b/>
      <sz val="18"/>
      <color theme="3"/>
      <name val="Cambria"/>
      <family val="2"/>
      <scheme val="major"/>
    </font>
    <font>
      <b/>
      <sz val="13"/>
      <color theme="3"/>
      <name val="Calibri"/>
      <family val="2"/>
      <scheme val="minor"/>
    </font>
    <font>
      <b/>
      <sz val="11"/>
      <color theme="3"/>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1"/>
      <color theme="1"/>
      <name val="Calibri"/>
      <family val="2"/>
    </font>
    <font>
      <b/>
      <vertAlign val="superscript"/>
      <sz val="11"/>
      <color indexed="8"/>
      <name val="Calibri"/>
      <family val="2"/>
    </font>
    <font>
      <b/>
      <sz val="10"/>
      <color theme="1"/>
      <name val="Calibri"/>
      <family val="2"/>
      <scheme val="minor"/>
    </font>
    <font>
      <u/>
      <sz val="11"/>
      <color theme="10"/>
      <name val="Calibri"/>
      <family val="2"/>
    </font>
    <font>
      <b/>
      <sz val="12"/>
      <color theme="1"/>
      <name val="Arial Narrow"/>
      <family val="2"/>
    </font>
    <font>
      <b/>
      <sz val="9"/>
      <color theme="0"/>
      <name val="Arial Narrow"/>
      <family val="2"/>
    </font>
    <font>
      <b/>
      <sz val="22"/>
      <color theme="1"/>
      <name val="Arial Narrow"/>
      <family val="2"/>
    </font>
    <font>
      <b/>
      <sz val="10"/>
      <name val="Calibri"/>
      <family val="2"/>
    </font>
    <font>
      <sz val="10"/>
      <name val="Calibri"/>
      <family val="2"/>
    </font>
    <font>
      <b/>
      <sz val="10"/>
      <color rgb="FFFF0000"/>
      <name val="Calibri"/>
      <family val="2"/>
    </font>
    <font>
      <b/>
      <i/>
      <sz val="10"/>
      <name val="Calibri"/>
      <family val="2"/>
    </font>
    <font>
      <i/>
      <sz val="10"/>
      <name val="Calibri"/>
      <family val="2"/>
    </font>
    <font>
      <b/>
      <i/>
      <sz val="10"/>
      <color rgb="FFFF0000"/>
      <name val="Calibri"/>
      <family val="2"/>
    </font>
    <font>
      <b/>
      <i/>
      <sz val="10"/>
      <color indexed="8"/>
      <name val="Calibri"/>
      <family val="2"/>
    </font>
    <font>
      <i/>
      <sz val="10"/>
      <color indexed="8"/>
      <name val="Calibri"/>
      <family val="2"/>
    </font>
    <font>
      <b/>
      <vertAlign val="subscript"/>
      <sz val="12"/>
      <color theme="1"/>
      <name val="Arial Narrow"/>
      <family val="2"/>
    </font>
    <font>
      <b/>
      <sz val="10"/>
      <color rgb="FF08306B"/>
      <name val="Calibri"/>
      <family val="2"/>
      <scheme val="minor"/>
    </font>
    <font>
      <b/>
      <u/>
      <sz val="11"/>
      <color theme="1"/>
      <name val="Arial Narrow"/>
      <family val="2"/>
    </font>
    <font>
      <b/>
      <sz val="10"/>
      <color theme="1" tint="0.499984740745262"/>
      <name val="Calibri"/>
      <family val="2"/>
    </font>
    <font>
      <b/>
      <vertAlign val="subscript"/>
      <sz val="10"/>
      <color indexed="8"/>
      <name val="Calibri"/>
      <family val="2"/>
    </font>
    <font>
      <b/>
      <vertAlign val="superscript"/>
      <sz val="9"/>
      <color theme="0"/>
      <name val="Arial Narrow"/>
      <family val="2"/>
    </font>
    <font>
      <b/>
      <vertAlign val="superscript"/>
      <sz val="10"/>
      <color indexed="8"/>
      <name val="Calibri"/>
      <family val="2"/>
    </font>
    <font>
      <b/>
      <sz val="10"/>
      <color rgb="FF800026"/>
      <name val="Calibri"/>
      <family val="2"/>
    </font>
    <font>
      <i/>
      <sz val="9"/>
      <color theme="1"/>
      <name val="Calibri"/>
      <family val="2"/>
      <scheme val="minor"/>
    </font>
    <font>
      <sz val="9"/>
      <name val="Calibri"/>
      <family val="2"/>
      <scheme val="minor"/>
    </font>
    <font>
      <b/>
      <sz val="12"/>
      <color theme="1"/>
      <name val="Cambria"/>
      <family val="2"/>
      <scheme val="major"/>
    </font>
    <font>
      <b/>
      <vertAlign val="superscript"/>
      <sz val="10"/>
      <color theme="3"/>
      <name val="Calibri"/>
      <family val="2"/>
      <scheme val="minor"/>
    </font>
    <font>
      <b/>
      <u/>
      <sz val="12"/>
      <color theme="1"/>
      <name val="Cambria"/>
      <family val="2"/>
      <scheme val="major"/>
    </font>
    <font>
      <b/>
      <u/>
      <sz val="10"/>
      <color theme="10"/>
      <name val="Calibri"/>
      <family val="2"/>
    </font>
    <font>
      <b/>
      <sz val="9"/>
      <color rgb="FF0070C0"/>
      <name val="Arial Narrow"/>
      <family val="2"/>
    </font>
    <font>
      <b/>
      <i/>
      <sz val="10"/>
      <color theme="1"/>
      <name val="Calibri"/>
      <family val="2"/>
      <scheme val="minor"/>
    </font>
    <font>
      <i/>
      <sz val="9"/>
      <color theme="1"/>
      <name val="Cambria"/>
      <family val="2"/>
      <scheme val="major"/>
    </font>
    <font>
      <b/>
      <sz val="10"/>
      <color rgb="FF800026"/>
      <name val="Calibri"/>
      <family val="2"/>
      <scheme val="minor"/>
    </font>
    <font>
      <sz val="9"/>
      <color theme="1"/>
      <name val="Arial Black"/>
      <family val="2"/>
    </font>
    <font>
      <i/>
      <sz val="9"/>
      <color theme="1"/>
      <name val="Arial Black"/>
      <family val="2"/>
    </font>
    <font>
      <b/>
      <sz val="10"/>
      <color theme="10"/>
      <name val="Calibri"/>
      <family val="2"/>
    </font>
    <font>
      <b/>
      <sz val="9"/>
      <color rgb="FF800026"/>
      <name val="Calibri"/>
      <family val="2"/>
      <scheme val="minor"/>
    </font>
    <font>
      <b/>
      <sz val="10"/>
      <color indexed="8"/>
      <name val="Calibri"/>
      <family val="2"/>
    </font>
    <font>
      <sz val="11"/>
      <color rgb="FF9C0006"/>
      <name val="Calibri"/>
      <family val="2"/>
      <scheme val="minor"/>
    </font>
    <font>
      <sz val="11"/>
      <color rgb="FF006100"/>
      <name val="Calibri"/>
      <family val="2"/>
      <scheme val="minor"/>
    </font>
    <font>
      <b/>
      <sz val="15"/>
      <color theme="3"/>
      <name val="Calibri"/>
      <family val="2"/>
      <scheme val="minor"/>
    </font>
    <font>
      <sz val="11"/>
      <color rgb="FF3F3F76"/>
      <name val="Calibri"/>
      <family val="2"/>
      <scheme val="minor"/>
    </font>
    <font>
      <b/>
      <sz val="10"/>
      <color theme="3"/>
      <name val="Calibri"/>
      <family val="2"/>
      <scheme val="minor"/>
    </font>
    <font>
      <b/>
      <u/>
      <sz val="11"/>
      <color theme="1"/>
      <name val="Cambria"/>
      <family val="2"/>
      <scheme val="major"/>
    </font>
    <font>
      <b/>
      <sz val="22"/>
      <color theme="1"/>
      <name val="Cambria"/>
      <family val="2"/>
      <scheme val="major"/>
    </font>
    <font>
      <b/>
      <u/>
      <sz val="10"/>
      <color rgb="FF7030A0"/>
      <name val="Calibri"/>
      <family val="2"/>
      <scheme val="minor"/>
    </font>
    <font>
      <b/>
      <sz val="10"/>
      <color theme="0"/>
      <name val="Calibri"/>
      <family val="2"/>
      <scheme val="minor"/>
    </font>
    <font>
      <b/>
      <sz val="11"/>
      <color theme="1"/>
      <name val="Cambria"/>
      <family val="2"/>
      <scheme val="major"/>
    </font>
    <font>
      <b/>
      <sz val="10"/>
      <name val="Calibri"/>
      <family val="2"/>
      <scheme val="minor"/>
    </font>
    <font>
      <b/>
      <sz val="10"/>
      <color rgb="FFFF0000"/>
      <name val="Calibri"/>
      <family val="2"/>
      <scheme val="minor"/>
    </font>
    <font>
      <sz val="11"/>
      <color rgb="FF000000"/>
      <name val="Calibri"/>
      <family val="2"/>
    </font>
    <font>
      <b/>
      <sz val="9"/>
      <color rgb="FFFFFFFF"/>
      <name val="Arial Narrow"/>
      <family val="2"/>
    </font>
    <font>
      <sz val="10"/>
      <color indexed="8"/>
      <name val="MS Sans Serif"/>
      <family val="2"/>
    </font>
    <font>
      <sz val="10"/>
      <name val="Arial"/>
      <family val="2"/>
    </font>
    <font>
      <u/>
      <sz val="10"/>
      <color indexed="12"/>
      <name val="Arial"/>
      <family val="2"/>
    </font>
    <font>
      <sz val="9"/>
      <color indexed="81"/>
      <name val="Tahoma"/>
      <family val="2"/>
    </font>
    <font>
      <b/>
      <sz val="9"/>
      <color indexed="81"/>
      <name val="Tahoma"/>
      <family val="2"/>
    </font>
    <font>
      <sz val="10"/>
      <color indexed="8"/>
      <name val="Calibri"/>
      <family val="2"/>
    </font>
    <font>
      <b/>
      <sz val="9"/>
      <color theme="1"/>
      <name val="Arial Black"/>
      <family val="2"/>
    </font>
    <font>
      <b/>
      <i/>
      <sz val="9"/>
      <color theme="1"/>
      <name val="Arial Black"/>
      <family val="2"/>
    </font>
    <font>
      <b/>
      <sz val="9"/>
      <color indexed="8"/>
      <name val="Calibri"/>
      <family val="2"/>
    </font>
    <font>
      <b/>
      <sz val="10"/>
      <color theme="1"/>
      <name val="Arial"/>
      <family val="2"/>
    </font>
    <font>
      <sz val="10"/>
      <color theme="1"/>
      <name val="Arial"/>
      <family val="2"/>
    </font>
    <font>
      <sz val="10"/>
      <name val="MS Sans Serif"/>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sz val="9"/>
      <color indexed="8"/>
      <name val="Calibri"/>
      <family val="2"/>
    </font>
    <font>
      <b/>
      <sz val="12"/>
      <color indexed="30"/>
      <name val="Calibri"/>
      <family val="2"/>
    </font>
    <font>
      <b/>
      <sz val="10"/>
      <color theme="0"/>
      <name val="Arial Narrow"/>
      <family val="2"/>
    </font>
    <font>
      <b/>
      <sz val="12"/>
      <color theme="1"/>
      <name val="Calibri"/>
      <family val="2"/>
      <scheme val="minor"/>
    </font>
    <font>
      <b/>
      <sz val="10"/>
      <color indexed="8"/>
      <name val="Arial"/>
      <family val="2"/>
    </font>
    <font>
      <sz val="18"/>
      <color theme="3"/>
      <name val="Cambria"/>
      <family val="2"/>
      <scheme val="major"/>
    </font>
    <font>
      <b/>
      <sz val="10"/>
      <color theme="3"/>
      <name val="Calibri"/>
      <family val="2"/>
    </font>
    <font>
      <b/>
      <i/>
      <sz val="10"/>
      <color rgb="FF08306B"/>
      <name val="Calibri"/>
      <family val="2"/>
      <scheme val="minor"/>
    </font>
    <font>
      <sz val="10"/>
      <color theme="0"/>
      <name val="Arial"/>
      <family val="2"/>
    </font>
    <font>
      <b/>
      <sz val="10"/>
      <color rgb="FF000000"/>
      <name val="Calibri"/>
      <family val="2"/>
    </font>
    <font>
      <b/>
      <sz val="10"/>
      <color rgb="FF08306B"/>
      <name val="Calibri"/>
      <family val="2"/>
    </font>
    <font>
      <b/>
      <sz val="9"/>
      <color rgb="FF000000"/>
      <name val="Tahoma"/>
      <family val="2"/>
    </font>
    <font>
      <sz val="9"/>
      <color rgb="FF000000"/>
      <name val="Tahoma"/>
      <family val="2"/>
    </font>
    <font>
      <b/>
      <sz val="10"/>
      <color indexed="8"/>
      <name val="Calibri"/>
      <family val="2"/>
      <scheme val="minor"/>
    </font>
    <font>
      <b/>
      <sz val="10"/>
      <color rgb="FFC00000"/>
      <name val="Calibri"/>
      <family val="2"/>
    </font>
    <font>
      <b/>
      <u/>
      <sz val="10"/>
      <color indexed="8"/>
      <name val="Calibri"/>
      <family val="2"/>
    </font>
    <font>
      <b/>
      <sz val="10"/>
      <color theme="3" tint="-0.249977111117893"/>
      <name val="Calibri"/>
      <family val="2"/>
    </font>
    <font>
      <b/>
      <sz val="10"/>
      <color theme="3" tint="-0.249977111117893"/>
      <name val="Calibri"/>
      <family val="2"/>
      <scheme val="minor"/>
    </font>
    <font>
      <b/>
      <sz val="14"/>
      <color indexed="8"/>
      <name val="Calibri"/>
      <family val="2"/>
    </font>
    <font>
      <b/>
      <sz val="10"/>
      <color rgb="FF7030A0"/>
      <name val="Calibri"/>
      <family val="2"/>
    </font>
    <font>
      <b/>
      <sz val="9"/>
      <color indexed="8"/>
      <name val="Arial Black"/>
      <family val="2"/>
    </font>
  </fonts>
  <fills count="50">
    <fill>
      <patternFill patternType="none"/>
    </fill>
    <fill>
      <patternFill patternType="gray125"/>
    </fill>
    <fill>
      <patternFill patternType="solid">
        <fgColor indexed="42"/>
      </patternFill>
    </fill>
    <fill>
      <patternFill patternType="solid">
        <fgColor theme="8" tint="0.79998168889431442"/>
        <bgColor indexed="65"/>
      </patternFill>
    </fill>
    <fill>
      <patternFill patternType="solid">
        <fgColor theme="9" tint="0.79998168889431442"/>
        <bgColor indexed="65"/>
      </patternFill>
    </fill>
    <fill>
      <patternFill patternType="solid">
        <fgColor theme="8" tint="0.59999389629810485"/>
        <bgColor indexed="65"/>
      </patternFill>
    </fill>
    <fill>
      <patternFill patternType="solid">
        <fgColor theme="8"/>
      </patternFill>
    </fill>
    <fill>
      <patternFill patternType="solid">
        <fgColor theme="9"/>
      </patternFill>
    </fill>
    <fill>
      <patternFill patternType="solid">
        <fgColor rgb="FFFFC7CE"/>
      </patternFill>
    </fill>
    <fill>
      <patternFill patternType="solid">
        <fgColor rgb="FFC6EFCE"/>
      </patternFill>
    </fill>
    <fill>
      <patternFill patternType="solid">
        <fgColor rgb="FFFFCC99"/>
      </patternFill>
    </fill>
    <fill>
      <patternFill patternType="solid">
        <fgColor rgb="FFFFFF00"/>
        <bgColor indexed="64"/>
      </patternFill>
    </fill>
    <fill>
      <patternFill patternType="solid">
        <fgColor theme="0" tint="-4.9989318521683403E-2"/>
        <bgColor indexed="64"/>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rgb="FFDEEBF7"/>
        <bgColor indexed="64"/>
      </patternFill>
    </fill>
    <fill>
      <patternFill patternType="solid">
        <fgColor rgb="FFFFEDA0"/>
        <bgColor indexed="64"/>
      </patternFill>
    </fill>
    <fill>
      <patternFill patternType="solid">
        <fgColor rgb="FFE5F5E0"/>
        <bgColor indexed="64"/>
      </patternFill>
    </fill>
    <fill>
      <patternFill patternType="solid">
        <fgColor rgb="FFD9D9D9"/>
        <bgColor indexed="64"/>
      </patternFill>
    </fill>
    <fill>
      <patternFill patternType="solid">
        <fgColor theme="6" tint="0.79998168889431442"/>
        <bgColor indexed="65"/>
      </patternFill>
    </fill>
    <fill>
      <patternFill patternType="solid">
        <fgColor rgb="FFC00000"/>
        <bgColor indexed="64"/>
      </patternFill>
    </fill>
    <fill>
      <patternFill patternType="lightUp">
        <fgColor rgb="FFFF6969"/>
        <bgColor theme="0"/>
      </patternFill>
    </fill>
    <fill>
      <patternFill patternType="solid">
        <fgColor rgb="FF000000"/>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79998168889431442"/>
        <bgColor indexed="64"/>
      </patternFill>
    </fill>
  </fills>
  <borders count="68">
    <border>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style="thin">
        <color theme="0"/>
      </right>
      <top/>
      <bottom/>
      <diagonal/>
    </border>
    <border>
      <left/>
      <right/>
      <top style="double">
        <color auto="1"/>
      </top>
      <bottom/>
      <diagonal/>
    </border>
    <border>
      <left/>
      <right/>
      <top style="thin">
        <color theme="0"/>
      </top>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1"/>
      </left>
      <right/>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right/>
      <top/>
      <bottom style="medium">
        <color theme="1"/>
      </bottom>
      <diagonal/>
    </border>
    <border>
      <left style="thin">
        <color theme="1"/>
      </left>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style="thin">
        <color indexed="64"/>
      </right>
      <top/>
      <bottom style="thin">
        <color theme="0"/>
      </bottom>
      <diagonal/>
    </border>
    <border>
      <left style="thin">
        <color theme="0"/>
      </left>
      <right style="thin">
        <color indexed="64"/>
      </right>
      <top style="thin">
        <color theme="0"/>
      </top>
      <bottom style="thin">
        <color theme="0"/>
      </bottom>
      <diagonal/>
    </border>
    <border>
      <left/>
      <right style="thin">
        <color indexed="64"/>
      </right>
      <top style="thin">
        <color theme="0"/>
      </top>
      <bottom/>
      <diagonal/>
    </border>
    <border>
      <left style="thin">
        <color rgb="FFFFFFFF"/>
      </left>
      <right style="thin">
        <color rgb="FFFFFFFF"/>
      </right>
      <top style="thin">
        <color rgb="FFFFFFFF"/>
      </top>
      <bottom style="thin">
        <color rgb="FFFFFFF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dashed">
        <color rgb="FFBFBFBF"/>
      </bottom>
      <diagonal/>
    </border>
    <border>
      <left/>
      <right/>
      <top style="medium">
        <color rgb="FF0096D7"/>
      </top>
      <bottom/>
      <diagonal/>
    </border>
    <border>
      <left/>
      <right/>
      <top/>
      <bottom style="thick">
        <color rgb="FF0096D7"/>
      </bottom>
      <diagonal/>
    </border>
    <border>
      <left/>
      <right/>
      <top/>
      <bottom style="thin">
        <color rgb="FFBFBFBF"/>
      </bottom>
      <diagonal/>
    </border>
    <border>
      <left/>
      <right style="thin">
        <color theme="0"/>
      </right>
      <top/>
      <bottom/>
      <diagonal/>
    </border>
    <border>
      <left style="thin">
        <color indexed="0"/>
      </left>
      <right style="thin">
        <color indexed="0"/>
      </right>
      <top style="thin">
        <color indexed="0"/>
      </top>
      <bottom/>
      <diagonal/>
    </border>
    <border>
      <left/>
      <right style="thin">
        <color indexed="64"/>
      </right>
      <top style="double">
        <color auto="1"/>
      </top>
      <bottom/>
      <diagonal/>
    </border>
    <border>
      <left style="thin">
        <color theme="1"/>
      </left>
      <right style="thin">
        <color theme="1"/>
      </right>
      <top style="thin">
        <color theme="1"/>
      </top>
      <bottom/>
      <diagonal/>
    </border>
    <border>
      <left/>
      <right style="thin">
        <color indexed="64"/>
      </right>
      <top style="thin">
        <color theme="0"/>
      </top>
      <bottom style="thin">
        <color theme="0"/>
      </bottom>
      <diagonal/>
    </border>
    <border>
      <left/>
      <right/>
      <top style="thin">
        <color indexed="64"/>
      </top>
      <bottom style="double">
        <color indexed="64"/>
      </bottom>
      <diagonal/>
    </border>
    <border>
      <left/>
      <right/>
      <top/>
      <bottom style="double">
        <color indexed="64"/>
      </bottom>
      <diagonal/>
    </border>
    <border>
      <left style="thin">
        <color theme="0"/>
      </left>
      <right style="thin">
        <color indexed="64"/>
      </right>
      <top style="thin">
        <color theme="0"/>
      </top>
      <bottom/>
      <diagonal/>
    </border>
    <border>
      <left style="thin">
        <color theme="0"/>
      </left>
      <right style="thin">
        <color indexed="64"/>
      </right>
      <top/>
      <bottom/>
      <diagonal/>
    </border>
    <border>
      <left style="thin">
        <color theme="0"/>
      </left>
      <right style="thin">
        <color indexed="64"/>
      </right>
      <top style="thin">
        <color indexed="64"/>
      </top>
      <bottom/>
      <diagonal/>
    </border>
    <border>
      <left style="thin">
        <color theme="0"/>
      </left>
      <right style="thin">
        <color indexed="64"/>
      </right>
      <top/>
      <bottom style="thin">
        <color indexed="64"/>
      </bottom>
      <diagonal/>
    </border>
    <border>
      <left style="thin">
        <color indexed="0"/>
      </left>
      <right/>
      <top style="thin">
        <color indexed="0"/>
      </top>
      <bottom/>
      <diagonal/>
    </border>
    <border>
      <left style="thin">
        <color theme="1"/>
      </left>
      <right style="thin">
        <color theme="1"/>
      </right>
      <top/>
      <bottom style="thin">
        <color theme="1"/>
      </bottom>
      <diagonal/>
    </border>
    <border>
      <left style="thin">
        <color theme="0"/>
      </left>
      <right/>
      <top/>
      <bottom/>
      <diagonal/>
    </border>
    <border>
      <left style="thin">
        <color indexed="64"/>
      </left>
      <right style="thin">
        <color theme="0"/>
      </right>
      <top style="thin">
        <color theme="0"/>
      </top>
      <bottom/>
      <diagonal/>
    </border>
    <border>
      <left/>
      <right/>
      <top style="double">
        <color auto="1"/>
      </top>
      <bottom style="thin">
        <color indexed="64"/>
      </bottom>
      <diagonal/>
    </border>
    <border>
      <left/>
      <right/>
      <top style="double">
        <color auto="1"/>
      </top>
      <bottom style="double">
        <color indexed="64"/>
      </bottom>
      <diagonal/>
    </border>
  </borders>
  <cellStyleXfs count="42292">
    <xf numFmtId="0" fontId="0" fillId="36" borderId="0" applyNumberFormat="0" applyAlignment="0">
      <alignment vertical="top"/>
    </xf>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37" fillId="9" borderId="0" applyNumberFormat="0" applyBorder="0" applyAlignment="0" applyProtection="0"/>
    <xf numFmtId="0" fontId="38" fillId="0" borderId="5" applyNumberFormat="0" applyFill="0" applyAlignment="0" applyProtection="0"/>
    <xf numFmtId="0" fontId="33" fillId="0" borderId="0" applyNumberFormat="0" applyFill="0" applyBorder="0" applyAlignment="0" applyProtection="0">
      <alignment vertical="top"/>
      <protection locked="0"/>
    </xf>
    <xf numFmtId="0" fontId="39" fillId="10" borderId="4" applyNumberFormat="0" applyAlignment="0" applyProtection="0"/>
    <xf numFmtId="9" fontId="21" fillId="0" borderId="0" applyFont="0" applyFill="0" applyBorder="0" applyAlignment="0" applyProtection="0"/>
    <xf numFmtId="0" fontId="40" fillId="0" borderId="0" applyNumberFormat="0" applyFill="0" applyBorder="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13" borderId="0" applyNumberFormat="0" applyBorder="0" applyAlignment="0" applyProtection="0"/>
    <xf numFmtId="0" fontId="44" fillId="14" borderId="8" applyNumberFormat="0" applyAlignment="0" applyProtection="0"/>
    <xf numFmtId="0" fontId="45" fillId="14" borderId="4" applyNumberFormat="0" applyAlignment="0" applyProtection="0"/>
    <xf numFmtId="0" fontId="46" fillId="0" borderId="9" applyNumberFormat="0" applyFill="0" applyAlignment="0" applyProtection="0"/>
    <xf numFmtId="0" fontId="47" fillId="15" borderId="10"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12" applyNumberFormat="0" applyFill="0" applyAlignment="0" applyProtection="0"/>
    <xf numFmtId="0" fontId="51"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19" fillId="26" borderId="0" applyNumberFormat="0" applyBorder="0" applyAlignment="0" applyProtection="0"/>
    <xf numFmtId="0" fontId="51" fillId="27" borderId="0" applyNumberFormat="0" applyBorder="0" applyAlignment="0" applyProtection="0"/>
    <xf numFmtId="0" fontId="51"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51" fillId="31" borderId="0" applyNumberFormat="0" applyBorder="0" applyAlignment="0" applyProtection="0"/>
    <xf numFmtId="0" fontId="51" fillId="32" borderId="0" applyNumberFormat="0" applyBorder="0" applyAlignment="0" applyProtection="0"/>
    <xf numFmtId="0" fontId="19" fillId="33" borderId="0" applyNumberFormat="0" applyBorder="0" applyAlignment="0" applyProtection="0"/>
    <xf numFmtId="0" fontId="51" fillId="34" borderId="0" applyNumberFormat="0" applyBorder="0" applyAlignment="0" applyProtection="0"/>
    <xf numFmtId="41" fontId="20" fillId="0" borderId="0" applyFont="0" applyFill="0" applyBorder="0" applyAlignment="0" applyProtection="0"/>
    <xf numFmtId="42" fontId="20" fillId="0" borderId="0" applyFont="0" applyFill="0" applyBorder="0" applyAlignment="0" applyProtection="0"/>
    <xf numFmtId="0" fontId="20" fillId="16" borderId="11" applyNumberFormat="0" applyFont="0" applyAlignment="0" applyProtection="0"/>
    <xf numFmtId="0" fontId="55" fillId="0" borderId="0" applyNumberFormat="0" applyFill="0" applyBorder="0" applyAlignment="0" applyProtection="0"/>
    <xf numFmtId="176" fontId="70" fillId="0" borderId="0" applyFill="0" applyBorder="0">
      <alignment horizontal="center" vertical="top"/>
    </xf>
    <xf numFmtId="49" fontId="58" fillId="36" borderId="0" applyNumberFormat="0" applyProtection="0">
      <alignment horizontal="left" vertical="center"/>
      <protection locked="0"/>
    </xf>
    <xf numFmtId="0" fontId="56" fillId="36" borderId="0" applyNumberFormat="0" applyAlignment="0" applyProtection="0">
      <alignment horizontal="left" indent="2"/>
    </xf>
    <xf numFmtId="0" fontId="57" fillId="35" borderId="13" applyNumberFormat="0" applyProtection="0">
      <alignment horizontal="center"/>
      <protection locked="0"/>
    </xf>
    <xf numFmtId="0" fontId="85" fillId="40" borderId="14" applyNumberFormat="0" applyProtection="0">
      <alignment horizontal="left"/>
      <protection locked="0"/>
    </xf>
    <xf numFmtId="0" fontId="54" fillId="37" borderId="15" applyNumberFormat="0" applyAlignment="0">
      <alignment vertical="top"/>
      <protection locked="0"/>
    </xf>
    <xf numFmtId="2" fontId="68" fillId="36" borderId="0" applyNumberFormat="0" applyBorder="0" applyAlignment="0" applyProtection="0">
      <alignment vertical="top"/>
    </xf>
    <xf numFmtId="169" fontId="54" fillId="38" borderId="0" applyNumberFormat="0">
      <alignment vertical="top"/>
    </xf>
    <xf numFmtId="49" fontId="69" fillId="36" borderId="0" applyNumberFormat="0" applyProtection="0">
      <protection locked="0"/>
    </xf>
    <xf numFmtId="167" fontId="54" fillId="39" borderId="15" applyNumberFormat="0">
      <alignment vertical="top"/>
      <protection locked="0"/>
    </xf>
    <xf numFmtId="0" fontId="54" fillId="36" borderId="0" applyNumberFormat="0">
      <alignment vertical="top"/>
    </xf>
    <xf numFmtId="0" fontId="77" fillId="40" borderId="14" applyNumberFormat="0" applyProtection="0">
      <alignment horizontal="left"/>
      <protection locked="0"/>
    </xf>
    <xf numFmtId="2" fontId="68" fillId="36" borderId="0" applyNumberFormat="0" applyAlignment="0" applyProtection="0">
      <alignment vertical="top"/>
    </xf>
    <xf numFmtId="49" fontId="79" fillId="36" borderId="0" applyNumberFormat="0" applyProtection="0">
      <protection locked="0"/>
    </xf>
    <xf numFmtId="0" fontId="80" fillId="36" borderId="0" applyNumberFormat="0" applyFill="0" applyBorder="0" applyAlignment="0" applyProtection="0">
      <alignment vertical="top"/>
    </xf>
    <xf numFmtId="49" fontId="83" fillId="36" borderId="31" applyNumberFormat="0" applyProtection="0">
      <alignment horizontal="center"/>
      <protection locked="0"/>
    </xf>
    <xf numFmtId="0" fontId="84" fillId="36" borderId="0" applyNumberFormat="0" applyFill="0" applyBorder="0" applyAlignment="0" applyProtection="0">
      <alignment vertical="top"/>
    </xf>
    <xf numFmtId="0" fontId="18" fillId="18" borderId="0" applyNumberFormat="0" applyBorder="0" applyAlignment="0" applyProtection="0"/>
    <xf numFmtId="0" fontId="18" fillId="22" borderId="0" applyNumberFormat="0" applyBorder="0" applyAlignment="0" applyProtection="0"/>
    <xf numFmtId="0" fontId="18" fillId="41" borderId="0" applyNumberFormat="0" applyBorder="0" applyAlignment="0" applyProtection="0"/>
    <xf numFmtId="0" fontId="18" fillId="29"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5" borderId="0" applyNumberFormat="0" applyBorder="0" applyAlignment="0" applyProtection="0"/>
    <xf numFmtId="0" fontId="18" fillId="33" borderId="0" applyNumberFormat="0" applyBorder="0" applyAlignment="0" applyProtection="0"/>
    <xf numFmtId="0" fontId="51" fillId="20" borderId="0" applyNumberFormat="0" applyBorder="0" applyAlignment="0" applyProtection="0"/>
    <xf numFmtId="0" fontId="51" fillId="24" borderId="0" applyNumberFormat="0" applyBorder="0" applyAlignment="0" applyProtection="0"/>
    <xf numFmtId="0" fontId="51" fillId="27" borderId="0" applyNumberFormat="0" applyBorder="0" applyAlignment="0" applyProtection="0"/>
    <xf numFmtId="0" fontId="51" fillId="31" borderId="0" applyNumberFormat="0" applyBorder="0" applyAlignment="0" applyProtection="0"/>
    <xf numFmtId="0" fontId="51" fillId="32" borderId="0" applyNumberFormat="0" applyBorder="0" applyAlignment="0" applyProtection="0"/>
    <xf numFmtId="0" fontId="51" fillId="34"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90" fillId="8" borderId="0" applyNumberFormat="0" applyBorder="0" applyAlignment="0" applyProtection="0"/>
    <xf numFmtId="0" fontId="47" fillId="15" borderId="10" applyNumberFormat="0" applyAlignment="0" applyProtection="0"/>
    <xf numFmtId="0" fontId="49" fillId="0" borderId="0" applyNumberFormat="0" applyFill="0" applyBorder="0" applyAlignment="0" applyProtection="0"/>
    <xf numFmtId="0" fontId="91" fillId="9" borderId="0" applyNumberFormat="0" applyBorder="0" applyAlignment="0" applyProtection="0"/>
    <xf numFmtId="0" fontId="42" fillId="0" borderId="7" applyNumberFormat="0" applyFill="0" applyAlignment="0" applyProtection="0"/>
    <xf numFmtId="0" fontId="42" fillId="0" borderId="0" applyNumberFormat="0" applyFill="0" applyBorder="0" applyAlignment="0" applyProtection="0"/>
    <xf numFmtId="0" fontId="46" fillId="0" borderId="9" applyNumberFormat="0" applyFill="0" applyAlignment="0" applyProtection="0"/>
    <xf numFmtId="0" fontId="43" fillId="13" borderId="0" applyNumberFormat="0" applyBorder="0" applyAlignment="0" applyProtection="0"/>
    <xf numFmtId="0" fontId="18" fillId="16" borderId="11" applyNumberFormat="0" applyFont="0" applyAlignment="0" applyProtection="0"/>
    <xf numFmtId="0" fontId="44" fillId="14" borderId="8" applyNumberFormat="0" applyAlignment="0" applyProtection="0"/>
    <xf numFmtId="0" fontId="50" fillId="0" borderId="12" applyNumberFormat="0" applyFill="0" applyAlignment="0" applyProtection="0"/>
    <xf numFmtId="0" fontId="99" fillId="40" borderId="14" applyNumberFormat="0" applyProtection="0">
      <alignment horizontal="left"/>
      <protection locked="0"/>
    </xf>
    <xf numFmtId="49" fontId="96" fillId="36" borderId="0" applyNumberFormat="0" applyProtection="0">
      <alignment horizontal="left" vertical="center"/>
      <protection locked="0"/>
    </xf>
    <xf numFmtId="49" fontId="95" fillId="36" borderId="0" applyNumberFormat="0" applyProtection="0">
      <protection locked="0"/>
    </xf>
    <xf numFmtId="0" fontId="99" fillId="40" borderId="14" applyNumberFormat="0" applyProtection="0">
      <alignment horizontal="left"/>
      <protection locked="0"/>
    </xf>
    <xf numFmtId="0" fontId="98" fillId="42" borderId="0" applyNumberFormat="0" applyAlignment="0" applyProtection="0"/>
    <xf numFmtId="0" fontId="54" fillId="39" borderId="15" applyNumberFormat="0" applyAlignment="0">
      <alignment vertical="top"/>
      <protection locked="0"/>
    </xf>
    <xf numFmtId="0" fontId="97" fillId="36" borderId="0" applyNumberFormat="0" applyFill="0" applyBorder="0" applyAlignment="0" applyProtection="0">
      <alignment vertical="top"/>
    </xf>
    <xf numFmtId="0" fontId="54" fillId="43" borderId="0" applyNumberFormat="0" applyFont="0" applyAlignment="0" applyProtection="0">
      <alignment vertical="top"/>
    </xf>
    <xf numFmtId="176" fontId="70" fillId="0" borderId="0" applyFill="0" applyBorder="0">
      <alignment vertical="top"/>
    </xf>
    <xf numFmtId="0" fontId="77" fillId="36" borderId="0" applyNumberFormat="0" applyAlignment="0" applyProtection="0">
      <alignment horizontal="left" indent="2"/>
    </xf>
    <xf numFmtId="0" fontId="54" fillId="38" borderId="0" applyNumberFormat="0">
      <alignment horizontal="left" vertical="top" indent="1"/>
    </xf>
    <xf numFmtId="0" fontId="94" fillId="36" borderId="0">
      <alignment vertical="top"/>
    </xf>
    <xf numFmtId="0" fontId="18" fillId="0" borderId="0"/>
    <xf numFmtId="0" fontId="40" fillId="0" borderId="0" applyNumberFormat="0" applyFill="0" applyBorder="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3" fillId="10" borderId="4" applyNumberFormat="0" applyAlignment="0" applyProtection="0"/>
    <xf numFmtId="49" fontId="95" fillId="36" borderId="0" applyNumberFormat="0" applyProtection="0">
      <protection locked="0"/>
    </xf>
    <xf numFmtId="0" fontId="45" fillId="14" borderId="4" applyNumberFormat="0" applyAlignment="0" applyProtection="0"/>
    <xf numFmtId="49" fontId="95" fillId="36" borderId="0" applyNumberFormat="0" applyProtection="0">
      <protection locked="0"/>
    </xf>
    <xf numFmtId="0" fontId="48" fillId="0" borderId="0" applyNumberFormat="0" applyFill="0" applyBorder="0" applyAlignment="0" applyProtection="0"/>
    <xf numFmtId="0" fontId="41" fillId="0" borderId="6" applyNumberFormat="0" applyFill="0" applyAlignment="0" applyProtection="0"/>
    <xf numFmtId="0" fontId="89" fillId="36" borderId="0" applyNumberFormat="0" applyAlignment="0">
      <alignment vertical="top"/>
    </xf>
    <xf numFmtId="0" fontId="85" fillId="40" borderId="14" applyNumberFormat="0" applyProtection="0">
      <alignment horizontal="left"/>
      <protection locked="0"/>
    </xf>
    <xf numFmtId="176" fontId="70" fillId="0" borderId="0" applyFill="0" applyBorder="0">
      <alignment horizontal="center" vertical="top"/>
    </xf>
    <xf numFmtId="49" fontId="58" fillId="36" borderId="0" applyNumberFormat="0" applyProtection="0">
      <alignment horizontal="left" vertical="center"/>
      <protection locked="0"/>
    </xf>
    <xf numFmtId="0" fontId="56" fillId="36" borderId="0" applyNumberFormat="0" applyAlignment="0" applyProtection="0">
      <alignment horizontal="left" indent="2"/>
    </xf>
    <xf numFmtId="49" fontId="69" fillId="36" borderId="0" applyNumberFormat="0" applyProtection="0">
      <protection locked="0"/>
    </xf>
    <xf numFmtId="0" fontId="85" fillId="40" borderId="14" applyNumberFormat="0" applyProtection="0">
      <alignment horizontal="left"/>
      <protection locked="0"/>
    </xf>
    <xf numFmtId="169" fontId="54" fillId="38" borderId="0" applyNumberFormat="0">
      <alignment vertical="top"/>
    </xf>
    <xf numFmtId="49" fontId="69" fillId="36" borderId="0" applyNumberFormat="0" applyProtection="0">
      <protection locked="0"/>
    </xf>
    <xf numFmtId="167" fontId="54" fillId="39" borderId="15" applyNumberFormat="0">
      <alignment vertical="top"/>
      <protection locked="0"/>
    </xf>
    <xf numFmtId="0" fontId="54" fillId="36" borderId="0" applyNumberFormat="0">
      <alignment vertical="top"/>
    </xf>
    <xf numFmtId="0" fontId="77" fillId="40" borderId="14" applyNumberFormat="0" applyProtection="0">
      <alignment horizontal="left"/>
      <protection locked="0"/>
    </xf>
    <xf numFmtId="2" fontId="68" fillId="36" borderId="0" applyNumberFormat="0" applyAlignment="0" applyProtection="0">
      <alignment vertical="top"/>
    </xf>
    <xf numFmtId="49" fontId="79" fillId="36" borderId="0" applyNumberFormat="0" applyProtection="0">
      <protection locked="0"/>
    </xf>
    <xf numFmtId="0" fontId="80" fillId="36" borderId="0" applyNumberFormat="0" applyFill="0" applyBorder="0" applyAlignment="0" applyProtection="0">
      <alignment vertical="top"/>
    </xf>
    <xf numFmtId="0" fontId="85" fillId="40" borderId="14" applyNumberFormat="0" applyProtection="0">
      <alignment horizontal="left"/>
      <protection locked="0"/>
    </xf>
    <xf numFmtId="49" fontId="69" fillId="36" borderId="0" applyNumberFormat="0" applyProtection="0">
      <protection locked="0"/>
    </xf>
    <xf numFmtId="0" fontId="85" fillId="40" borderId="14" applyNumberFormat="0" applyProtection="0">
      <alignment horizontal="left"/>
      <protection locked="0"/>
    </xf>
    <xf numFmtId="49" fontId="69" fillId="36" borderId="0" applyNumberFormat="0" applyProtection="0">
      <protection locked="0"/>
    </xf>
    <xf numFmtId="49" fontId="69" fillId="36" borderId="0" applyNumberFormat="0" applyProtection="0">
      <protection locked="0"/>
    </xf>
    <xf numFmtId="0" fontId="85" fillId="40" borderId="14" applyNumberFormat="0" applyProtection="0">
      <alignment horizontal="left"/>
      <protection locked="0"/>
    </xf>
    <xf numFmtId="0" fontId="92" fillId="0" borderId="5" applyNumberFormat="0" applyFill="0" applyAlignment="0" applyProtection="0"/>
    <xf numFmtId="0" fontId="99" fillId="40" borderId="14" applyNumberFormat="0" applyProtection="0">
      <alignment horizontal="left"/>
      <protection locked="0"/>
    </xf>
    <xf numFmtId="0" fontId="41" fillId="0" borderId="6" applyNumberFormat="0" applyFill="0" applyAlignment="0" applyProtection="0"/>
    <xf numFmtId="0" fontId="92" fillId="0" borderId="5" applyNumberFormat="0" applyFill="0" applyAlignment="0" applyProtection="0"/>
    <xf numFmtId="0" fontId="98" fillId="42" borderId="0" applyNumberFormat="0" applyAlignment="0" applyProtection="0"/>
    <xf numFmtId="0" fontId="17" fillId="0" borderId="0"/>
    <xf numFmtId="0" fontId="92" fillId="0" borderId="5" applyNumberFormat="0" applyFill="0" applyAlignment="0" applyProtection="0"/>
    <xf numFmtId="0" fontId="41" fillId="0" borderId="6" applyNumberFormat="0" applyFill="0" applyAlignment="0" applyProtection="0"/>
    <xf numFmtId="0" fontId="17" fillId="16" borderId="11" applyNumberFormat="0" applyFont="0" applyAlignment="0" applyProtection="0"/>
    <xf numFmtId="0" fontId="17" fillId="0" borderId="0"/>
    <xf numFmtId="0" fontId="17" fillId="16" borderId="11" applyNumberFormat="0" applyFont="0" applyAlignment="0" applyProtection="0"/>
    <xf numFmtId="0" fontId="54" fillId="36" borderId="0" applyNumberFormat="0">
      <alignment vertical="top"/>
    </xf>
    <xf numFmtId="2" fontId="68" fillId="36" borderId="0" applyNumberFormat="0" applyBorder="0" applyAlignment="0" applyProtection="0">
      <alignment vertical="top"/>
    </xf>
    <xf numFmtId="0" fontId="41" fillId="0" borderId="6" applyNumberFormat="0" applyFill="0" applyAlignment="0" applyProtection="0"/>
    <xf numFmtId="0" fontId="17" fillId="0" borderId="0"/>
    <xf numFmtId="0" fontId="16" fillId="0" borderId="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16" fillId="16" borderId="11" applyNumberFormat="0" applyFont="0" applyAlignment="0" applyProtection="0"/>
    <xf numFmtId="0" fontId="41" fillId="0" borderId="6" applyNumberFormat="0" applyFill="0" applyAlignment="0" applyProtection="0"/>
    <xf numFmtId="0" fontId="16" fillId="0" borderId="0"/>
    <xf numFmtId="0" fontId="16" fillId="16" borderId="11" applyNumberFormat="0" applyFont="0" applyAlignment="0" applyProtection="0"/>
    <xf numFmtId="0" fontId="16" fillId="0" borderId="0"/>
    <xf numFmtId="0" fontId="16" fillId="0" borderId="0"/>
    <xf numFmtId="0" fontId="16" fillId="16" borderId="11" applyNumberFormat="0" applyFont="0" applyAlignment="0" applyProtection="0"/>
    <xf numFmtId="0" fontId="41" fillId="0" borderId="6" applyNumberFormat="0" applyFill="0" applyAlignment="0" applyProtection="0"/>
    <xf numFmtId="0" fontId="92" fillId="0" borderId="5" applyNumberFormat="0" applyFill="0" applyAlignment="0" applyProtection="0"/>
    <xf numFmtId="0" fontId="15" fillId="0" borderId="0"/>
    <xf numFmtId="0" fontId="15" fillId="16" borderId="11" applyNumberFormat="0" applyFont="0" applyAlignment="0" applyProtection="0"/>
    <xf numFmtId="0" fontId="15" fillId="0" borderId="0"/>
    <xf numFmtId="0" fontId="15" fillId="16" borderId="11" applyNumberFormat="0" applyFont="0" applyAlignment="0" applyProtection="0"/>
    <xf numFmtId="0" fontId="15" fillId="0" borderId="0"/>
    <xf numFmtId="0" fontId="15" fillId="0" borderId="0"/>
    <xf numFmtId="0" fontId="15" fillId="16" borderId="11" applyNumberFormat="0" applyFont="0" applyAlignment="0" applyProtection="0"/>
    <xf numFmtId="0" fontId="15" fillId="0" borderId="0"/>
    <xf numFmtId="0" fontId="15" fillId="16" borderId="11" applyNumberFormat="0" applyFont="0" applyAlignment="0" applyProtection="0"/>
    <xf numFmtId="0" fontId="15" fillId="0" borderId="0"/>
    <xf numFmtId="0" fontId="15" fillId="16" borderId="11" applyNumberFormat="0" applyFont="0" applyAlignment="0" applyProtection="0"/>
    <xf numFmtId="0" fontId="102" fillId="0" borderId="0"/>
    <xf numFmtId="0" fontId="103" fillId="44" borderId="37" applyNumberFormat="0" applyProtection="0">
      <alignment horizontal="center"/>
      <protection locked="0"/>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4" fillId="0" borderId="0"/>
    <xf numFmtId="0" fontId="14" fillId="16" borderId="11" applyNumberFormat="0" applyFont="0" applyAlignment="0" applyProtection="0"/>
    <xf numFmtId="0" fontId="14" fillId="0" borderId="0"/>
    <xf numFmtId="0" fontId="14" fillId="16" borderId="11" applyNumberFormat="0" applyFont="0" applyAlignment="0" applyProtection="0"/>
    <xf numFmtId="0" fontId="14" fillId="0" borderId="0"/>
    <xf numFmtId="0" fontId="105" fillId="0" borderId="0"/>
    <xf numFmtId="0" fontId="106" fillId="0" borderId="0" applyNumberFormat="0" applyFill="0" applyBorder="0" applyAlignment="0" applyProtection="0">
      <alignment vertical="top"/>
      <protection locked="0"/>
    </xf>
    <xf numFmtId="0" fontId="105" fillId="0" borderId="0"/>
    <xf numFmtId="0" fontId="13" fillId="0" borderId="0"/>
    <xf numFmtId="0" fontId="13" fillId="16" borderId="11" applyNumberFormat="0" applyFont="0" applyAlignment="0" applyProtection="0"/>
    <xf numFmtId="0" fontId="13" fillId="0" borderId="0"/>
    <xf numFmtId="0" fontId="13" fillId="16" borderId="11" applyNumberFormat="0" applyFont="0" applyAlignment="0" applyProtection="0"/>
    <xf numFmtId="0" fontId="13" fillId="0" borderId="0"/>
    <xf numFmtId="0" fontId="13" fillId="0" borderId="0"/>
    <xf numFmtId="9" fontId="13" fillId="0" borderId="0" applyFont="0" applyFill="0" applyBorder="0" applyAlignment="0" applyProtection="0"/>
    <xf numFmtId="0" fontId="13" fillId="16" borderId="11" applyNumberFormat="0" applyFont="0" applyAlignment="0" applyProtection="0"/>
    <xf numFmtId="0" fontId="105" fillId="0" borderId="0"/>
    <xf numFmtId="0" fontId="54" fillId="36" borderId="0" applyNumberFormat="0">
      <alignment vertical="top"/>
    </xf>
    <xf numFmtId="49" fontId="96" fillId="36" borderId="0" applyNumberFormat="0" applyProtection="0">
      <alignment horizontal="left" vertical="center"/>
      <protection locked="0"/>
    </xf>
    <xf numFmtId="0" fontId="98" fillId="42" borderId="0" applyNumberFormat="0" applyAlignment="0" applyProtection="0"/>
    <xf numFmtId="2" fontId="68" fillId="36" borderId="0" applyNumberFormat="0" applyBorder="0" applyAlignment="0" applyProtection="0">
      <alignment vertical="top"/>
    </xf>
    <xf numFmtId="0" fontId="54" fillId="39" borderId="15" applyNumberFormat="0" applyAlignment="0">
      <alignment vertical="top"/>
      <protection locked="0"/>
    </xf>
    <xf numFmtId="0" fontId="97" fillId="36" borderId="0" applyNumberFormat="0" applyFill="0" applyBorder="0" applyAlignment="0" applyProtection="0">
      <alignment vertical="top"/>
    </xf>
    <xf numFmtId="0" fontId="13" fillId="0" borderId="0"/>
    <xf numFmtId="0" fontId="13" fillId="0" borderId="0"/>
    <xf numFmtId="0" fontId="13" fillId="16" borderId="11" applyNumberFormat="0" applyFont="0" applyAlignment="0" applyProtection="0"/>
    <xf numFmtId="0" fontId="13" fillId="0" borderId="0"/>
    <xf numFmtId="0" fontId="105" fillId="0" borderId="0"/>
    <xf numFmtId="0" fontId="12" fillId="0" borderId="0"/>
    <xf numFmtId="0" fontId="12" fillId="16" borderId="11" applyNumberFormat="0" applyFont="0" applyAlignment="0" applyProtection="0"/>
    <xf numFmtId="0" fontId="12" fillId="0" borderId="0"/>
    <xf numFmtId="0" fontId="12" fillId="16" borderId="11" applyNumberFormat="0" applyFont="0" applyAlignment="0" applyProtection="0"/>
    <xf numFmtId="0" fontId="12" fillId="0" borderId="0"/>
    <xf numFmtId="0" fontId="12" fillId="0" borderId="0"/>
    <xf numFmtId="0" fontId="12" fillId="16" borderId="11" applyNumberFormat="0" applyFont="0" applyAlignment="0" applyProtection="0"/>
    <xf numFmtId="0" fontId="12" fillId="0" borderId="0"/>
    <xf numFmtId="0" fontId="12" fillId="16" borderId="11" applyNumberFormat="0" applyFont="0" applyAlignment="0" applyProtection="0"/>
    <xf numFmtId="0" fontId="12" fillId="0" borderId="0"/>
    <xf numFmtId="0" fontId="12" fillId="16" borderId="11" applyNumberFormat="0" applyFont="0" applyAlignment="0" applyProtection="0"/>
    <xf numFmtId="0" fontId="12" fillId="0" borderId="0"/>
    <xf numFmtId="0" fontId="12" fillId="16" borderId="11" applyNumberFormat="0" applyFont="0" applyAlignment="0" applyProtection="0"/>
    <xf numFmtId="0" fontId="12" fillId="0" borderId="0"/>
    <xf numFmtId="9" fontId="12" fillId="0" borderId="0" applyFont="0" applyFill="0" applyBorder="0" applyAlignment="0" applyProtection="0"/>
    <xf numFmtId="0" fontId="12" fillId="16" borderId="11" applyNumberFormat="0" applyFont="0" applyAlignment="0" applyProtection="0"/>
    <xf numFmtId="0" fontId="12" fillId="0" borderId="0"/>
    <xf numFmtId="0" fontId="105" fillId="0" borderId="0"/>
    <xf numFmtId="0" fontId="12" fillId="0" borderId="0"/>
    <xf numFmtId="9" fontId="12" fillId="0" borderId="0" applyFont="0" applyFill="0" applyBorder="0" applyAlignment="0" applyProtection="0"/>
    <xf numFmtId="0" fontId="12" fillId="16" borderId="11" applyNumberFormat="0" applyFont="0" applyAlignment="0" applyProtection="0"/>
    <xf numFmtId="0" fontId="54" fillId="36" borderId="0" applyNumberFormat="0">
      <alignment vertical="top"/>
    </xf>
    <xf numFmtId="0" fontId="12" fillId="0" borderId="0"/>
    <xf numFmtId="0" fontId="12" fillId="0" borderId="0"/>
    <xf numFmtId="0" fontId="12" fillId="16" borderId="11" applyNumberFormat="0" applyFont="0" applyAlignment="0" applyProtection="0"/>
    <xf numFmtId="0" fontId="12" fillId="0" borderId="0"/>
    <xf numFmtId="0" fontId="11" fillId="0" borderId="0"/>
    <xf numFmtId="9" fontId="11"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54" fillId="36" borderId="0" applyNumberFormat="0">
      <alignment vertical="top"/>
    </xf>
    <xf numFmtId="0" fontId="54" fillId="36" borderId="0" applyNumberFormat="0">
      <alignment vertical="top"/>
    </xf>
    <xf numFmtId="0" fontId="9" fillId="0" borderId="0"/>
    <xf numFmtId="0" fontId="9" fillId="16" borderId="11" applyNumberFormat="0" applyFont="0" applyAlignment="0" applyProtection="0"/>
    <xf numFmtId="0" fontId="54" fillId="36" borderId="0" applyNumberFormat="0">
      <alignment vertical="top"/>
    </xf>
    <xf numFmtId="0" fontId="9" fillId="0" borderId="0"/>
    <xf numFmtId="9" fontId="9" fillId="0" borderId="0" applyFont="0" applyFill="0" applyBorder="0" applyAlignment="0" applyProtection="0"/>
    <xf numFmtId="0" fontId="9" fillId="16" borderId="11" applyNumberFormat="0" applyFont="0" applyAlignment="0" applyProtection="0"/>
    <xf numFmtId="0" fontId="54" fillId="36" borderId="0" applyNumberFormat="0">
      <alignment vertical="top"/>
    </xf>
    <xf numFmtId="0" fontId="9" fillId="0" borderId="0"/>
    <xf numFmtId="0" fontId="9" fillId="0" borderId="0"/>
    <xf numFmtId="9" fontId="9" fillId="0" borderId="0" applyFont="0" applyFill="0" applyBorder="0" applyAlignment="0" applyProtection="0"/>
    <xf numFmtId="0" fontId="9" fillId="16" borderId="11" applyNumberFormat="0" applyFont="0" applyAlignment="0" applyProtection="0"/>
    <xf numFmtId="0" fontId="54" fillId="36" borderId="0" applyNumberFormat="0">
      <alignment vertical="top"/>
    </xf>
    <xf numFmtId="0" fontId="9" fillId="0" borderId="0"/>
    <xf numFmtId="0" fontId="9" fillId="0" borderId="0"/>
    <xf numFmtId="0" fontId="9" fillId="16" borderId="11" applyNumberFormat="0" applyFont="0" applyAlignment="0" applyProtection="0"/>
    <xf numFmtId="0" fontId="9" fillId="0" borderId="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9" fillId="0" borderId="0"/>
    <xf numFmtId="0" fontId="9" fillId="16" borderId="11" applyNumberFormat="0" applyFont="0" applyAlignment="0" applyProtection="0"/>
    <xf numFmtId="0" fontId="9" fillId="0" borderId="0"/>
    <xf numFmtId="9" fontId="9" fillId="0" borderId="0" applyFont="0" applyFill="0" applyBorder="0" applyAlignment="0" applyProtection="0"/>
    <xf numFmtId="0" fontId="9" fillId="16" borderId="11" applyNumberFormat="0" applyFont="0" applyAlignment="0" applyProtection="0"/>
    <xf numFmtId="0" fontId="9" fillId="0" borderId="0"/>
    <xf numFmtId="0" fontId="9" fillId="0" borderId="0"/>
    <xf numFmtId="9" fontId="9" fillId="0" borderId="0" applyFont="0" applyFill="0" applyBorder="0" applyAlignment="0" applyProtection="0"/>
    <xf numFmtId="0" fontId="9" fillId="16" borderId="11" applyNumberFormat="0" applyFont="0" applyAlignment="0" applyProtection="0"/>
    <xf numFmtId="0" fontId="9" fillId="0" borderId="0"/>
    <xf numFmtId="0" fontId="9" fillId="0" borderId="0"/>
    <xf numFmtId="0" fontId="9" fillId="16" borderId="11" applyNumberFormat="0" applyFont="0" applyAlignment="0" applyProtection="0"/>
    <xf numFmtId="0" fontId="9" fillId="0" borderId="0"/>
    <xf numFmtId="0" fontId="9" fillId="0" borderId="0"/>
    <xf numFmtId="0" fontId="41" fillId="0" borderId="6"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 fillId="16" borderId="11" applyNumberFormat="0" applyFont="0" applyAlignment="0" applyProtection="0"/>
    <xf numFmtId="0" fontId="92" fillId="0" borderId="5" applyNumberFormat="0" applyFill="0" applyAlignment="0" applyProtection="0"/>
    <xf numFmtId="0" fontId="41" fillId="0" borderId="6" applyNumberFormat="0" applyFill="0" applyAlignment="0" applyProtection="0"/>
    <xf numFmtId="0" fontId="9" fillId="0" borderId="0"/>
    <xf numFmtId="9" fontId="9" fillId="0" borderId="0" applyFont="0" applyFill="0" applyBorder="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 fillId="16" borderId="11" applyNumberFormat="0" applyFont="0" applyAlignment="0" applyProtection="0"/>
    <xf numFmtId="0" fontId="41" fillId="0" borderId="6" applyNumberFormat="0" applyFill="0" applyAlignment="0" applyProtection="0"/>
    <xf numFmtId="0" fontId="112" fillId="0" borderId="50" applyNumberFormat="0" applyProtection="0">
      <alignment wrapText="1"/>
    </xf>
    <xf numFmtId="0" fontId="129" fillId="0" borderId="0" applyNumberFormat="0" applyFill="0" applyBorder="0" applyAlignment="0" applyProtection="0"/>
    <xf numFmtId="0" fontId="115" fillId="0" borderId="0"/>
    <xf numFmtId="0" fontId="114" fillId="0" borderId="0"/>
    <xf numFmtId="0" fontId="105" fillId="0" borderId="0"/>
    <xf numFmtId="0" fontId="116" fillId="8" borderId="0" applyNumberFormat="0" applyBorder="0" applyAlignment="0" applyProtection="0"/>
    <xf numFmtId="0" fontId="117" fillId="14" borderId="4" applyNumberFormat="0" applyAlignment="0" applyProtection="0"/>
    <xf numFmtId="0" fontId="118" fillId="15" borderId="10" applyNumberFormat="0" applyAlignment="0" applyProtection="0"/>
    <xf numFmtId="0" fontId="119" fillId="0" borderId="0" applyNumberFormat="0" applyFill="0" applyBorder="0" applyAlignment="0" applyProtection="0"/>
    <xf numFmtId="0" fontId="120" fillId="9" borderId="0" applyNumberFormat="0" applyBorder="0" applyAlignment="0" applyProtection="0"/>
    <xf numFmtId="0" fontId="121" fillId="0" borderId="5" applyNumberFormat="0" applyFill="0" applyAlignment="0" applyProtection="0"/>
    <xf numFmtId="0" fontId="122" fillId="0" borderId="6" applyNumberFormat="0" applyFill="0" applyAlignment="0" applyProtection="0"/>
    <xf numFmtId="0" fontId="123" fillId="0" borderId="7" applyNumberFormat="0" applyFill="0" applyAlignment="0" applyProtection="0"/>
    <xf numFmtId="0" fontId="123" fillId="0" borderId="0" applyNumberFormat="0" applyFill="0" applyBorder="0" applyAlignment="0" applyProtection="0"/>
    <xf numFmtId="0" fontId="124" fillId="10" borderId="4" applyNumberFormat="0" applyAlignment="0" applyProtection="0"/>
    <xf numFmtId="0" fontId="125" fillId="0" borderId="9" applyNumberFormat="0" applyFill="0" applyAlignment="0" applyProtection="0"/>
    <xf numFmtId="0" fontId="126" fillId="13" borderId="0" applyNumberFormat="0" applyBorder="0" applyAlignment="0" applyProtection="0"/>
    <xf numFmtId="0" fontId="114" fillId="0" borderId="0"/>
    <xf numFmtId="0" fontId="114" fillId="16" borderId="11" applyNumberFormat="0" applyFont="0" applyAlignment="0" applyProtection="0"/>
    <xf numFmtId="0" fontId="127" fillId="14" borderId="8" applyNumberFormat="0" applyAlignment="0" applyProtection="0"/>
    <xf numFmtId="9" fontId="105" fillId="0" borderId="0" applyFont="0" applyFill="0" applyBorder="0" applyAlignment="0" applyProtection="0"/>
    <xf numFmtId="0" fontId="113" fillId="0" borderId="12" applyNumberFormat="0" applyFill="0" applyAlignment="0" applyProtection="0"/>
    <xf numFmtId="0" fontId="128" fillId="0" borderId="0" applyNumberFormat="0" applyFill="0" applyBorder="0" applyAlignment="0" applyProtection="0"/>
    <xf numFmtId="0" fontId="105" fillId="0" borderId="0"/>
    <xf numFmtId="0" fontId="114" fillId="0" borderId="0"/>
    <xf numFmtId="0" fontId="114" fillId="16" borderId="11" applyNumberFormat="0" applyFont="0" applyAlignment="0" applyProtection="0"/>
    <xf numFmtId="0" fontId="114" fillId="0" borderId="0"/>
    <xf numFmtId="0" fontId="114" fillId="16" borderId="11" applyNumberFormat="0" applyFont="0" applyAlignment="0" applyProtection="0"/>
    <xf numFmtId="0" fontId="114" fillId="0" borderId="0"/>
    <xf numFmtId="0" fontId="114" fillId="16" borderId="11" applyNumberFormat="0" applyFont="0" applyAlignment="0" applyProtection="0"/>
    <xf numFmtId="0" fontId="114" fillId="0" borderId="0"/>
    <xf numFmtId="9" fontId="114" fillId="0" borderId="0" applyFont="0" applyFill="0" applyBorder="0" applyAlignment="0" applyProtection="0"/>
    <xf numFmtId="0" fontId="114" fillId="16" borderId="11" applyNumberFormat="0" applyFont="0" applyAlignment="0" applyProtection="0"/>
    <xf numFmtId="0" fontId="114" fillId="0" borderId="0"/>
    <xf numFmtId="0" fontId="114" fillId="16" borderId="11" applyNumberFormat="0" applyFont="0" applyAlignment="0" applyProtection="0"/>
    <xf numFmtId="0" fontId="114" fillId="0" borderId="0"/>
    <xf numFmtId="0" fontId="114" fillId="16" borderId="11" applyNumberFormat="0" applyFont="0" applyAlignment="0" applyProtection="0"/>
    <xf numFmtId="9" fontId="114" fillId="0" borderId="0" applyFont="0" applyFill="0" applyBorder="0" applyAlignment="0" applyProtection="0"/>
    <xf numFmtId="0" fontId="114" fillId="0" borderId="0"/>
    <xf numFmtId="0" fontId="114" fillId="16" borderId="11" applyNumberFormat="0" applyFont="0" applyAlignment="0" applyProtection="0"/>
    <xf numFmtId="9" fontId="114" fillId="0" borderId="0" applyFont="0" applyFill="0" applyBorder="0" applyAlignment="0" applyProtection="0"/>
    <xf numFmtId="0" fontId="114" fillId="0" borderId="0"/>
    <xf numFmtId="0" fontId="114" fillId="16" borderId="11" applyNumberFormat="0" applyFont="0" applyAlignment="0" applyProtection="0"/>
    <xf numFmtId="0" fontId="114" fillId="0" borderId="0"/>
    <xf numFmtId="0" fontId="114" fillId="16" borderId="11" applyNumberFormat="0" applyFont="0" applyAlignment="0" applyProtection="0"/>
    <xf numFmtId="0" fontId="114" fillId="0" borderId="0"/>
    <xf numFmtId="0" fontId="114" fillId="16" borderId="11" applyNumberFormat="0" applyFont="0" applyAlignment="0" applyProtection="0"/>
    <xf numFmtId="0" fontId="129" fillId="0" borderId="47" applyNumberFormat="0" applyFont="0" applyProtection="0">
      <alignment wrapText="1"/>
    </xf>
    <xf numFmtId="0" fontId="92" fillId="0" borderId="5" applyNumberFormat="0" applyFill="0" applyAlignment="0" applyProtection="0"/>
    <xf numFmtId="0" fontId="121" fillId="0" borderId="5" applyNumberFormat="0" applyFill="0" applyAlignment="0" applyProtection="0"/>
    <xf numFmtId="0" fontId="92" fillId="0" borderId="5" applyNumberFormat="0" applyFill="0" applyAlignment="0" applyProtection="0"/>
    <xf numFmtId="0" fontId="122" fillId="0" borderId="6" applyNumberFormat="0" applyFill="0" applyAlignment="0" applyProtection="0"/>
    <xf numFmtId="0" fontId="92" fillId="0" borderId="5" applyNumberFormat="0" applyFill="0" applyAlignment="0" applyProtection="0"/>
    <xf numFmtId="0" fontId="112" fillId="0" borderId="49" applyNumberFormat="0" applyProtection="0">
      <alignment wrapText="1"/>
    </xf>
    <xf numFmtId="0" fontId="121" fillId="0" borderId="5" applyNumberFormat="0" applyFill="0" applyAlignment="0" applyProtection="0"/>
    <xf numFmtId="0" fontId="121" fillId="0" borderId="5" applyNumberFormat="0" applyFill="0" applyAlignment="0" applyProtection="0"/>
    <xf numFmtId="0" fontId="122" fillId="0" borderId="6"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122" fillId="0" borderId="6" applyNumberFormat="0" applyFill="0" applyAlignment="0" applyProtection="0"/>
    <xf numFmtId="0" fontId="41" fillId="0" borderId="6" applyNumberFormat="0" applyFill="0" applyAlignment="0" applyProtection="0"/>
    <xf numFmtId="0" fontId="129" fillId="0" borderId="0"/>
    <xf numFmtId="0" fontId="41" fillId="0" borderId="6" applyNumberFormat="0" applyFill="0" applyAlignment="0" applyProtection="0"/>
    <xf numFmtId="0" fontId="41" fillId="0" borderId="6" applyNumberFormat="0" applyFill="0" applyAlignment="0" applyProtection="0"/>
    <xf numFmtId="0" fontId="130" fillId="0" borderId="0" applyNumberFormat="0" applyProtection="0">
      <alignment horizontal="left"/>
    </xf>
    <xf numFmtId="0" fontId="92" fillId="0" borderId="5" applyNumberFormat="0" applyFill="0" applyAlignment="0" applyProtection="0"/>
    <xf numFmtId="0" fontId="129" fillId="0" borderId="48" applyNumberFormat="0" applyProtection="0">
      <alignment wrapText="1"/>
    </xf>
    <xf numFmtId="0" fontId="9" fillId="0" borderId="0"/>
    <xf numFmtId="0" fontId="105" fillId="0" borderId="0"/>
    <xf numFmtId="0" fontId="121" fillId="0" borderId="5" applyNumberFormat="0" applyFill="0" applyAlignment="0" applyProtection="0"/>
    <xf numFmtId="0" fontId="122" fillId="0" borderId="6" applyNumberFormat="0" applyFill="0" applyAlignment="0" applyProtection="0"/>
    <xf numFmtId="0" fontId="122" fillId="0" borderId="6"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2" fillId="0" borderId="6" applyNumberFormat="0" applyFill="0" applyAlignment="0" applyProtection="0"/>
    <xf numFmtId="9" fontId="9" fillId="0" borderId="0" applyFont="0" applyFill="0" applyBorder="0" applyAlignment="0" applyProtection="0"/>
    <xf numFmtId="0" fontId="9" fillId="0" borderId="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 fillId="16" borderId="11" applyNumberFormat="0" applyFont="0" applyAlignment="0" applyProtection="0"/>
    <xf numFmtId="0" fontId="41" fillId="0" borderId="6"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92" fillId="0" borderId="5" applyNumberFormat="0" applyFill="0" applyAlignment="0" applyProtection="0"/>
    <xf numFmtId="0" fontId="54" fillId="36" borderId="0" applyNumberFormat="0">
      <alignment vertical="top"/>
    </xf>
    <xf numFmtId="0" fontId="54" fillId="36" borderId="0" applyNumberFormat="0">
      <alignment vertical="top"/>
    </xf>
    <xf numFmtId="0" fontId="54" fillId="36" borderId="0" applyNumberFormat="0">
      <alignment vertical="top"/>
    </xf>
    <xf numFmtId="0" fontId="54" fillId="36" borderId="0" applyNumberFormat="0">
      <alignment vertical="top"/>
    </xf>
    <xf numFmtId="0" fontId="54" fillId="36" borderId="0" applyNumberFormat="0">
      <alignment vertical="top"/>
    </xf>
    <xf numFmtId="0" fontId="54" fillId="36" borderId="0" applyNumberFormat="0">
      <alignment vertical="top"/>
    </xf>
    <xf numFmtId="0" fontId="54" fillId="36" borderId="0" applyNumberFormat="0">
      <alignment vertical="top"/>
    </xf>
    <xf numFmtId="0" fontId="8" fillId="0" borderId="0"/>
    <xf numFmtId="43" fontId="7" fillId="0" borderId="0" applyFont="0" applyFill="0" applyBorder="0" applyAlignment="0" applyProtection="0"/>
    <xf numFmtId="0" fontId="7" fillId="0" borderId="0"/>
    <xf numFmtId="0" fontId="134" fillId="0" borderId="0" applyNumberFormat="0" applyFill="0" applyBorder="0" applyAlignment="0" applyProtection="0"/>
    <xf numFmtId="0" fontId="92" fillId="0" borderId="5" applyNumberFormat="0" applyFill="0" applyAlignment="0" applyProtection="0"/>
    <xf numFmtId="0" fontId="41" fillId="0" borderId="6" applyNumberFormat="0" applyFill="0" applyAlignment="0" applyProtection="0"/>
    <xf numFmtId="0" fontId="7" fillId="16" borderId="11" applyNumberFormat="0" applyFont="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92"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5"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5" fillId="0" borderId="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0" fontId="6" fillId="16" borderId="1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4" fillId="38" borderId="0" applyNumberFormat="0">
      <alignment horizontal="left" vertical="top" indent="1"/>
    </xf>
    <xf numFmtId="0" fontId="45" fillId="14" borderId="4" applyNumberFormat="0" applyAlignment="0" applyProtection="0"/>
    <xf numFmtId="0" fontId="117" fillId="14" borderId="4" applyNumberFormat="0" applyAlignment="0" applyProtection="0"/>
    <xf numFmtId="176" fontId="70" fillId="0" borderId="0" applyFill="0" applyBorder="0">
      <alignment vertical="top"/>
    </xf>
    <xf numFmtId="0" fontId="92"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41" fillId="0" borderId="6" applyNumberFormat="0" applyFill="0" applyAlignment="0" applyProtection="0"/>
    <xf numFmtId="0" fontId="122" fillId="0" borderId="6" applyNumberFormat="0" applyFill="0" applyAlignment="0" applyProtection="0"/>
    <xf numFmtId="0" fontId="122" fillId="0" borderId="6" applyNumberFormat="0" applyFill="0" applyAlignment="0" applyProtection="0"/>
    <xf numFmtId="0" fontId="122" fillId="0" borderId="6" applyNumberFormat="0" applyFill="0" applyAlignment="0" applyProtection="0"/>
    <xf numFmtId="0" fontId="122" fillId="0" borderId="6" applyNumberFormat="0" applyFill="0" applyAlignment="0" applyProtection="0"/>
    <xf numFmtId="0" fontId="122" fillId="0" borderId="6" applyNumberFormat="0" applyFill="0" applyAlignment="0" applyProtection="0"/>
    <xf numFmtId="0" fontId="122" fillId="0" borderId="6" applyNumberFormat="0" applyFill="0" applyAlignment="0" applyProtection="0"/>
    <xf numFmtId="0" fontId="122" fillId="0" borderId="6" applyNumberFormat="0" applyFill="0" applyAlignment="0" applyProtection="0"/>
    <xf numFmtId="0" fontId="106" fillId="0" borderId="0" applyNumberFormat="0" applyFill="0" applyBorder="0" applyAlignment="0" applyProtection="0">
      <alignment vertical="top"/>
      <protection locked="0"/>
    </xf>
    <xf numFmtId="0" fontId="114" fillId="0" borderId="0"/>
    <xf numFmtId="0" fontId="114" fillId="0" borderId="0"/>
    <xf numFmtId="0" fontId="114" fillId="0" borderId="0"/>
    <xf numFmtId="0" fontId="105" fillId="0" borderId="0"/>
    <xf numFmtId="0" fontId="129" fillId="0" borderId="0"/>
    <xf numFmtId="0" fontId="94" fillId="36" borderId="0">
      <alignment vertical="top"/>
    </xf>
    <xf numFmtId="0" fontId="114" fillId="0" borderId="0"/>
    <xf numFmtId="0" fontId="105" fillId="0" borderId="0"/>
    <xf numFmtId="0" fontId="115" fillId="0" borderId="0"/>
    <xf numFmtId="0" fontId="6" fillId="0" borderId="0"/>
    <xf numFmtId="0" fontId="6" fillId="0" borderId="0"/>
    <xf numFmtId="0" fontId="105" fillId="0" borderId="0"/>
    <xf numFmtId="0" fontId="6" fillId="0" borderId="0"/>
    <xf numFmtId="0" fontId="6" fillId="0" borderId="0"/>
    <xf numFmtId="0" fontId="6" fillId="0" borderId="0"/>
    <xf numFmtId="0" fontId="114" fillId="0" borderId="0"/>
    <xf numFmtId="0" fontId="6" fillId="0" borderId="0"/>
    <xf numFmtId="0" fontId="114" fillId="0" borderId="0"/>
    <xf numFmtId="0" fontId="6" fillId="0" borderId="0"/>
    <xf numFmtId="0" fontId="6" fillId="0" borderId="0"/>
    <xf numFmtId="0" fontId="114" fillId="0" borderId="0"/>
    <xf numFmtId="0" fontId="6" fillId="0" borderId="0"/>
    <xf numFmtId="0" fontId="114" fillId="0" borderId="0"/>
    <xf numFmtId="0" fontId="105" fillId="0" borderId="0"/>
    <xf numFmtId="0" fontId="114" fillId="0" borderId="0"/>
    <xf numFmtId="0" fontId="105" fillId="0" borderId="0"/>
    <xf numFmtId="0" fontId="114" fillId="0" borderId="0"/>
    <xf numFmtId="0" fontId="54" fillId="36" borderId="0" applyNumberFormat="0">
      <alignment vertical="top"/>
    </xf>
    <xf numFmtId="0" fontId="114" fillId="0" borderId="0"/>
    <xf numFmtId="9" fontId="6" fillId="0" borderId="0" applyFont="0" applyFill="0" applyBorder="0" applyAlignment="0" applyProtection="0"/>
    <xf numFmtId="9" fontId="6" fillId="0" borderId="0" applyFont="0" applyFill="0" applyBorder="0" applyAlignment="0" applyProtection="0"/>
    <xf numFmtId="0" fontId="77" fillId="36" borderId="0" applyNumberFormat="0" applyAlignment="0" applyProtection="0">
      <alignment horizontal="left" indent="2"/>
    </xf>
    <xf numFmtId="0" fontId="54" fillId="38" borderId="0" applyNumberFormat="0">
      <alignment horizontal="left" vertical="top" indent="1"/>
    </xf>
    <xf numFmtId="0" fontId="54" fillId="36" borderId="0" applyNumberFormat="0">
      <alignment vertical="top"/>
    </xf>
    <xf numFmtId="0" fontId="54" fillId="38" borderId="0" applyNumberFormat="0">
      <alignment horizontal="left" vertical="top" indent="1"/>
    </xf>
    <xf numFmtId="0" fontId="54" fillId="36" borderId="0" applyNumberFormat="0">
      <alignment vertical="top"/>
    </xf>
    <xf numFmtId="0" fontId="54" fillId="36" borderId="0" applyNumberFormat="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36" borderId="0" applyNumberFormat="0">
      <alignment vertical="top"/>
    </xf>
    <xf numFmtId="0" fontId="94" fillId="36" borderId="0">
      <alignment vertical="top"/>
    </xf>
    <xf numFmtId="0" fontId="5" fillId="0" borderId="0"/>
    <xf numFmtId="0" fontId="5" fillId="16" borderId="11" applyNumberFormat="0" applyFont="0" applyAlignment="0" applyProtection="0"/>
    <xf numFmtId="0" fontId="5" fillId="0" borderId="0"/>
    <xf numFmtId="9" fontId="5" fillId="0" borderId="0" applyFont="0" applyFill="0" applyBorder="0" applyAlignment="0" applyProtection="0"/>
    <xf numFmtId="0" fontId="5" fillId="16" borderId="11" applyNumberFormat="0" applyFont="0" applyAlignment="0" applyProtection="0"/>
    <xf numFmtId="0" fontId="5" fillId="0" borderId="0"/>
    <xf numFmtId="0" fontId="5" fillId="0" borderId="0"/>
    <xf numFmtId="9" fontId="5" fillId="0" borderId="0" applyFont="0" applyFill="0" applyBorder="0" applyAlignment="0" applyProtection="0"/>
    <xf numFmtId="0" fontId="5" fillId="16" borderId="11" applyNumberFormat="0" applyFont="0" applyAlignment="0" applyProtection="0"/>
    <xf numFmtId="0" fontId="5" fillId="0" borderId="0"/>
    <xf numFmtId="0" fontId="5" fillId="0" borderId="0"/>
    <xf numFmtId="0" fontId="5" fillId="16" borderId="11" applyNumberFormat="0" applyFont="0" applyAlignment="0" applyProtection="0"/>
    <xf numFmtId="0" fontId="5" fillId="0" borderId="0"/>
    <xf numFmtId="0" fontId="5" fillId="0" borderId="0"/>
    <xf numFmtId="0" fontId="5" fillId="16" borderId="11" applyNumberFormat="0" applyFont="0" applyAlignment="0" applyProtection="0"/>
    <xf numFmtId="0" fontId="5" fillId="0" borderId="0"/>
    <xf numFmtId="9" fontId="5" fillId="0" borderId="0" applyFont="0" applyFill="0" applyBorder="0" applyAlignment="0" applyProtection="0"/>
    <xf numFmtId="0" fontId="5" fillId="16" borderId="11" applyNumberFormat="0" applyFont="0" applyAlignment="0" applyProtection="0"/>
    <xf numFmtId="0" fontId="5" fillId="0" borderId="0"/>
    <xf numFmtId="0" fontId="5" fillId="0" borderId="0"/>
    <xf numFmtId="9" fontId="5" fillId="0" borderId="0" applyFont="0" applyFill="0" applyBorder="0" applyAlignment="0" applyProtection="0"/>
    <xf numFmtId="0" fontId="5" fillId="16" borderId="11" applyNumberFormat="0" applyFont="0" applyAlignment="0" applyProtection="0"/>
    <xf numFmtId="0" fontId="5" fillId="0" borderId="0"/>
    <xf numFmtId="0" fontId="5" fillId="0" borderId="0"/>
    <xf numFmtId="0" fontId="5" fillId="16" borderId="11" applyNumberFormat="0" applyFont="0" applyAlignment="0" applyProtection="0"/>
    <xf numFmtId="0" fontId="5" fillId="0" borderId="0"/>
    <xf numFmtId="0" fontId="5" fillId="0" borderId="0"/>
    <xf numFmtId="0" fontId="5" fillId="16" borderId="11" applyNumberFormat="0" applyFont="0" applyAlignment="0" applyProtection="0"/>
    <xf numFmtId="0" fontId="5" fillId="0" borderId="0"/>
    <xf numFmtId="9" fontId="5" fillId="0" borderId="0" applyFont="0" applyFill="0" applyBorder="0" applyAlignment="0" applyProtection="0"/>
    <xf numFmtId="0" fontId="5" fillId="16" borderId="11" applyNumberFormat="0" applyFont="0" applyAlignment="0" applyProtection="0"/>
    <xf numFmtId="0" fontId="5" fillId="0" borderId="0"/>
    <xf numFmtId="9" fontId="5" fillId="0" borderId="0" applyFont="0" applyFill="0" applyBorder="0" applyAlignment="0" applyProtection="0"/>
    <xf numFmtId="0" fontId="5" fillId="0" borderId="0"/>
    <xf numFmtId="0" fontId="5" fillId="16" borderId="11" applyNumberFormat="0" applyFont="0" applyAlignment="0" applyProtection="0"/>
    <xf numFmtId="0" fontId="5" fillId="0" borderId="0"/>
    <xf numFmtId="9" fontId="5" fillId="0" borderId="0" applyFont="0" applyFill="0" applyBorder="0" applyAlignment="0" applyProtection="0"/>
    <xf numFmtId="0" fontId="5" fillId="16" borderId="11" applyNumberFormat="0" applyFont="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0" fillId="0" borderId="0"/>
    <xf numFmtId="0" fontId="5" fillId="16" borderId="1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0" fontId="5" fillId="16" borderId="11"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6" borderId="11" applyNumberFormat="0" applyFont="0" applyAlignment="0" applyProtection="0"/>
    <xf numFmtId="0" fontId="5" fillId="0" borderId="0"/>
    <xf numFmtId="0" fontId="5" fillId="0" borderId="0"/>
    <xf numFmtId="0" fontId="5" fillId="0" borderId="0"/>
    <xf numFmtId="0" fontId="5" fillId="16" borderId="11" applyNumberFormat="0" applyFont="0" applyAlignment="0" applyProtection="0"/>
    <xf numFmtId="0" fontId="5" fillId="0" borderId="0"/>
    <xf numFmtId="0" fontId="5" fillId="0" borderId="0"/>
    <xf numFmtId="0" fontId="4" fillId="0" borderId="0"/>
    <xf numFmtId="0" fontId="4" fillId="0" borderId="0"/>
    <xf numFmtId="0" fontId="3" fillId="18"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9"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43"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9"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3" fillId="18"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20"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0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43" fontId="105" fillId="0" borderId="0" applyFont="0" applyFill="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43" fontId="105" fillId="0" borderId="0" applyFont="0" applyFill="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43" fontId="114" fillId="0" borderId="0" applyFont="0" applyFill="0" applyBorder="0" applyAlignment="0" applyProtection="0"/>
    <xf numFmtId="0" fontId="114" fillId="18" borderId="0" applyNumberFormat="0" applyBorder="0" applyAlignment="0" applyProtection="0"/>
    <xf numFmtId="0" fontId="114" fillId="22" borderId="0" applyNumberFormat="0" applyBorder="0" applyAlignment="0" applyProtection="0"/>
    <xf numFmtId="0" fontId="114" fillId="41" borderId="0" applyNumberFormat="0" applyBorder="0" applyAlignment="0" applyProtection="0"/>
    <xf numFmtId="0" fontId="114" fillId="29" borderId="0" applyNumberFormat="0" applyBorder="0" applyAlignment="0" applyProtection="0"/>
    <xf numFmtId="0" fontId="114" fillId="3" borderId="0" applyNumberFormat="0" applyBorder="0" applyAlignment="0" applyProtection="0"/>
    <xf numFmtId="0" fontId="114" fillId="4" borderId="0" applyNumberFormat="0" applyBorder="0" applyAlignment="0" applyProtection="0"/>
    <xf numFmtId="0" fontId="114" fillId="19" borderId="0" applyNumberFormat="0" applyBorder="0" applyAlignment="0" applyProtection="0"/>
    <xf numFmtId="0" fontId="114" fillId="23" borderId="0" applyNumberFormat="0" applyBorder="0" applyAlignment="0" applyProtection="0"/>
    <xf numFmtId="0" fontId="114" fillId="26" borderId="0" applyNumberFormat="0" applyBorder="0" applyAlignment="0" applyProtection="0"/>
    <xf numFmtId="0" fontId="114" fillId="30" borderId="0" applyNumberFormat="0" applyBorder="0" applyAlignment="0" applyProtection="0"/>
    <xf numFmtId="0" fontId="114" fillId="5" borderId="0" applyNumberFormat="0" applyBorder="0" applyAlignment="0" applyProtection="0"/>
    <xf numFmtId="0" fontId="114" fillId="33" borderId="0" applyNumberFormat="0" applyBorder="0" applyAlignment="0" applyProtection="0"/>
    <xf numFmtId="0" fontId="137" fillId="20" borderId="0" applyNumberFormat="0" applyBorder="0" applyAlignment="0" applyProtection="0"/>
    <xf numFmtId="0" fontId="137" fillId="24" borderId="0" applyNumberFormat="0" applyBorder="0" applyAlignment="0" applyProtection="0"/>
    <xf numFmtId="0" fontId="137" fillId="27" borderId="0" applyNumberFormat="0" applyBorder="0" applyAlignment="0" applyProtection="0"/>
    <xf numFmtId="0" fontId="137" fillId="31" borderId="0" applyNumberFormat="0" applyBorder="0" applyAlignment="0" applyProtection="0"/>
    <xf numFmtId="0" fontId="137" fillId="32" borderId="0" applyNumberFormat="0" applyBorder="0" applyAlignment="0" applyProtection="0"/>
    <xf numFmtId="0" fontId="137" fillId="34" borderId="0" applyNumberFormat="0" applyBorder="0" applyAlignment="0" applyProtection="0"/>
    <xf numFmtId="0" fontId="137" fillId="17" borderId="0" applyNumberFormat="0" applyBorder="0" applyAlignment="0" applyProtection="0"/>
    <xf numFmtId="0" fontId="137" fillId="21" borderId="0" applyNumberFormat="0" applyBorder="0" applyAlignment="0" applyProtection="0"/>
    <xf numFmtId="0" fontId="137" fillId="25" borderId="0" applyNumberFormat="0" applyBorder="0" applyAlignment="0" applyProtection="0"/>
    <xf numFmtId="0" fontId="137" fillId="28" borderId="0" applyNumberFormat="0" applyBorder="0" applyAlignment="0" applyProtection="0"/>
    <xf numFmtId="0" fontId="137" fillId="6" borderId="0" applyNumberFormat="0" applyBorder="0" applyAlignment="0" applyProtection="0"/>
    <xf numFmtId="0" fontId="137" fillId="7" borderId="0" applyNumberFormat="0" applyBorder="0" applyAlignment="0" applyProtection="0"/>
    <xf numFmtId="43" fontId="105" fillId="0" borderId="0" applyFont="0" applyFill="0" applyBorder="0" applyAlignment="0" applyProtection="0"/>
    <xf numFmtId="0" fontId="114" fillId="18" borderId="0" applyNumberFormat="0" applyBorder="0" applyAlignment="0" applyProtection="0"/>
    <xf numFmtId="0" fontId="114" fillId="19"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41" borderId="0" applyNumberFormat="0" applyBorder="0" applyAlignment="0" applyProtection="0"/>
    <xf numFmtId="0" fontId="114" fillId="26" borderId="0" applyNumberFormat="0" applyBorder="0" applyAlignment="0" applyProtection="0"/>
    <xf numFmtId="0" fontId="114" fillId="29" borderId="0" applyNumberFormat="0" applyBorder="0" applyAlignment="0" applyProtection="0"/>
    <xf numFmtId="0" fontId="114" fillId="30" borderId="0" applyNumberFormat="0" applyBorder="0" applyAlignment="0" applyProtection="0"/>
    <xf numFmtId="0" fontId="114" fillId="3" borderId="0" applyNumberFormat="0" applyBorder="0" applyAlignment="0" applyProtection="0"/>
    <xf numFmtId="0" fontId="114" fillId="5" borderId="0" applyNumberFormat="0" applyBorder="0" applyAlignment="0" applyProtection="0"/>
    <xf numFmtId="0" fontId="114" fillId="4" borderId="0" applyNumberFormat="0" applyBorder="0" applyAlignment="0" applyProtection="0"/>
    <xf numFmtId="0" fontId="114" fillId="33" borderId="0" applyNumberFormat="0" applyBorder="0" applyAlignment="0" applyProtection="0"/>
    <xf numFmtId="0" fontId="114" fillId="18" borderId="0" applyNumberFormat="0" applyBorder="0" applyAlignment="0" applyProtection="0"/>
    <xf numFmtId="0" fontId="114" fillId="19"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41" borderId="0" applyNumberFormat="0" applyBorder="0" applyAlignment="0" applyProtection="0"/>
    <xf numFmtId="0" fontId="114" fillId="26" borderId="0" applyNumberFormat="0" applyBorder="0" applyAlignment="0" applyProtection="0"/>
    <xf numFmtId="0" fontId="114" fillId="29" borderId="0" applyNumberFormat="0" applyBorder="0" applyAlignment="0" applyProtection="0"/>
    <xf numFmtId="0" fontId="114" fillId="30" borderId="0" applyNumberFormat="0" applyBorder="0" applyAlignment="0" applyProtection="0"/>
    <xf numFmtId="0" fontId="114" fillId="3" borderId="0" applyNumberFormat="0" applyBorder="0" applyAlignment="0" applyProtection="0"/>
    <xf numFmtId="0" fontId="114" fillId="5" borderId="0" applyNumberFormat="0" applyBorder="0" applyAlignment="0" applyProtection="0"/>
    <xf numFmtId="0" fontId="114" fillId="4" borderId="0" applyNumberFormat="0" applyBorder="0" applyAlignment="0" applyProtection="0"/>
    <xf numFmtId="0" fontId="114" fillId="33" borderId="0" applyNumberFormat="0" applyBorder="0" applyAlignment="0" applyProtection="0"/>
    <xf numFmtId="0" fontId="114" fillId="18" borderId="0" applyNumberFormat="0" applyBorder="0" applyAlignment="0" applyProtection="0"/>
    <xf numFmtId="0" fontId="114" fillId="19"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41" borderId="0" applyNumberFormat="0" applyBorder="0" applyAlignment="0" applyProtection="0"/>
    <xf numFmtId="0" fontId="114" fillId="26" borderId="0" applyNumberFormat="0" applyBorder="0" applyAlignment="0" applyProtection="0"/>
    <xf numFmtId="0" fontId="114" fillId="29" borderId="0" applyNumberFormat="0" applyBorder="0" applyAlignment="0" applyProtection="0"/>
    <xf numFmtId="0" fontId="114" fillId="30" borderId="0" applyNumberFormat="0" applyBorder="0" applyAlignment="0" applyProtection="0"/>
    <xf numFmtId="0" fontId="114" fillId="3" borderId="0" applyNumberFormat="0" applyBorder="0" applyAlignment="0" applyProtection="0"/>
    <xf numFmtId="0" fontId="114" fillId="5" borderId="0" applyNumberFormat="0" applyBorder="0" applyAlignment="0" applyProtection="0"/>
    <xf numFmtId="0" fontId="114" fillId="4" borderId="0" applyNumberFormat="0" applyBorder="0" applyAlignment="0" applyProtection="0"/>
    <xf numFmtId="0" fontId="114" fillId="33" borderId="0" applyNumberFormat="0" applyBorder="0" applyAlignment="0" applyProtection="0"/>
    <xf numFmtId="0" fontId="114" fillId="18" borderId="0" applyNumberFormat="0" applyBorder="0" applyAlignment="0" applyProtection="0"/>
    <xf numFmtId="0" fontId="114" fillId="19"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41" borderId="0" applyNumberFormat="0" applyBorder="0" applyAlignment="0" applyProtection="0"/>
    <xf numFmtId="0" fontId="114" fillId="26" borderId="0" applyNumberFormat="0" applyBorder="0" applyAlignment="0" applyProtection="0"/>
    <xf numFmtId="0" fontId="114" fillId="29" borderId="0" applyNumberFormat="0" applyBorder="0" applyAlignment="0" applyProtection="0"/>
    <xf numFmtId="0" fontId="114" fillId="30" borderId="0" applyNumberFormat="0" applyBorder="0" applyAlignment="0" applyProtection="0"/>
    <xf numFmtId="0" fontId="114" fillId="3" borderId="0" applyNumberFormat="0" applyBorder="0" applyAlignment="0" applyProtection="0"/>
    <xf numFmtId="0" fontId="114" fillId="5" borderId="0" applyNumberFormat="0" applyBorder="0" applyAlignment="0" applyProtection="0"/>
    <xf numFmtId="0" fontId="114" fillId="4" borderId="0" applyNumberFormat="0" applyBorder="0" applyAlignment="0" applyProtection="0"/>
    <xf numFmtId="0" fontId="114" fillId="33" borderId="0" applyNumberFormat="0" applyBorder="0" applyAlignment="0" applyProtection="0"/>
    <xf numFmtId="0" fontId="114" fillId="18" borderId="0" applyNumberFormat="0" applyBorder="0" applyAlignment="0" applyProtection="0"/>
    <xf numFmtId="0" fontId="114" fillId="19"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41" borderId="0" applyNumberFormat="0" applyBorder="0" applyAlignment="0" applyProtection="0"/>
    <xf numFmtId="0" fontId="114" fillId="26" borderId="0" applyNumberFormat="0" applyBorder="0" applyAlignment="0" applyProtection="0"/>
    <xf numFmtId="0" fontId="114" fillId="29" borderId="0" applyNumberFormat="0" applyBorder="0" applyAlignment="0" applyProtection="0"/>
    <xf numFmtId="0" fontId="114" fillId="30" borderId="0" applyNumberFormat="0" applyBorder="0" applyAlignment="0" applyProtection="0"/>
    <xf numFmtId="0" fontId="114" fillId="3" borderId="0" applyNumberFormat="0" applyBorder="0" applyAlignment="0" applyProtection="0"/>
    <xf numFmtId="0" fontId="114" fillId="5" borderId="0" applyNumberFormat="0" applyBorder="0" applyAlignment="0" applyProtection="0"/>
    <xf numFmtId="0" fontId="114" fillId="4" borderId="0" applyNumberFormat="0" applyBorder="0" applyAlignment="0" applyProtection="0"/>
    <xf numFmtId="0" fontId="114" fillId="33" borderId="0" applyNumberFormat="0" applyBorder="0" applyAlignment="0" applyProtection="0"/>
    <xf numFmtId="0" fontId="114" fillId="18" borderId="0" applyNumberFormat="0" applyBorder="0" applyAlignment="0" applyProtection="0"/>
    <xf numFmtId="0" fontId="114" fillId="19"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41" borderId="0" applyNumberFormat="0" applyBorder="0" applyAlignment="0" applyProtection="0"/>
    <xf numFmtId="0" fontId="114" fillId="26" borderId="0" applyNumberFormat="0" applyBorder="0" applyAlignment="0" applyProtection="0"/>
    <xf numFmtId="0" fontId="114" fillId="29" borderId="0" applyNumberFormat="0" applyBorder="0" applyAlignment="0" applyProtection="0"/>
    <xf numFmtId="0" fontId="114" fillId="30" borderId="0" applyNumberFormat="0" applyBorder="0" applyAlignment="0" applyProtection="0"/>
    <xf numFmtId="0" fontId="114" fillId="3" borderId="0" applyNumberFormat="0" applyBorder="0" applyAlignment="0" applyProtection="0"/>
    <xf numFmtId="0" fontId="114" fillId="5" borderId="0" applyNumberFormat="0" applyBorder="0" applyAlignment="0" applyProtection="0"/>
    <xf numFmtId="0" fontId="114" fillId="4" borderId="0" applyNumberFormat="0" applyBorder="0" applyAlignment="0" applyProtection="0"/>
    <xf numFmtId="0" fontId="114" fillId="33" borderId="0" applyNumberFormat="0" applyBorder="0" applyAlignment="0" applyProtection="0"/>
    <xf numFmtId="43" fontId="114" fillId="0" borderId="0" applyFont="0" applyFill="0" applyBorder="0" applyAlignment="0" applyProtection="0"/>
    <xf numFmtId="0" fontId="114" fillId="18" borderId="0" applyNumberFormat="0" applyBorder="0" applyAlignment="0" applyProtection="0"/>
    <xf numFmtId="0" fontId="114" fillId="19"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41" borderId="0" applyNumberFormat="0" applyBorder="0" applyAlignment="0" applyProtection="0"/>
    <xf numFmtId="0" fontId="114" fillId="26" borderId="0" applyNumberFormat="0" applyBorder="0" applyAlignment="0" applyProtection="0"/>
    <xf numFmtId="0" fontId="114" fillId="29" borderId="0" applyNumberFormat="0" applyBorder="0" applyAlignment="0" applyProtection="0"/>
    <xf numFmtId="0" fontId="114" fillId="30" borderId="0" applyNumberFormat="0" applyBorder="0" applyAlignment="0" applyProtection="0"/>
    <xf numFmtId="0" fontId="114" fillId="3" borderId="0" applyNumberFormat="0" applyBorder="0" applyAlignment="0" applyProtection="0"/>
    <xf numFmtId="0" fontId="114" fillId="5" borderId="0" applyNumberFormat="0" applyBorder="0" applyAlignment="0" applyProtection="0"/>
    <xf numFmtId="0" fontId="114" fillId="4" borderId="0" applyNumberFormat="0" applyBorder="0" applyAlignment="0" applyProtection="0"/>
    <xf numFmtId="0" fontId="114" fillId="33" borderId="0" applyNumberFormat="0" applyBorder="0" applyAlignment="0" applyProtection="0"/>
    <xf numFmtId="43" fontId="114" fillId="0" borderId="0" applyFont="0" applyFill="0" applyBorder="0" applyAlignment="0" applyProtection="0"/>
    <xf numFmtId="0" fontId="114" fillId="18" borderId="0" applyNumberFormat="0" applyBorder="0" applyAlignment="0" applyProtection="0"/>
    <xf numFmtId="0" fontId="114" fillId="19"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41" borderId="0" applyNumberFormat="0" applyBorder="0" applyAlignment="0" applyProtection="0"/>
    <xf numFmtId="0" fontId="114" fillId="26" borderId="0" applyNumberFormat="0" applyBorder="0" applyAlignment="0" applyProtection="0"/>
    <xf numFmtId="0" fontId="114" fillId="29" borderId="0" applyNumberFormat="0" applyBorder="0" applyAlignment="0" applyProtection="0"/>
    <xf numFmtId="0" fontId="114" fillId="30" borderId="0" applyNumberFormat="0" applyBorder="0" applyAlignment="0" applyProtection="0"/>
    <xf numFmtId="0" fontId="114" fillId="3" borderId="0" applyNumberFormat="0" applyBorder="0" applyAlignment="0" applyProtection="0"/>
    <xf numFmtId="0" fontId="114" fillId="5" borderId="0" applyNumberFormat="0" applyBorder="0" applyAlignment="0" applyProtection="0"/>
    <xf numFmtId="0" fontId="114" fillId="4" borderId="0" applyNumberFormat="0" applyBorder="0" applyAlignment="0" applyProtection="0"/>
    <xf numFmtId="0" fontId="114" fillId="33" borderId="0" applyNumberFormat="0" applyBorder="0" applyAlignment="0" applyProtection="0"/>
    <xf numFmtId="0" fontId="114" fillId="18" borderId="0" applyNumberFormat="0" applyBorder="0" applyAlignment="0" applyProtection="0"/>
    <xf numFmtId="0" fontId="114" fillId="19"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41" borderId="0" applyNumberFormat="0" applyBorder="0" applyAlignment="0" applyProtection="0"/>
    <xf numFmtId="0" fontId="114" fillId="26" borderId="0" applyNumberFormat="0" applyBorder="0" applyAlignment="0" applyProtection="0"/>
    <xf numFmtId="0" fontId="114" fillId="29" borderId="0" applyNumberFormat="0" applyBorder="0" applyAlignment="0" applyProtection="0"/>
    <xf numFmtId="0" fontId="114" fillId="30" borderId="0" applyNumberFormat="0" applyBorder="0" applyAlignment="0" applyProtection="0"/>
    <xf numFmtId="0" fontId="114" fillId="3" borderId="0" applyNumberFormat="0" applyBorder="0" applyAlignment="0" applyProtection="0"/>
    <xf numFmtId="0" fontId="114" fillId="5" borderId="0" applyNumberFormat="0" applyBorder="0" applyAlignment="0" applyProtection="0"/>
    <xf numFmtId="0" fontId="114" fillId="4" borderId="0" applyNumberFormat="0" applyBorder="0" applyAlignment="0" applyProtection="0"/>
    <xf numFmtId="0" fontId="114" fillId="33" borderId="0" applyNumberFormat="0" applyBorder="0" applyAlignment="0" applyProtection="0"/>
    <xf numFmtId="0" fontId="114" fillId="18" borderId="0" applyNumberFormat="0" applyBorder="0" applyAlignment="0" applyProtection="0"/>
    <xf numFmtId="0" fontId="114" fillId="19"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41" borderId="0" applyNumberFormat="0" applyBorder="0" applyAlignment="0" applyProtection="0"/>
    <xf numFmtId="0" fontId="114" fillId="26" borderId="0" applyNumberFormat="0" applyBorder="0" applyAlignment="0" applyProtection="0"/>
    <xf numFmtId="0" fontId="114" fillId="29" borderId="0" applyNumberFormat="0" applyBorder="0" applyAlignment="0" applyProtection="0"/>
    <xf numFmtId="0" fontId="114" fillId="30" borderId="0" applyNumberFormat="0" applyBorder="0" applyAlignment="0" applyProtection="0"/>
    <xf numFmtId="0" fontId="114" fillId="3" borderId="0" applyNumberFormat="0" applyBorder="0" applyAlignment="0" applyProtection="0"/>
    <xf numFmtId="0" fontId="114" fillId="5" borderId="0" applyNumberFormat="0" applyBorder="0" applyAlignment="0" applyProtection="0"/>
    <xf numFmtId="0" fontId="114" fillId="4" borderId="0" applyNumberFormat="0" applyBorder="0" applyAlignment="0" applyProtection="0"/>
    <xf numFmtId="0" fontId="114" fillId="33"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14"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14" fillId="18" borderId="0" applyNumberFormat="0" applyBorder="0" applyAlignment="0" applyProtection="0"/>
    <xf numFmtId="0" fontId="3" fillId="18" borderId="0" applyNumberFormat="0" applyBorder="0" applyAlignment="0" applyProtection="0"/>
    <xf numFmtId="0" fontId="114" fillId="18" borderId="0" applyNumberFormat="0" applyBorder="0" applyAlignment="0" applyProtection="0"/>
    <xf numFmtId="0" fontId="3"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114"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14"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14" fillId="22" borderId="0" applyNumberFormat="0" applyBorder="0" applyAlignment="0" applyProtection="0"/>
    <xf numFmtId="0" fontId="3" fillId="22" borderId="0" applyNumberFormat="0" applyBorder="0" applyAlignment="0" applyProtection="0"/>
    <xf numFmtId="0" fontId="114" fillId="22" borderId="0" applyNumberFormat="0" applyBorder="0" applyAlignment="0" applyProtection="0"/>
    <xf numFmtId="0" fontId="3" fillId="22" borderId="0" applyNumberFormat="0" applyBorder="0" applyAlignment="0" applyProtection="0"/>
    <xf numFmtId="0" fontId="114" fillId="22" borderId="0" applyNumberFormat="0" applyBorder="0" applyAlignment="0" applyProtection="0"/>
    <xf numFmtId="0" fontId="114" fillId="22" borderId="0" applyNumberFormat="0" applyBorder="0" applyAlignment="0" applyProtection="0"/>
    <xf numFmtId="0" fontId="114" fillId="22" borderId="0" applyNumberFormat="0" applyBorder="0" applyAlignment="0" applyProtection="0"/>
    <xf numFmtId="0" fontId="114" fillId="22" borderId="0" applyNumberFormat="0" applyBorder="0" applyAlignment="0" applyProtection="0"/>
    <xf numFmtId="0" fontId="114"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14"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14" fillId="41" borderId="0" applyNumberFormat="0" applyBorder="0" applyAlignment="0" applyProtection="0"/>
    <xf numFmtId="0" fontId="3" fillId="41" borderId="0" applyNumberFormat="0" applyBorder="0" applyAlignment="0" applyProtection="0"/>
    <xf numFmtId="0" fontId="114" fillId="41" borderId="0" applyNumberFormat="0" applyBorder="0" applyAlignment="0" applyProtection="0"/>
    <xf numFmtId="0" fontId="3"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114"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114"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114" fillId="29" borderId="0" applyNumberFormat="0" applyBorder="0" applyAlignment="0" applyProtection="0"/>
    <xf numFmtId="0" fontId="3" fillId="29" borderId="0" applyNumberFormat="0" applyBorder="0" applyAlignment="0" applyProtection="0"/>
    <xf numFmtId="0" fontId="114" fillId="29" borderId="0" applyNumberFormat="0" applyBorder="0" applyAlignment="0" applyProtection="0"/>
    <xf numFmtId="0" fontId="3"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4"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14" fillId="3" borderId="0" applyNumberFormat="0" applyBorder="0" applyAlignment="0" applyProtection="0"/>
    <xf numFmtId="0" fontId="3" fillId="3" borderId="0" applyNumberFormat="0" applyBorder="0" applyAlignment="0" applyProtection="0"/>
    <xf numFmtId="0" fontId="114" fillId="3" borderId="0" applyNumberFormat="0" applyBorder="0" applyAlignment="0" applyProtection="0"/>
    <xf numFmtId="0" fontId="3"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4"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14" fillId="4" borderId="0" applyNumberFormat="0" applyBorder="0" applyAlignment="0" applyProtection="0"/>
    <xf numFmtId="0" fontId="3" fillId="4" borderId="0" applyNumberFormat="0" applyBorder="0" applyAlignment="0" applyProtection="0"/>
    <xf numFmtId="0" fontId="114" fillId="4" borderId="0" applyNumberFormat="0" applyBorder="0" applyAlignment="0" applyProtection="0"/>
    <xf numFmtId="0" fontId="3" fillId="4" borderId="0" applyNumberFormat="0" applyBorder="0" applyAlignment="0" applyProtection="0"/>
    <xf numFmtId="0" fontId="114" fillId="4" borderId="0" applyNumberFormat="0" applyBorder="0" applyAlignment="0" applyProtection="0"/>
    <xf numFmtId="0" fontId="114" fillId="4" borderId="0" applyNumberFormat="0" applyBorder="0" applyAlignment="0" applyProtection="0"/>
    <xf numFmtId="0" fontId="114" fillId="4" borderId="0" applyNumberFormat="0" applyBorder="0" applyAlignment="0" applyProtection="0"/>
    <xf numFmtId="0" fontId="114" fillId="4" borderId="0" applyNumberFormat="0" applyBorder="0" applyAlignment="0" applyProtection="0"/>
    <xf numFmtId="0" fontId="114" fillId="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14"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14" fillId="19" borderId="0" applyNumberFormat="0" applyBorder="0" applyAlignment="0" applyProtection="0"/>
    <xf numFmtId="0" fontId="3" fillId="19" borderId="0" applyNumberFormat="0" applyBorder="0" applyAlignment="0" applyProtection="0"/>
    <xf numFmtId="0" fontId="114" fillId="19" borderId="0" applyNumberFormat="0" applyBorder="0" applyAlignment="0" applyProtection="0"/>
    <xf numFmtId="0" fontId="3"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114"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14"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14" fillId="23" borderId="0" applyNumberFormat="0" applyBorder="0" applyAlignment="0" applyProtection="0"/>
    <xf numFmtId="0" fontId="3" fillId="23" borderId="0" applyNumberFormat="0" applyBorder="0" applyAlignment="0" applyProtection="0"/>
    <xf numFmtId="0" fontId="114" fillId="23" borderId="0" applyNumberFormat="0" applyBorder="0" applyAlignment="0" applyProtection="0"/>
    <xf numFmtId="0" fontId="3"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14"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14" fillId="26" borderId="0" applyNumberFormat="0" applyBorder="0" applyAlignment="0" applyProtection="0"/>
    <xf numFmtId="0" fontId="3" fillId="26" borderId="0" applyNumberFormat="0" applyBorder="0" applyAlignment="0" applyProtection="0"/>
    <xf numFmtId="0" fontId="114" fillId="26" borderId="0" applyNumberFormat="0" applyBorder="0" applyAlignment="0" applyProtection="0"/>
    <xf numFmtId="0" fontId="3"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14"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14" fillId="30" borderId="0" applyNumberFormat="0" applyBorder="0" applyAlignment="0" applyProtection="0"/>
    <xf numFmtId="0" fontId="3" fillId="30" borderId="0" applyNumberFormat="0" applyBorder="0" applyAlignment="0" applyProtection="0"/>
    <xf numFmtId="0" fontId="114" fillId="30" borderId="0" applyNumberFormat="0" applyBorder="0" applyAlignment="0" applyProtection="0"/>
    <xf numFmtId="0" fontId="3" fillId="30" borderId="0" applyNumberFormat="0" applyBorder="0" applyAlignment="0" applyProtection="0"/>
    <xf numFmtId="0" fontId="114" fillId="30" borderId="0" applyNumberFormat="0" applyBorder="0" applyAlignment="0" applyProtection="0"/>
    <xf numFmtId="0" fontId="114" fillId="30" borderId="0" applyNumberFormat="0" applyBorder="0" applyAlignment="0" applyProtection="0"/>
    <xf numFmtId="0" fontId="114" fillId="30" borderId="0" applyNumberFormat="0" applyBorder="0" applyAlignment="0" applyProtection="0"/>
    <xf numFmtId="0" fontId="114" fillId="30" borderId="0" applyNumberFormat="0" applyBorder="0" applyAlignment="0" applyProtection="0"/>
    <xf numFmtId="0" fontId="114" fillId="3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4"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14" fillId="5" borderId="0" applyNumberFormat="0" applyBorder="0" applyAlignment="0" applyProtection="0"/>
    <xf numFmtId="0" fontId="3" fillId="5" borderId="0" applyNumberFormat="0" applyBorder="0" applyAlignment="0" applyProtection="0"/>
    <xf numFmtId="0" fontId="114" fillId="5" borderId="0" applyNumberFormat="0" applyBorder="0" applyAlignment="0" applyProtection="0"/>
    <xf numFmtId="0" fontId="3"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114"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114"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114" fillId="33" borderId="0" applyNumberFormat="0" applyBorder="0" applyAlignment="0" applyProtection="0"/>
    <xf numFmtId="0" fontId="3" fillId="33" borderId="0" applyNumberFormat="0" applyBorder="0" applyAlignment="0" applyProtection="0"/>
    <xf numFmtId="0" fontId="114" fillId="33" borderId="0" applyNumberFormat="0" applyBorder="0" applyAlignment="0" applyProtection="0"/>
    <xf numFmtId="0" fontId="3" fillId="33" borderId="0" applyNumberFormat="0" applyBorder="0" applyAlignment="0" applyProtection="0"/>
    <xf numFmtId="0" fontId="114" fillId="33" borderId="0" applyNumberFormat="0" applyBorder="0" applyAlignment="0" applyProtection="0"/>
    <xf numFmtId="0" fontId="114" fillId="33" borderId="0" applyNumberFormat="0" applyBorder="0" applyAlignment="0" applyProtection="0"/>
    <xf numFmtId="0" fontId="114" fillId="33" borderId="0" applyNumberFormat="0" applyBorder="0" applyAlignment="0" applyProtection="0"/>
    <xf numFmtId="0" fontId="114" fillId="33" borderId="0" applyNumberFormat="0" applyBorder="0" applyAlignment="0" applyProtection="0"/>
    <xf numFmtId="0" fontId="114" fillId="33" borderId="0" applyNumberFormat="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0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16" borderId="11"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43" fontId="20" fillId="0" borderId="0" applyFont="0" applyFill="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16" borderId="11"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0" borderId="0"/>
    <xf numFmtId="0" fontId="3" fillId="22" borderId="0" applyNumberFormat="0" applyBorder="0" applyAlignment="0" applyProtection="0"/>
    <xf numFmtId="0" fontId="3" fillId="23" borderId="0" applyNumberFormat="0" applyBorder="0" applyAlignment="0" applyProtection="0"/>
    <xf numFmtId="0" fontId="3" fillId="0" borderId="0"/>
    <xf numFmtId="0" fontId="3" fillId="41" borderId="0" applyNumberFormat="0" applyBorder="0" applyAlignment="0" applyProtection="0"/>
    <xf numFmtId="0" fontId="3" fillId="26" borderId="0" applyNumberFormat="0" applyBorder="0" applyAlignment="0" applyProtection="0"/>
    <xf numFmtId="0" fontId="3" fillId="1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1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19"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18"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23" borderId="0" applyNumberFormat="0" applyBorder="0" applyAlignment="0" applyProtection="0"/>
    <xf numFmtId="0" fontId="3" fillId="41"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33"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5" borderId="0" applyNumberFormat="0" applyBorder="0" applyAlignment="0" applyProtection="0"/>
    <xf numFmtId="0" fontId="3" fillId="33" borderId="0" applyNumberFormat="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9"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43"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9"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9" fontId="3" fillId="0" borderId="0" applyFont="0" applyFill="0" applyBorder="0" applyAlignment="0" applyProtection="0"/>
    <xf numFmtId="0" fontId="3" fillId="16" borderId="11" applyNumberFormat="0" applyFont="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6" borderId="1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0" fontId="3" fillId="16" borderId="1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6" borderId="11" applyNumberFormat="0" applyFont="0" applyAlignment="0" applyProtection="0"/>
    <xf numFmtId="0" fontId="3" fillId="0" borderId="0"/>
    <xf numFmtId="0" fontId="3" fillId="0" borderId="0"/>
    <xf numFmtId="0" fontId="3" fillId="0" borderId="0"/>
    <xf numFmtId="0" fontId="3" fillId="16" borderId="11" applyNumberFormat="0" applyFont="0" applyAlignment="0" applyProtection="0"/>
    <xf numFmtId="0" fontId="3" fillId="0" borderId="0"/>
    <xf numFmtId="0" fontId="3" fillId="0" borderId="0"/>
    <xf numFmtId="0" fontId="54" fillId="36" borderId="0" applyNumberFormat="0">
      <alignment vertical="top"/>
    </xf>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29"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16" borderId="11"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29"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16" borderId="11"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0" fontId="2" fillId="16" borderId="1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16" borderId="11"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0" borderId="0"/>
    <xf numFmtId="0" fontId="2" fillId="22" borderId="0" applyNumberFormat="0" applyBorder="0" applyAlignment="0" applyProtection="0"/>
    <xf numFmtId="0" fontId="2" fillId="23" borderId="0" applyNumberFormat="0" applyBorder="0" applyAlignment="0" applyProtection="0"/>
    <xf numFmtId="0" fontId="2" fillId="0" borderId="0"/>
    <xf numFmtId="0" fontId="2" fillId="41" borderId="0" applyNumberFormat="0" applyBorder="0" applyAlignment="0" applyProtection="0"/>
    <xf numFmtId="0" fontId="2" fillId="26" borderId="0" applyNumberFormat="0" applyBorder="0" applyAlignment="0" applyProtection="0"/>
    <xf numFmtId="0" fontId="2" fillId="1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1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18"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3" borderId="0" applyNumberFormat="0" applyBorder="0" applyAlignment="0" applyProtection="0"/>
    <xf numFmtId="0" fontId="54" fillId="36" borderId="0" applyNumberFormat="0">
      <alignment vertical="top"/>
    </xf>
    <xf numFmtId="0" fontId="1" fillId="26" borderId="0" applyNumberFormat="0" applyBorder="0" applyAlignment="0" applyProtection="0"/>
    <xf numFmtId="0" fontId="54" fillId="36" borderId="0" applyNumberFormat="0">
      <alignment vertical="top"/>
    </xf>
    <xf numFmtId="0" fontId="1" fillId="0" borderId="0"/>
    <xf numFmtId="0" fontId="1" fillId="26" borderId="0" applyNumberFormat="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0" fontId="1" fillId="4" borderId="0" applyNumberFormat="0" applyBorder="0" applyAlignment="0" applyProtection="0"/>
    <xf numFmtId="0" fontId="1" fillId="0" borderId="0"/>
    <xf numFmtId="9"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54" fillId="36" borderId="0" applyNumberFormat="0">
      <alignment vertical="top"/>
    </xf>
    <xf numFmtId="0" fontId="1" fillId="0" borderId="0"/>
    <xf numFmtId="0" fontId="1" fillId="41" borderId="0" applyNumberFormat="0" applyBorder="0" applyAlignment="0" applyProtection="0"/>
    <xf numFmtId="0" fontId="1" fillId="0" borderId="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0" borderId="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3"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5" borderId="0" applyNumberFormat="0" applyBorder="0" applyAlignment="0" applyProtection="0"/>
    <xf numFmtId="0" fontId="1" fillId="33" borderId="0" applyNumberFormat="0" applyBorder="0" applyAlignment="0" applyProtection="0"/>
    <xf numFmtId="0" fontId="1" fillId="16" borderId="11"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9"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29"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5" borderId="0" applyNumberFormat="0" applyBorder="0" applyAlignment="0" applyProtection="0"/>
    <xf numFmtId="0" fontId="1" fillId="33" borderId="0" applyNumberFormat="0" applyBorder="0" applyAlignment="0" applyProtection="0"/>
    <xf numFmtId="0" fontId="1" fillId="16" borderId="11"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0" fontId="1" fillId="16" borderId="1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16" borderId="11"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0" borderId="0"/>
    <xf numFmtId="0" fontId="1" fillId="4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33"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1" borderId="0" applyNumberFormat="0" applyBorder="0" applyAlignment="0" applyProtection="0"/>
    <xf numFmtId="0" fontId="1" fillId="33" borderId="0" applyNumberFormat="0" applyBorder="0" applyAlignment="0" applyProtection="0"/>
    <xf numFmtId="0" fontId="1" fillId="23" borderId="0" applyNumberFormat="0" applyBorder="0" applyAlignment="0" applyProtection="0"/>
    <xf numFmtId="0" fontId="1" fillId="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cellStyleXfs>
  <cellXfs count="808">
    <xf numFmtId="0" fontId="0" fillId="36" borderId="0" xfId="0">
      <alignment vertical="top"/>
    </xf>
    <xf numFmtId="4" fontId="136" fillId="36" borderId="0" xfId="55" applyNumberFormat="1" applyFont="1">
      <alignment vertical="top"/>
    </xf>
    <xf numFmtId="0" fontId="0" fillId="36" borderId="0" xfId="0" applyBorder="1">
      <alignment vertical="top"/>
    </xf>
    <xf numFmtId="169" fontId="23" fillId="36" borderId="0" xfId="0" applyNumberFormat="1" applyFont="1">
      <alignment vertical="top"/>
    </xf>
    <xf numFmtId="169" fontId="23" fillId="36" borderId="0" xfId="0" quotePrefix="1" applyNumberFormat="1" applyFont="1" applyAlignment="1">
      <alignment horizontal="center"/>
    </xf>
    <xf numFmtId="0" fontId="24" fillId="36" borderId="0" xfId="0" applyFont="1">
      <alignment vertical="top"/>
    </xf>
    <xf numFmtId="0" fontId="0" fillId="36" borderId="0" xfId="0" applyFont="1">
      <alignment vertical="top"/>
    </xf>
    <xf numFmtId="2" fontId="0" fillId="36" borderId="0" xfId="0" applyNumberFormat="1" applyFont="1">
      <alignment vertical="top"/>
    </xf>
    <xf numFmtId="167" fontId="0" fillId="36" borderId="0" xfId="0" applyNumberFormat="1" applyFont="1">
      <alignment vertical="top"/>
    </xf>
    <xf numFmtId="0" fontId="26" fillId="36" borderId="0" xfId="0" applyFont="1">
      <alignment vertical="top"/>
    </xf>
    <xf numFmtId="0" fontId="27" fillId="36" borderId="0" xfId="0" applyFont="1">
      <alignment vertical="top"/>
    </xf>
    <xf numFmtId="169" fontId="26" fillId="36" borderId="0" xfId="0" applyNumberFormat="1" applyFont="1">
      <alignment vertical="top"/>
    </xf>
    <xf numFmtId="0" fontId="26" fillId="36" borderId="0" xfId="0" applyFont="1">
      <alignment vertical="top"/>
    </xf>
    <xf numFmtId="2" fontId="26" fillId="36" borderId="0" xfId="0" applyNumberFormat="1" applyFont="1">
      <alignment vertical="top"/>
    </xf>
    <xf numFmtId="0" fontId="0" fillId="36" borderId="0" xfId="0" applyFont="1" applyBorder="1">
      <alignment vertical="top"/>
    </xf>
    <xf numFmtId="0" fontId="29" fillId="36" borderId="0" xfId="0" applyFont="1" applyAlignment="1">
      <alignment horizontal="left"/>
    </xf>
    <xf numFmtId="2" fontId="27" fillId="36" borderId="0" xfId="0" applyNumberFormat="1" applyFont="1" applyBorder="1" applyAlignment="1">
      <alignment vertical="center"/>
    </xf>
    <xf numFmtId="0" fontId="27" fillId="36" borderId="0" xfId="0" applyFont="1" applyBorder="1" applyAlignment="1">
      <alignment vertical="top"/>
    </xf>
    <xf numFmtId="0" fontId="0" fillId="36" borderId="1" xfId="0" applyBorder="1">
      <alignment vertical="top"/>
    </xf>
    <xf numFmtId="170" fontId="0" fillId="36" borderId="0" xfId="0" applyNumberFormat="1">
      <alignment vertical="top"/>
    </xf>
    <xf numFmtId="0" fontId="0" fillId="36" borderId="0" xfId="0" applyFont="1" applyAlignment="1"/>
    <xf numFmtId="0" fontId="0" fillId="36" borderId="0" xfId="0" quotePrefix="1">
      <alignment vertical="top"/>
    </xf>
    <xf numFmtId="0" fontId="0" fillId="36" borderId="0" xfId="0" applyAlignment="1"/>
    <xf numFmtId="0" fontId="0" fillId="36" borderId="0" xfId="0" applyAlignment="1">
      <alignment vertical="top" wrapText="1"/>
    </xf>
    <xf numFmtId="0" fontId="0" fillId="36" borderId="0" xfId="0" applyAlignment="1">
      <alignment vertical="top"/>
    </xf>
    <xf numFmtId="0" fontId="0" fillId="11" borderId="0" xfId="0" applyFill="1">
      <alignment vertical="top"/>
    </xf>
    <xf numFmtId="0" fontId="24" fillId="36" borderId="2" xfId="0" applyFont="1" applyBorder="1">
      <alignment vertical="top"/>
    </xf>
    <xf numFmtId="0" fontId="0" fillId="12" borderId="0" xfId="0" applyFill="1" applyAlignment="1">
      <alignment vertical="top" wrapText="1"/>
    </xf>
    <xf numFmtId="2" fontId="24" fillId="36" borderId="0" xfId="0" applyNumberFormat="1" applyFont="1">
      <alignment vertical="top"/>
    </xf>
    <xf numFmtId="0" fontId="26" fillId="36" borderId="0" xfId="0" applyFont="1">
      <alignment vertical="top"/>
    </xf>
    <xf numFmtId="0" fontId="0" fillId="36" borderId="0" xfId="0" applyAlignment="1">
      <alignment horizontal="left"/>
    </xf>
    <xf numFmtId="0" fontId="0" fillId="36" borderId="0" xfId="0">
      <alignment vertical="top"/>
    </xf>
    <xf numFmtId="0" fontId="0" fillId="36" borderId="0" xfId="0" applyAlignment="1">
      <alignment horizontal="left" vertical="distributed"/>
    </xf>
    <xf numFmtId="0" fontId="30" fillId="36" borderId="0" xfId="0" applyFont="1" applyAlignment="1"/>
    <xf numFmtId="0" fontId="0" fillId="36" borderId="0" xfId="0" applyAlignment="1"/>
    <xf numFmtId="0" fontId="0" fillId="36" borderId="0" xfId="0" applyBorder="1" applyAlignment="1"/>
    <xf numFmtId="0" fontId="30" fillId="36" borderId="0" xfId="0" applyFont="1" applyAlignment="1">
      <alignment vertical="center"/>
    </xf>
    <xf numFmtId="0" fontId="25" fillId="36" borderId="0" xfId="0" applyFont="1" applyAlignment="1"/>
    <xf numFmtId="0" fontId="30" fillId="36" borderId="0" xfId="0" applyFont="1" applyAlignment="1"/>
    <xf numFmtId="170" fontId="0" fillId="36" borderId="0" xfId="0" applyNumberFormat="1" applyAlignment="1"/>
    <xf numFmtId="0" fontId="31" fillId="36" borderId="0" xfId="0" applyFont="1" applyAlignment="1"/>
    <xf numFmtId="0" fontId="32" fillId="36" borderId="0" xfId="0" applyFont="1" applyAlignment="1"/>
    <xf numFmtId="0" fontId="24" fillId="36" borderId="2" xfId="0" applyFont="1" applyBorder="1" applyAlignment="1">
      <alignment vertical="top" wrapText="1"/>
    </xf>
    <xf numFmtId="0" fontId="0" fillId="11" borderId="0" xfId="0" applyFill="1" applyAlignment="1">
      <alignment vertical="top" wrapText="1"/>
    </xf>
    <xf numFmtId="0" fontId="24" fillId="36" borderId="0" xfId="0" applyFont="1" applyAlignment="1">
      <alignment vertical="top" wrapText="1"/>
    </xf>
    <xf numFmtId="0" fontId="0" fillId="36" borderId="0" xfId="0" applyFont="1" applyAlignment="1">
      <alignment vertical="top" wrapText="1"/>
    </xf>
    <xf numFmtId="0" fontId="0" fillId="36" borderId="0" xfId="0" applyAlignment="1">
      <alignment wrapText="1"/>
    </xf>
    <xf numFmtId="0" fontId="0" fillId="36" borderId="2" xfId="0" applyBorder="1">
      <alignment vertical="top"/>
    </xf>
    <xf numFmtId="4" fontId="0" fillId="36" borderId="0" xfId="0" applyNumberFormat="1">
      <alignment vertical="top"/>
    </xf>
    <xf numFmtId="0" fontId="0" fillId="36" borderId="0" xfId="0">
      <alignment vertical="top"/>
    </xf>
    <xf numFmtId="2" fontId="0" fillId="36" borderId="0" xfId="0" applyNumberFormat="1">
      <alignment vertical="top"/>
    </xf>
    <xf numFmtId="6" fontId="0" fillId="36" borderId="0" xfId="0" applyNumberFormat="1">
      <alignment vertical="top"/>
    </xf>
    <xf numFmtId="171" fontId="0" fillId="36" borderId="0" xfId="0" applyNumberFormat="1">
      <alignment vertical="top"/>
    </xf>
    <xf numFmtId="0" fontId="0" fillId="36" borderId="0" xfId="0" applyAlignment="1">
      <alignment horizontal="right"/>
    </xf>
    <xf numFmtId="0" fontId="0" fillId="36" borderId="0" xfId="0" applyAlignment="1">
      <alignment horizontal="left"/>
    </xf>
    <xf numFmtId="0" fontId="0" fillId="36" borderId="0" xfId="0" applyAlignment="1"/>
    <xf numFmtId="0" fontId="58" fillId="36" borderId="0" xfId="50" applyNumberFormat="1" applyProtection="1">
      <alignment horizontal="left" vertical="center"/>
    </xf>
    <xf numFmtId="0" fontId="0" fillId="36" borderId="0" xfId="0">
      <alignment vertical="top"/>
    </xf>
    <xf numFmtId="0" fontId="56" fillId="36" borderId="0" xfId="51" applyAlignment="1">
      <alignment vertical="top"/>
    </xf>
    <xf numFmtId="0" fontId="57" fillId="35" borderId="13" xfId="52" applyProtection="1">
      <alignment horizontal="center"/>
    </xf>
    <xf numFmtId="167" fontId="0" fillId="36" borderId="0" xfId="0" applyNumberFormat="1">
      <alignment vertical="top"/>
    </xf>
    <xf numFmtId="169" fontId="68" fillId="36" borderId="0" xfId="55" applyNumberFormat="1">
      <alignment vertical="top"/>
    </xf>
    <xf numFmtId="0" fontId="54" fillId="37" borderId="15" xfId="54">
      <alignment vertical="top"/>
      <protection locked="0"/>
    </xf>
    <xf numFmtId="10" fontId="0" fillId="36" borderId="0" xfId="0" applyNumberFormat="1">
      <alignment vertical="top"/>
    </xf>
    <xf numFmtId="165" fontId="56" fillId="36" borderId="0" xfId="51" applyNumberFormat="1" applyAlignment="1">
      <alignment vertical="top"/>
    </xf>
    <xf numFmtId="0" fontId="56" fillId="36" borderId="0" xfId="51" quotePrefix="1" applyAlignment="1">
      <alignment vertical="top"/>
    </xf>
    <xf numFmtId="167" fontId="68" fillId="36" borderId="0" xfId="55" applyNumberFormat="1">
      <alignment vertical="top"/>
    </xf>
    <xf numFmtId="10" fontId="68" fillId="36" borderId="0" xfId="55" applyNumberFormat="1">
      <alignment vertical="top"/>
    </xf>
    <xf numFmtId="4" fontId="68" fillId="36" borderId="0" xfId="55" applyNumberFormat="1">
      <alignment vertical="top"/>
    </xf>
    <xf numFmtId="0" fontId="56" fillId="36" borderId="0" xfId="51" applyAlignment="1"/>
    <xf numFmtId="0" fontId="59" fillId="36" borderId="0" xfId="0" applyFont="1">
      <alignment vertical="top"/>
    </xf>
    <xf numFmtId="0" fontId="62" fillId="36" borderId="0" xfId="0" applyFont="1">
      <alignment vertical="top"/>
    </xf>
    <xf numFmtId="0" fontId="59" fillId="36" borderId="0" xfId="0" applyFont="1" applyAlignment="1">
      <alignment wrapText="1"/>
    </xf>
    <xf numFmtId="0" fontId="59" fillId="36" borderId="0" xfId="0" applyFont="1" applyAlignment="1">
      <alignment horizontal="left" wrapText="1"/>
    </xf>
    <xf numFmtId="0" fontId="0" fillId="36" borderId="0" xfId="0" applyFont="1" applyAlignment="1">
      <alignment horizontal="left" wrapText="1"/>
    </xf>
    <xf numFmtId="0" fontId="64" fillId="36" borderId="0" xfId="0" applyFont="1">
      <alignment vertical="top"/>
    </xf>
    <xf numFmtId="0" fontId="68" fillId="36" borderId="0" xfId="55" applyNumberFormat="1">
      <alignment vertical="top"/>
    </xf>
    <xf numFmtId="0" fontId="0" fillId="36" borderId="0" xfId="0" applyAlignment="1">
      <alignment horizontal="left" vertical="top" indent="1"/>
    </xf>
    <xf numFmtId="0" fontId="58" fillId="36" borderId="0" xfId="50" applyNumberFormat="1" applyProtection="1">
      <alignment horizontal="left" vertical="center"/>
    </xf>
    <xf numFmtId="0" fontId="0" fillId="11" borderId="16" xfId="0" applyFill="1" applyBorder="1" applyAlignment="1">
      <alignment horizontal="center" vertical="top"/>
    </xf>
    <xf numFmtId="0" fontId="0" fillId="36" borderId="0" xfId="0" applyAlignment="1">
      <alignment horizontal="center" vertical="top" wrapText="1"/>
    </xf>
    <xf numFmtId="0" fontId="58" fillId="36" borderId="0" xfId="50" applyNumberFormat="1" applyProtection="1">
      <alignment horizontal="left" vertical="center"/>
    </xf>
    <xf numFmtId="2" fontId="68" fillId="36" borderId="0" xfId="55" applyNumberFormat="1">
      <alignment vertical="top"/>
    </xf>
    <xf numFmtId="167" fontId="68" fillId="36" borderId="0" xfId="55" applyNumberFormat="1" applyAlignment="1">
      <alignment horizontal="center"/>
    </xf>
    <xf numFmtId="166" fontId="68" fillId="36" borderId="0" xfId="55" applyNumberFormat="1">
      <alignment vertical="top"/>
    </xf>
    <xf numFmtId="167" fontId="68" fillId="36" borderId="3" xfId="55" applyNumberFormat="1" applyBorder="1">
      <alignment vertical="top"/>
    </xf>
    <xf numFmtId="2" fontId="68" fillId="36" borderId="17" xfId="55" applyNumberFormat="1" applyBorder="1">
      <alignment vertical="top"/>
    </xf>
    <xf numFmtId="2" fontId="68" fillId="36" borderId="3" xfId="55" applyNumberFormat="1" applyBorder="1">
      <alignment vertical="top"/>
    </xf>
    <xf numFmtId="0" fontId="58" fillId="36" borderId="0" xfId="50" applyNumberFormat="1" applyProtection="1">
      <alignment horizontal="left" vertical="center"/>
    </xf>
    <xf numFmtId="0" fontId="56" fillId="36" borderId="0" xfId="51" applyAlignment="1">
      <alignment horizontal="left" indent="1"/>
    </xf>
    <xf numFmtId="0" fontId="56" fillId="36" borderId="0" xfId="51" applyAlignment="1">
      <alignment horizontal="left"/>
    </xf>
    <xf numFmtId="3" fontId="0" fillId="36" borderId="0" xfId="0" applyNumberFormat="1" applyAlignment="1">
      <alignment horizontal="left" vertical="top" indent="1"/>
    </xf>
    <xf numFmtId="10" fontId="68" fillId="36" borderId="0" xfId="55" quotePrefix="1" applyNumberFormat="1" applyAlignment="1">
      <alignment horizontal="center"/>
    </xf>
    <xf numFmtId="10" fontId="68" fillId="36" borderId="0" xfId="55" quotePrefix="1" applyNumberFormat="1">
      <alignment vertical="top"/>
    </xf>
    <xf numFmtId="0" fontId="0" fillId="36" borderId="0" xfId="0" applyNumberFormat="1">
      <alignment vertical="top"/>
    </xf>
    <xf numFmtId="166" fontId="54" fillId="37" borderId="15" xfId="54" applyNumberFormat="1">
      <alignment vertical="top"/>
      <protection locked="0"/>
    </xf>
    <xf numFmtId="166" fontId="68" fillId="36" borderId="0" xfId="55" applyNumberFormat="1" applyBorder="1">
      <alignment vertical="top"/>
    </xf>
    <xf numFmtId="0" fontId="59" fillId="36" borderId="0" xfId="0" applyFont="1" applyAlignment="1">
      <alignment horizontal="left" vertical="top"/>
    </xf>
    <xf numFmtId="0" fontId="59" fillId="36" borderId="0" xfId="0" applyFont="1" applyAlignment="1">
      <alignment horizontal="left" vertical="top" indent="1"/>
    </xf>
    <xf numFmtId="0" fontId="59" fillId="36" borderId="0" xfId="0" applyFont="1" applyAlignment="1">
      <alignment horizontal="left" wrapText="1" indent="1"/>
    </xf>
    <xf numFmtId="172" fontId="68" fillId="36" borderId="0" xfId="55" applyNumberFormat="1">
      <alignment vertical="top"/>
    </xf>
    <xf numFmtId="0" fontId="56" fillId="36" borderId="0" xfId="51" applyAlignment="1">
      <alignment horizontal="left" vertical="top" indent="1"/>
    </xf>
    <xf numFmtId="169" fontId="54" fillId="38" borderId="0" xfId="56" applyNumberFormat="1">
      <alignment vertical="top"/>
    </xf>
    <xf numFmtId="0" fontId="59" fillId="36" borderId="0" xfId="0" applyFont="1" applyAlignment="1">
      <alignment horizontal="left" indent="1"/>
    </xf>
    <xf numFmtId="0" fontId="59" fillId="36" borderId="0" xfId="0" applyFont="1" applyAlignment="1">
      <alignment horizontal="left"/>
    </xf>
    <xf numFmtId="167" fontId="0" fillId="36" borderId="0" xfId="0" applyNumberFormat="1" applyAlignment="1">
      <alignment vertical="top"/>
    </xf>
    <xf numFmtId="167" fontId="68" fillId="36" borderId="0" xfId="55" applyNumberFormat="1" applyAlignment="1">
      <alignment vertical="top"/>
    </xf>
    <xf numFmtId="10" fontId="68" fillId="36" borderId="0" xfId="55" applyNumberFormat="1" applyAlignment="1">
      <alignment vertical="top"/>
    </xf>
    <xf numFmtId="0" fontId="0" fillId="36" borderId="0" xfId="0" applyFont="1" applyAlignment="1">
      <alignment vertical="top"/>
    </xf>
    <xf numFmtId="165" fontId="68" fillId="36" borderId="0" xfId="55" applyNumberFormat="1">
      <alignment vertical="top"/>
    </xf>
    <xf numFmtId="0" fontId="58" fillId="36" borderId="0" xfId="50" applyNumberFormat="1" applyProtection="1">
      <alignment horizontal="left" vertical="center"/>
    </xf>
    <xf numFmtId="0" fontId="59" fillId="36" borderId="0" xfId="0" applyFont="1" applyAlignment="1">
      <alignment horizontal="left" vertical="top" wrapText="1"/>
    </xf>
    <xf numFmtId="0" fontId="58" fillId="36" borderId="0" xfId="50" applyNumberFormat="1" applyProtection="1">
      <alignment horizontal="left" vertical="center"/>
    </xf>
    <xf numFmtId="3" fontId="69" fillId="36" borderId="0" xfId="57" applyNumberFormat="1" applyProtection="1"/>
    <xf numFmtId="0" fontId="69" fillId="36" borderId="0" xfId="57" applyNumberFormat="1" applyProtection="1"/>
    <xf numFmtId="175" fontId="68" fillId="36" borderId="0" xfId="55" applyNumberFormat="1">
      <alignment vertical="top"/>
    </xf>
    <xf numFmtId="176" fontId="70" fillId="36" borderId="0" xfId="49" applyFill="1" applyAlignment="1">
      <alignment vertical="top"/>
    </xf>
    <xf numFmtId="0" fontId="58" fillId="36" borderId="0" xfId="50" applyNumberFormat="1" applyProtection="1">
      <alignment horizontal="left" vertical="center"/>
    </xf>
    <xf numFmtId="167" fontId="68" fillId="36" borderId="17" xfId="55" applyNumberFormat="1" applyBorder="1">
      <alignment vertical="top"/>
    </xf>
    <xf numFmtId="10" fontId="68" fillId="36" borderId="3" xfId="55" applyNumberFormat="1" applyBorder="1">
      <alignment vertical="top"/>
    </xf>
    <xf numFmtId="0" fontId="58" fillId="36" borderId="0" xfId="50" applyNumberFormat="1" applyProtection="1">
      <alignment horizontal="left" vertical="center"/>
    </xf>
    <xf numFmtId="0" fontId="85" fillId="40" borderId="14" xfId="53" applyProtection="1">
      <alignment horizontal="left"/>
    </xf>
    <xf numFmtId="0" fontId="57" fillId="35" borderId="13" xfId="52" applyAlignment="1" applyProtection="1">
      <alignment horizontal="left"/>
    </xf>
    <xf numFmtId="1" fontId="0" fillId="36" borderId="0" xfId="0" applyNumberFormat="1">
      <alignment vertical="top"/>
    </xf>
    <xf numFmtId="3" fontId="0" fillId="36" borderId="0" xfId="0" applyNumberFormat="1">
      <alignment vertical="top"/>
    </xf>
    <xf numFmtId="0" fontId="0" fillId="36" borderId="0" xfId="0" applyAlignment="1">
      <alignment horizontal="left" indent="1"/>
    </xf>
    <xf numFmtId="49" fontId="0" fillId="36" borderId="0" xfId="0" applyNumberFormat="1" applyAlignment="1">
      <alignment horizontal="left" indent="1"/>
    </xf>
    <xf numFmtId="49" fontId="0" fillId="36" borderId="0" xfId="0" applyNumberFormat="1" applyAlignment="1">
      <alignment horizontal="left"/>
    </xf>
    <xf numFmtId="0" fontId="0" fillId="36" borderId="0" xfId="0" applyFont="1" applyAlignment="1">
      <alignment horizontal="center" vertical="top"/>
    </xf>
    <xf numFmtId="0" fontId="85" fillId="40" borderId="14" xfId="53" applyAlignment="1" applyProtection="1">
      <alignment horizontal="center"/>
    </xf>
    <xf numFmtId="0" fontId="57" fillId="35" borderId="13" xfId="52" applyAlignment="1" applyProtection="1">
      <alignment horizontal="center"/>
    </xf>
    <xf numFmtId="0" fontId="0" fillId="36" borderId="0" xfId="0" applyAlignment="1">
      <alignment horizontal="center" vertical="top"/>
    </xf>
    <xf numFmtId="0" fontId="0" fillId="36" borderId="0" xfId="0" quotePrefix="1" applyAlignment="1">
      <alignment horizontal="center" vertical="top"/>
    </xf>
    <xf numFmtId="0" fontId="0" fillId="36" borderId="0" xfId="0" applyBorder="1" applyAlignment="1">
      <alignment horizontal="center" vertical="top"/>
    </xf>
    <xf numFmtId="3" fontId="0" fillId="36" borderId="0" xfId="0" applyNumberFormat="1" applyAlignment="1">
      <alignment horizontal="left" vertical="top"/>
    </xf>
    <xf numFmtId="174" fontId="54" fillId="37" borderId="15" xfId="54" applyNumberFormat="1" applyAlignment="1">
      <alignment vertical="center"/>
      <protection locked="0"/>
    </xf>
    <xf numFmtId="4" fontId="68" fillId="36" borderId="0" xfId="55" applyNumberFormat="1" applyAlignment="1">
      <alignment vertical="top"/>
    </xf>
    <xf numFmtId="0" fontId="0" fillId="36" borderId="0" xfId="0" applyNumberFormat="1" applyAlignment="1"/>
    <xf numFmtId="168" fontId="54" fillId="37" borderId="15" xfId="54" applyNumberFormat="1" applyAlignment="1">
      <alignment horizontal="right"/>
      <protection locked="0"/>
    </xf>
    <xf numFmtId="3" fontId="54" fillId="37" borderId="15" xfId="54" applyNumberFormat="1">
      <alignment vertical="top"/>
      <protection locked="0"/>
    </xf>
    <xf numFmtId="169" fontId="54" fillId="37" borderId="15" xfId="54" applyNumberFormat="1" applyAlignment="1">
      <alignment horizontal="right"/>
      <protection locked="0"/>
    </xf>
    <xf numFmtId="10" fontId="54" fillId="37" borderId="15" xfId="54" applyNumberFormat="1" applyAlignment="1">
      <alignment horizontal="right"/>
      <protection locked="0"/>
    </xf>
    <xf numFmtId="0" fontId="85" fillId="40" borderId="18" xfId="53" applyBorder="1" applyProtection="1">
      <alignment horizontal="left"/>
    </xf>
    <xf numFmtId="0" fontId="0" fillId="36" borderId="19" xfId="0" applyBorder="1">
      <alignment vertical="top"/>
    </xf>
    <xf numFmtId="0" fontId="0" fillId="36" borderId="20" xfId="0" applyBorder="1">
      <alignment vertical="top"/>
    </xf>
    <xf numFmtId="1" fontId="0" fillId="36" borderId="0" xfId="0" applyNumberFormat="1" applyAlignment="1">
      <alignment horizontal="left" indent="1"/>
    </xf>
    <xf numFmtId="0" fontId="56" fillId="36" borderId="0" xfId="51" applyAlignment="1">
      <alignment horizontal="left" indent="2"/>
    </xf>
    <xf numFmtId="165" fontId="85" fillId="40" borderId="14" xfId="53" applyNumberFormat="1" applyProtection="1">
      <alignment horizontal="left"/>
    </xf>
    <xf numFmtId="170" fontId="68" fillId="36" borderId="0" xfId="55" applyNumberFormat="1" applyAlignment="1">
      <alignment horizontal="center"/>
    </xf>
    <xf numFmtId="0" fontId="68" fillId="36" borderId="0" xfId="55" applyNumberFormat="1" applyAlignment="1">
      <alignment horizontal="center"/>
    </xf>
    <xf numFmtId="168" fontId="68" fillId="36" borderId="0" xfId="55" applyNumberFormat="1" applyAlignment="1">
      <alignment horizontal="right"/>
    </xf>
    <xf numFmtId="3" fontId="68" fillId="36" borderId="0" xfId="55" applyNumberFormat="1">
      <alignment vertical="top"/>
    </xf>
    <xf numFmtId="1" fontId="68" fillId="36" borderId="0" xfId="55" applyNumberFormat="1" applyAlignment="1">
      <alignment horizontal="center"/>
    </xf>
    <xf numFmtId="0" fontId="54" fillId="38" borderId="0" xfId="56" applyNumberFormat="1">
      <alignment vertical="top"/>
    </xf>
    <xf numFmtId="0" fontId="54" fillId="39" borderId="15" xfId="58" applyNumberFormat="1">
      <alignment vertical="top"/>
      <protection locked="0"/>
    </xf>
    <xf numFmtId="3" fontId="54" fillId="39" borderId="15" xfId="58" applyNumberFormat="1">
      <alignment vertical="top"/>
      <protection locked="0"/>
    </xf>
    <xf numFmtId="0" fontId="0" fillId="36" borderId="0" xfId="0" applyAlignment="1">
      <alignment horizontal="left" vertical="top" indent="2"/>
    </xf>
    <xf numFmtId="1" fontId="68" fillId="36" borderId="0" xfId="55" applyNumberFormat="1">
      <alignment vertical="top"/>
    </xf>
    <xf numFmtId="0" fontId="58" fillId="36" borderId="0" xfId="50" applyNumberFormat="1" applyProtection="1">
      <alignment horizontal="left" vertical="center"/>
    </xf>
    <xf numFmtId="0" fontId="68" fillId="36" borderId="0" xfId="55" applyNumberFormat="1" applyAlignment="1">
      <alignment horizontal="center" vertical="top"/>
    </xf>
    <xf numFmtId="167" fontId="68" fillId="36" borderId="0" xfId="55" applyNumberFormat="1" applyAlignment="1">
      <alignment horizontal="center" vertical="top"/>
    </xf>
    <xf numFmtId="167" fontId="68" fillId="36" borderId="0" xfId="55" applyNumberFormat="1" applyBorder="1">
      <alignment vertical="top"/>
    </xf>
    <xf numFmtId="0" fontId="58" fillId="36" borderId="0" xfId="50" applyNumberFormat="1" applyProtection="1">
      <alignment horizontal="left" vertical="center"/>
    </xf>
    <xf numFmtId="2" fontId="68" fillId="36" borderId="0" xfId="55" quotePrefix="1" applyNumberFormat="1" applyAlignment="1">
      <alignment horizontal="center"/>
    </xf>
    <xf numFmtId="4" fontId="54" fillId="39" borderId="15" xfId="58" applyNumberFormat="1">
      <alignment vertical="top"/>
      <protection locked="0"/>
    </xf>
    <xf numFmtId="2" fontId="54" fillId="37" borderId="15" xfId="54" applyNumberFormat="1">
      <alignment vertical="top"/>
      <protection locked="0"/>
    </xf>
    <xf numFmtId="167" fontId="54" fillId="37" borderId="15" xfId="54" applyNumberFormat="1">
      <alignment vertical="top"/>
      <protection locked="0"/>
    </xf>
    <xf numFmtId="0" fontId="57" fillId="35" borderId="13" xfId="52" applyAlignment="1" applyProtection="1">
      <alignment horizontal="centerContinuous"/>
    </xf>
    <xf numFmtId="0" fontId="57" fillId="35" borderId="14" xfId="52" applyBorder="1" applyProtection="1">
      <alignment horizontal="center"/>
    </xf>
    <xf numFmtId="0" fontId="57" fillId="35" borderId="22" xfId="52" applyBorder="1" applyProtection="1">
      <alignment horizontal="center"/>
    </xf>
    <xf numFmtId="0" fontId="57" fillId="35" borderId="21" xfId="52" applyBorder="1" applyAlignment="1" applyProtection="1">
      <alignment horizontal="left"/>
    </xf>
    <xf numFmtId="2" fontId="54" fillId="37" borderId="15" xfId="54" applyNumberFormat="1" applyAlignment="1">
      <alignment horizontal="center" vertical="top"/>
      <protection locked="0"/>
    </xf>
    <xf numFmtId="3" fontId="54" fillId="37" borderId="15" xfId="54" applyNumberFormat="1" applyAlignment="1">
      <alignment horizontal="center" vertical="top"/>
      <protection locked="0"/>
    </xf>
    <xf numFmtId="2" fontId="68" fillId="36" borderId="0" xfId="55" applyNumberFormat="1" applyAlignment="1">
      <alignment horizontal="center" vertical="top"/>
    </xf>
    <xf numFmtId="3" fontId="68" fillId="36" borderId="0" xfId="55" applyNumberFormat="1" applyAlignment="1">
      <alignment horizontal="center" vertical="top"/>
    </xf>
    <xf numFmtId="0" fontId="0" fillId="36" borderId="0" xfId="0" applyNumberFormat="1" applyAlignment="1">
      <alignment horizontal="center"/>
    </xf>
    <xf numFmtId="170" fontId="58" fillId="36" borderId="0" xfId="50" applyNumberFormat="1" applyProtection="1">
      <alignment horizontal="left" vertical="center"/>
    </xf>
    <xf numFmtId="170" fontId="56" fillId="36" borderId="0" xfId="51" applyNumberFormat="1" applyAlignment="1"/>
    <xf numFmtId="170" fontId="56" fillId="36" borderId="0" xfId="51" applyNumberFormat="1" applyAlignment="1">
      <alignment vertical="top"/>
    </xf>
    <xf numFmtId="0" fontId="57" fillId="35" borderId="13" xfId="52" applyNumberFormat="1" applyProtection="1">
      <alignment horizontal="center"/>
    </xf>
    <xf numFmtId="4" fontId="68" fillId="36" borderId="3" xfId="55" applyNumberFormat="1" applyBorder="1">
      <alignment vertical="top"/>
    </xf>
    <xf numFmtId="4" fontId="68" fillId="36" borderId="0" xfId="55" applyNumberFormat="1" applyBorder="1">
      <alignment vertical="top"/>
    </xf>
    <xf numFmtId="4" fontId="68" fillId="36" borderId="17" xfId="55" applyNumberFormat="1" applyBorder="1">
      <alignment vertical="top"/>
    </xf>
    <xf numFmtId="9" fontId="68" fillId="36" borderId="0" xfId="55" applyNumberFormat="1">
      <alignment vertical="top"/>
    </xf>
    <xf numFmtId="0" fontId="0" fillId="36" borderId="0" xfId="0" applyAlignment="1">
      <alignment horizontal="center" vertical="top"/>
    </xf>
    <xf numFmtId="1" fontId="0" fillId="36" borderId="0" xfId="0" applyNumberFormat="1" applyAlignment="1">
      <alignment horizontal="center"/>
    </xf>
    <xf numFmtId="0" fontId="0" fillId="36" borderId="0" xfId="0" applyAlignment="1">
      <alignment horizontal="center"/>
    </xf>
    <xf numFmtId="2" fontId="0" fillId="36" borderId="0" xfId="0" applyNumberFormat="1" applyAlignment="1">
      <alignment horizontal="center"/>
    </xf>
    <xf numFmtId="169" fontId="0" fillId="36" borderId="0" xfId="0" applyNumberFormat="1" applyAlignment="1">
      <alignment horizontal="center"/>
    </xf>
    <xf numFmtId="9" fontId="0" fillId="36" borderId="0" xfId="0" applyNumberFormat="1" applyAlignment="1">
      <alignment horizontal="center"/>
    </xf>
    <xf numFmtId="171" fontId="0" fillId="36" borderId="0" xfId="0" applyNumberFormat="1" applyAlignment="1">
      <alignment horizontal="center"/>
    </xf>
    <xf numFmtId="171" fontId="0" fillId="36" borderId="0" xfId="0" applyNumberFormat="1" applyAlignment="1">
      <alignment horizontal="center" vertical="center"/>
    </xf>
    <xf numFmtId="0" fontId="0" fillId="36" borderId="0" xfId="0" applyAlignment="1">
      <alignment horizontal="center" vertical="center"/>
    </xf>
    <xf numFmtId="0" fontId="0" fillId="36" borderId="0" xfId="0" applyAlignment="1">
      <alignment horizontal="centerContinuous" vertical="top"/>
    </xf>
    <xf numFmtId="0" fontId="0" fillId="36" borderId="0" xfId="0" applyAlignment="1">
      <alignment horizontal="left" vertical="top"/>
    </xf>
    <xf numFmtId="9" fontId="0" fillId="36" borderId="0" xfId="0" applyNumberFormat="1">
      <alignment vertical="top"/>
    </xf>
    <xf numFmtId="0" fontId="0" fillId="36" borderId="0" xfId="0" applyAlignment="1">
      <alignment horizontal="left" wrapText="1"/>
    </xf>
    <xf numFmtId="9" fontId="0" fillId="36" borderId="0" xfId="0" applyNumberFormat="1" applyAlignment="1">
      <alignment horizontal="center" vertical="justify"/>
    </xf>
    <xf numFmtId="9" fontId="54" fillId="39" borderId="15" xfId="58" applyNumberFormat="1" applyAlignment="1">
      <alignment horizontal="center" vertical="top"/>
      <protection locked="0"/>
    </xf>
    <xf numFmtId="9" fontId="74" fillId="36" borderId="0" xfId="0" applyNumberFormat="1" applyFont="1" applyAlignment="1">
      <alignment horizontal="center"/>
    </xf>
    <xf numFmtId="0" fontId="0" fillId="36" borderId="0" xfId="0" applyAlignment="1">
      <alignment horizontal="left" vertical="center" wrapText="1"/>
    </xf>
    <xf numFmtId="0" fontId="0" fillId="36" borderId="0" xfId="0" applyAlignment="1">
      <alignment horizontal="left" vertical="center"/>
    </xf>
    <xf numFmtId="0" fontId="54" fillId="39" borderId="15" xfId="58" applyNumberFormat="1" applyAlignment="1">
      <alignment horizontal="center" vertical="top"/>
      <protection locked="0"/>
    </xf>
    <xf numFmtId="1" fontId="54" fillId="39" borderId="15" xfId="58" applyNumberFormat="1" applyAlignment="1">
      <alignment horizontal="center" vertical="top"/>
      <protection locked="0"/>
    </xf>
    <xf numFmtId="0" fontId="0" fillId="36" borderId="0" xfId="0" applyAlignment="1">
      <alignment horizontal="right" vertical="center" indent="1"/>
    </xf>
    <xf numFmtId="0" fontId="74" fillId="36" borderId="0" xfId="0" applyFont="1" applyAlignment="1">
      <alignment horizontal="center" vertical="top"/>
    </xf>
    <xf numFmtId="0" fontId="0" fillId="36" borderId="0" xfId="0" applyFont="1" applyAlignment="1">
      <alignment horizontal="left"/>
    </xf>
    <xf numFmtId="0" fontId="57" fillId="35" borderId="23" xfId="52" applyBorder="1" applyAlignment="1" applyProtection="1">
      <alignment horizontal="center" wrapText="1"/>
    </xf>
    <xf numFmtId="0" fontId="57" fillId="35" borderId="24" xfId="52" applyBorder="1" applyAlignment="1" applyProtection="1">
      <alignment horizontal="center" wrapText="1"/>
    </xf>
    <xf numFmtId="9" fontId="68" fillId="36" borderId="25" xfId="55" applyNumberFormat="1" applyBorder="1" applyAlignment="1" applyProtection="1">
      <alignment horizontal="center" vertical="top"/>
      <protection locked="0"/>
    </xf>
    <xf numFmtId="0" fontId="57" fillId="35" borderId="16" xfId="52" applyBorder="1" applyAlignment="1" applyProtection="1">
      <alignment horizontal="center" wrapText="1"/>
    </xf>
    <xf numFmtId="170" fontId="54" fillId="39" borderId="15" xfId="58" applyNumberFormat="1" applyAlignment="1">
      <alignment horizontal="center" vertical="top"/>
      <protection locked="0"/>
    </xf>
    <xf numFmtId="170" fontId="0" fillId="36" borderId="0" xfId="0" applyNumberFormat="1" applyAlignment="1">
      <alignment horizontal="center"/>
    </xf>
    <xf numFmtId="2" fontId="68" fillId="36" borderId="0" xfId="55" applyNumberFormat="1" applyAlignment="1">
      <alignment horizontal="center"/>
    </xf>
    <xf numFmtId="169" fontId="68" fillId="36" borderId="0" xfId="55" applyNumberFormat="1" applyAlignment="1">
      <alignment horizontal="center"/>
    </xf>
    <xf numFmtId="2" fontId="68" fillId="36" borderId="0" xfId="55" applyNumberFormat="1" applyAlignment="1">
      <alignment horizontal="centerContinuous"/>
    </xf>
    <xf numFmtId="2" fontId="68" fillId="36" borderId="3" xfId="55" applyNumberFormat="1" applyBorder="1" applyAlignment="1">
      <alignment horizontal="center"/>
    </xf>
    <xf numFmtId="2" fontId="68" fillId="36" borderId="0" xfId="55" applyNumberFormat="1" applyBorder="1" applyAlignment="1">
      <alignment horizontal="center"/>
    </xf>
    <xf numFmtId="164" fontId="68" fillId="36" borderId="0" xfId="55" applyNumberFormat="1" applyAlignment="1">
      <alignment horizontal="center"/>
    </xf>
    <xf numFmtId="9" fontId="68" fillId="36" borderId="0" xfId="55" applyNumberFormat="1" applyAlignment="1">
      <alignment horizontal="center"/>
    </xf>
    <xf numFmtId="171" fontId="68" fillId="36" borderId="0" xfId="55" applyNumberFormat="1" applyAlignment="1">
      <alignment horizontal="center"/>
    </xf>
    <xf numFmtId="9" fontId="68" fillId="36" borderId="0" xfId="55" applyNumberFormat="1" applyAlignment="1">
      <alignment vertical="top"/>
    </xf>
    <xf numFmtId="174" fontId="68" fillId="36" borderId="0" xfId="55" applyNumberFormat="1" applyAlignment="1">
      <alignment vertical="top"/>
    </xf>
    <xf numFmtId="9" fontId="54" fillId="37" borderId="15" xfId="54" applyNumberFormat="1">
      <alignment vertical="top"/>
      <protection locked="0"/>
    </xf>
    <xf numFmtId="0" fontId="0" fillId="36" borderId="0" xfId="0" applyFont="1" applyAlignment="1">
      <alignment horizontal="left" vertical="top" indent="1"/>
    </xf>
    <xf numFmtId="49" fontId="0" fillId="36" borderId="0" xfId="0" applyNumberFormat="1" applyAlignment="1">
      <alignment horizontal="left" vertical="center"/>
    </xf>
    <xf numFmtId="0" fontId="54" fillId="36" borderId="0" xfId="59">
      <alignment vertical="top"/>
    </xf>
    <xf numFmtId="0" fontId="57" fillId="35" borderId="26" xfId="52" applyBorder="1" applyAlignment="1">
      <alignment horizontal="centerContinuous"/>
      <protection locked="0"/>
    </xf>
    <xf numFmtId="0" fontId="57" fillId="35" borderId="27" xfId="52" applyBorder="1" applyAlignment="1">
      <alignment horizontal="centerContinuous"/>
      <protection locked="0"/>
    </xf>
    <xf numFmtId="0" fontId="54" fillId="36" borderId="0" xfId="59" applyAlignment="1">
      <alignment horizontal="center" vertical="top"/>
    </xf>
    <xf numFmtId="0" fontId="57" fillId="35" borderId="23" xfId="52" applyBorder="1">
      <alignment horizontal="center"/>
      <protection locked="0"/>
    </xf>
    <xf numFmtId="0" fontId="57" fillId="35" borderId="28" xfId="52" applyBorder="1">
      <alignment horizontal="center"/>
      <protection locked="0"/>
    </xf>
    <xf numFmtId="0" fontId="57" fillId="35" borderId="29" xfId="52" applyBorder="1">
      <alignment horizontal="center"/>
      <protection locked="0"/>
    </xf>
    <xf numFmtId="0" fontId="75" fillId="0" borderId="24" xfId="59" applyFont="1" applyFill="1" applyBorder="1" applyAlignment="1">
      <alignment horizontal="center" vertical="top"/>
    </xf>
    <xf numFmtId="0" fontId="57" fillId="35" borderId="24" xfId="52" applyBorder="1">
      <alignment horizontal="center"/>
      <protection locked="0"/>
    </xf>
    <xf numFmtId="0" fontId="76" fillId="36" borderId="0" xfId="59" applyFont="1">
      <alignment vertical="top"/>
    </xf>
    <xf numFmtId="0" fontId="76" fillId="0" borderId="26" xfId="59" applyFont="1" applyFill="1" applyBorder="1">
      <alignment vertical="top"/>
    </xf>
    <xf numFmtId="0" fontId="77" fillId="40" borderId="14" xfId="60">
      <alignment horizontal="left"/>
      <protection locked="0"/>
    </xf>
    <xf numFmtId="173" fontId="68" fillId="36" borderId="0" xfId="61" applyNumberFormat="1">
      <alignment vertical="top"/>
    </xf>
    <xf numFmtId="167" fontId="68" fillId="36" borderId="0" xfId="61" applyNumberFormat="1">
      <alignment vertical="top"/>
    </xf>
    <xf numFmtId="177" fontId="68" fillId="36" borderId="0" xfId="61" applyNumberFormat="1">
      <alignment vertical="top"/>
    </xf>
    <xf numFmtId="174" fontId="68" fillId="36" borderId="0" xfId="61" applyNumberFormat="1">
      <alignment vertical="top"/>
    </xf>
    <xf numFmtId="178" fontId="68" fillId="36" borderId="0" xfId="61" applyNumberFormat="1">
      <alignment vertical="top"/>
    </xf>
    <xf numFmtId="179" fontId="68" fillId="36" borderId="0" xfId="61" applyNumberFormat="1">
      <alignment vertical="top"/>
    </xf>
    <xf numFmtId="177" fontId="54" fillId="36" borderId="0" xfId="59" applyNumberFormat="1">
      <alignment vertical="top"/>
    </xf>
    <xf numFmtId="180" fontId="68" fillId="36" borderId="0" xfId="61" applyNumberFormat="1">
      <alignment vertical="top"/>
    </xf>
    <xf numFmtId="177" fontId="54" fillId="37" borderId="15" xfId="54" applyNumberFormat="1">
      <alignment vertical="top"/>
      <protection locked="0"/>
    </xf>
    <xf numFmtId="0" fontId="68" fillId="36" borderId="0" xfId="61" applyNumberFormat="1">
      <alignment vertical="top"/>
    </xf>
    <xf numFmtId="4" fontId="68" fillId="36" borderId="0" xfId="61" applyNumberFormat="1">
      <alignment vertical="top"/>
    </xf>
    <xf numFmtId="181" fontId="54" fillId="37" borderId="15" xfId="54" applyNumberFormat="1">
      <alignment vertical="top"/>
      <protection locked="0"/>
    </xf>
    <xf numFmtId="182" fontId="68" fillId="36" borderId="0" xfId="61" applyNumberFormat="1">
      <alignment vertical="top"/>
    </xf>
    <xf numFmtId="4" fontId="54" fillId="37" borderId="15" xfId="54" applyNumberFormat="1">
      <alignment vertical="top"/>
      <protection locked="0"/>
    </xf>
    <xf numFmtId="165" fontId="68" fillId="36" borderId="0" xfId="61" applyNumberFormat="1">
      <alignment vertical="top"/>
    </xf>
    <xf numFmtId="1" fontId="54" fillId="37" borderId="15" xfId="54" applyNumberFormat="1">
      <alignment vertical="top"/>
      <protection locked="0"/>
    </xf>
    <xf numFmtId="165" fontId="54" fillId="37" borderId="15" xfId="54" applyNumberFormat="1">
      <alignment vertical="top"/>
      <protection locked="0"/>
    </xf>
    <xf numFmtId="2" fontId="68" fillId="36" borderId="0" xfId="61" applyNumberFormat="1">
      <alignment vertical="top"/>
    </xf>
    <xf numFmtId="166" fontId="68" fillId="36" borderId="0" xfId="61" applyNumberFormat="1">
      <alignment vertical="top"/>
    </xf>
    <xf numFmtId="182" fontId="54" fillId="37" borderId="15" xfId="54" applyNumberFormat="1">
      <alignment vertical="top"/>
      <protection locked="0"/>
    </xf>
    <xf numFmtId="0" fontId="54" fillId="37" borderId="15" xfId="54" applyNumberFormat="1">
      <alignment vertical="top"/>
      <protection locked="0"/>
    </xf>
    <xf numFmtId="3" fontId="68" fillId="36" borderId="0" xfId="61" applyNumberFormat="1">
      <alignment vertical="top"/>
    </xf>
    <xf numFmtId="166" fontId="54" fillId="36" borderId="0" xfId="59" applyNumberFormat="1">
      <alignment vertical="top"/>
    </xf>
    <xf numFmtId="179" fontId="54" fillId="37" borderId="15" xfId="54" applyNumberFormat="1">
      <alignment vertical="top"/>
      <protection locked="0"/>
    </xf>
    <xf numFmtId="1" fontId="68" fillId="36" borderId="0" xfId="61" applyNumberFormat="1">
      <alignment vertical="top"/>
    </xf>
    <xf numFmtId="183" fontId="68" fillId="36" borderId="0" xfId="61" applyNumberFormat="1">
      <alignment vertical="top"/>
    </xf>
    <xf numFmtId="184" fontId="68" fillId="36" borderId="0" xfId="61" applyNumberFormat="1">
      <alignment vertical="top"/>
    </xf>
    <xf numFmtId="175" fontId="68" fillId="36" borderId="0" xfId="61" applyNumberFormat="1">
      <alignment vertical="top"/>
    </xf>
    <xf numFmtId="183" fontId="54" fillId="36" borderId="0" xfId="59" applyNumberFormat="1">
      <alignment vertical="top"/>
    </xf>
    <xf numFmtId="2" fontId="54" fillId="36" borderId="0" xfId="59" applyNumberFormat="1">
      <alignment vertical="top"/>
    </xf>
    <xf numFmtId="174" fontId="76" fillId="36" borderId="0" xfId="59" applyNumberFormat="1" applyFont="1">
      <alignment vertical="top"/>
    </xf>
    <xf numFmtId="0" fontId="79" fillId="36" borderId="0" xfId="62" applyNumberFormat="1" applyProtection="1"/>
    <xf numFmtId="165" fontId="58" fillId="36" borderId="0" xfId="50" applyNumberFormat="1">
      <alignment horizontal="left" vertical="center"/>
      <protection locked="0"/>
    </xf>
    <xf numFmtId="164" fontId="68" fillId="36" borderId="3" xfId="55" applyNumberFormat="1" applyBorder="1" applyAlignment="1">
      <alignment horizontal="center"/>
    </xf>
    <xf numFmtId="4" fontId="0" fillId="36" borderId="0" xfId="0" applyNumberFormat="1" applyAlignment="1">
      <alignment horizontal="left" indent="1"/>
    </xf>
    <xf numFmtId="0" fontId="0" fillId="36" borderId="0" xfId="0" applyBorder="1" applyAlignment="1">
      <alignment horizontal="left" vertical="top" indent="1"/>
    </xf>
    <xf numFmtId="9" fontId="54" fillId="39" borderId="15" xfId="58" applyNumberFormat="1">
      <alignment vertical="top"/>
      <protection locked="0"/>
    </xf>
    <xf numFmtId="170" fontId="0" fillId="36" borderId="0" xfId="0" applyNumberFormat="1" applyAlignment="1">
      <alignment vertical="top"/>
    </xf>
    <xf numFmtId="0" fontId="0" fillId="36" borderId="2" xfId="0" applyBorder="1" applyAlignment="1">
      <alignment horizontal="left"/>
    </xf>
    <xf numFmtId="0" fontId="58" fillId="36" borderId="0" xfId="50" applyNumberFormat="1" applyProtection="1">
      <alignment horizontal="left" vertical="center"/>
    </xf>
    <xf numFmtId="0" fontId="68" fillId="36" borderId="0" xfId="55" applyNumberFormat="1" applyBorder="1">
      <alignment vertical="top"/>
    </xf>
    <xf numFmtId="3" fontId="0" fillId="36" borderId="0" xfId="0" applyNumberFormat="1" applyAlignment="1">
      <alignment horizontal="left" vertical="top" indent="2"/>
    </xf>
    <xf numFmtId="4" fontId="68" fillId="36" borderId="0" xfId="55" applyNumberFormat="1" applyAlignment="1">
      <alignment horizontal="center" vertical="top"/>
    </xf>
    <xf numFmtId="0" fontId="81" fillId="36" borderId="0" xfId="0" applyFont="1">
      <alignment vertical="top"/>
    </xf>
    <xf numFmtId="185" fontId="0" fillId="36" borderId="0" xfId="0" applyNumberFormat="1" applyAlignment="1">
      <alignment horizontal="left" vertical="top"/>
    </xf>
    <xf numFmtId="0" fontId="82" fillId="36" borderId="0" xfId="0" applyNumberFormat="1" applyFont="1">
      <alignment vertical="top"/>
    </xf>
    <xf numFmtId="0" fontId="85" fillId="40" borderId="14" xfId="53" applyNumberFormat="1" applyProtection="1">
      <alignment horizontal="left"/>
    </xf>
    <xf numFmtId="0" fontId="68" fillId="36" borderId="0" xfId="55" quotePrefix="1" applyNumberFormat="1">
      <alignment vertical="top"/>
    </xf>
    <xf numFmtId="0" fontId="80" fillId="36" borderId="0" xfId="63" applyBorder="1">
      <alignment vertical="top"/>
    </xf>
    <xf numFmtId="0" fontId="83" fillId="36" borderId="31" xfId="64" applyNumberFormat="1" applyProtection="1">
      <alignment horizontal="center"/>
    </xf>
    <xf numFmtId="0" fontId="84" fillId="36" borderId="0" xfId="65">
      <alignment vertical="top"/>
    </xf>
    <xf numFmtId="0" fontId="80" fillId="36" borderId="0" xfId="63">
      <alignment vertical="top"/>
    </xf>
    <xf numFmtId="167" fontId="54" fillId="39" borderId="15" xfId="58">
      <alignment vertical="top"/>
      <protection locked="0"/>
    </xf>
    <xf numFmtId="0" fontId="0" fillId="36" borderId="0" xfId="0">
      <alignment vertical="top"/>
    </xf>
    <xf numFmtId="0" fontId="0" fillId="36" borderId="0" xfId="0">
      <alignment vertical="top"/>
    </xf>
    <xf numFmtId="0" fontId="0" fillId="36" borderId="0" xfId="0" applyAlignment="1">
      <alignment vertical="top" wrapText="1"/>
    </xf>
    <xf numFmtId="0" fontId="58" fillId="36" borderId="0" xfId="50" applyNumberFormat="1" applyProtection="1">
      <alignment horizontal="left" vertical="center"/>
    </xf>
    <xf numFmtId="8" fontId="84" fillId="36" borderId="0" xfId="65" applyNumberFormat="1" applyAlignment="1">
      <alignment horizontal="center"/>
    </xf>
    <xf numFmtId="4" fontId="84" fillId="36" borderId="0" xfId="65" applyNumberFormat="1">
      <alignment vertical="top"/>
    </xf>
    <xf numFmtId="0" fontId="54" fillId="36" borderId="0" xfId="0" applyNumberFormat="1" applyFont="1">
      <alignment vertical="top"/>
    </xf>
    <xf numFmtId="185" fontId="0" fillId="36" borderId="0" xfId="0" applyNumberFormat="1" applyFont="1" applyAlignment="1">
      <alignment horizontal="left" vertical="top"/>
    </xf>
    <xf numFmtId="0" fontId="0" fillId="36" borderId="30" xfId="0" applyFont="1" applyBorder="1" applyAlignment="1">
      <alignment vertical="top" wrapText="1"/>
    </xf>
    <xf numFmtId="0" fontId="0" fillId="36" borderId="0" xfId="0" applyAlignment="1">
      <alignment vertical="top" wrapText="1"/>
    </xf>
    <xf numFmtId="0" fontId="0" fillId="36" borderId="0" xfId="0">
      <alignment vertical="top"/>
    </xf>
    <xf numFmtId="0" fontId="85" fillId="40" borderId="14" xfId="53" applyProtection="1">
      <alignment horizontal="left"/>
    </xf>
    <xf numFmtId="0" fontId="0" fillId="36" borderId="0" xfId="0">
      <alignment vertical="top"/>
    </xf>
    <xf numFmtId="174" fontId="54" fillId="37" borderId="15" xfId="54" applyNumberFormat="1" applyAlignment="1">
      <alignment horizontal="center" vertical="top"/>
      <protection locked="0"/>
    </xf>
    <xf numFmtId="174" fontId="54" fillId="39" borderId="15" xfId="58" applyNumberFormat="1" applyAlignment="1">
      <alignment horizontal="center" vertical="top"/>
      <protection locked="0"/>
    </xf>
    <xf numFmtId="0" fontId="87" fillId="36" borderId="0" xfId="63" applyFont="1" applyAlignment="1">
      <alignment vertical="top" wrapText="1"/>
    </xf>
    <xf numFmtId="0" fontId="59" fillId="36" borderId="0" xfId="63" applyFont="1" applyAlignment="1">
      <alignment vertical="top" wrapText="1"/>
    </xf>
    <xf numFmtId="174" fontId="68" fillId="36" borderId="0" xfId="55" applyNumberFormat="1">
      <alignment vertical="top"/>
    </xf>
    <xf numFmtId="0" fontId="54" fillId="39" borderId="15" xfId="58" applyNumberFormat="1" applyAlignment="1" applyProtection="1">
      <alignment horizontal="center" vertical="top"/>
      <protection locked="0"/>
    </xf>
    <xf numFmtId="9" fontId="54" fillId="39" borderId="15" xfId="58" applyNumberFormat="1" applyAlignment="1" applyProtection="1">
      <alignment horizontal="center" vertical="top"/>
      <protection locked="0"/>
    </xf>
    <xf numFmtId="4" fontId="54" fillId="39" borderId="15" xfId="58" applyNumberFormat="1" applyAlignment="1" applyProtection="1">
      <alignment horizontal="center" vertical="top"/>
      <protection locked="0"/>
    </xf>
    <xf numFmtId="3" fontId="88" fillId="36" borderId="0" xfId="65" applyNumberFormat="1" applyFont="1">
      <alignment vertical="top"/>
    </xf>
    <xf numFmtId="0" fontId="100" fillId="36" borderId="0" xfId="59" applyFont="1">
      <alignment vertical="top"/>
    </xf>
    <xf numFmtId="0" fontId="0" fillId="36" borderId="34" xfId="0" applyBorder="1">
      <alignment vertical="top"/>
    </xf>
    <xf numFmtId="0" fontId="50" fillId="36" borderId="0" xfId="110" applyFont="1" applyAlignment="1">
      <alignment vertical="top"/>
    </xf>
    <xf numFmtId="0" fontId="0" fillId="36" borderId="27" xfId="0" applyBorder="1">
      <alignment vertical="top"/>
    </xf>
    <xf numFmtId="0" fontId="57" fillId="35" borderId="35" xfId="52" applyBorder="1" applyProtection="1">
      <alignment horizontal="center"/>
    </xf>
    <xf numFmtId="0" fontId="57" fillId="35" borderId="22" xfId="52" applyBorder="1" applyProtection="1">
      <alignment horizontal="center"/>
    </xf>
    <xf numFmtId="0" fontId="0" fillId="36" borderId="29" xfId="0" applyBorder="1">
      <alignment vertical="top"/>
    </xf>
    <xf numFmtId="0" fontId="68" fillId="36" borderId="0" xfId="55" applyNumberFormat="1">
      <alignment vertical="top"/>
    </xf>
    <xf numFmtId="0" fontId="0" fillId="36" borderId="0" xfId="0">
      <alignment vertical="top"/>
    </xf>
    <xf numFmtId="0" fontId="0" fillId="36" borderId="40" xfId="0" applyBorder="1">
      <alignment vertical="top"/>
    </xf>
    <xf numFmtId="2" fontId="0" fillId="36" borderId="38" xfId="0" applyNumberFormat="1" applyBorder="1">
      <alignment vertical="top"/>
    </xf>
    <xf numFmtId="0" fontId="0" fillId="36" borderId="45" xfId="0" applyFont="1" applyBorder="1">
      <alignment vertical="top"/>
    </xf>
    <xf numFmtId="2" fontId="0" fillId="36" borderId="2" xfId="0" applyNumberFormat="1" applyFont="1" applyBorder="1" applyAlignment="1">
      <alignment horizontal="center" vertical="top"/>
    </xf>
    <xf numFmtId="0" fontId="0" fillId="36" borderId="44" xfId="0" applyFont="1" applyBorder="1">
      <alignment vertical="top"/>
    </xf>
    <xf numFmtId="0" fontId="0" fillId="36" borderId="1" xfId="0" applyFont="1" applyBorder="1">
      <alignment vertical="top"/>
    </xf>
    <xf numFmtId="2" fontId="0" fillId="36" borderId="0" xfId="0" applyNumberFormat="1" applyFont="1" applyBorder="1" applyAlignment="1">
      <alignment horizontal="center" vertical="top"/>
    </xf>
    <xf numFmtId="0" fontId="0" fillId="36" borderId="3" xfId="0" applyFont="1" applyBorder="1">
      <alignment vertical="top"/>
    </xf>
    <xf numFmtId="0" fontId="0" fillId="36" borderId="41" xfId="0" applyFont="1" applyBorder="1">
      <alignment vertical="top"/>
    </xf>
    <xf numFmtId="1" fontId="100" fillId="36" borderId="0" xfId="55" applyNumberFormat="1" applyFont="1">
      <alignment vertical="top"/>
    </xf>
    <xf numFmtId="2" fontId="68" fillId="36" borderId="0" xfId="55" applyNumberFormat="1">
      <alignment vertical="top"/>
    </xf>
    <xf numFmtId="167" fontId="68" fillId="36" borderId="0" xfId="55" applyNumberFormat="1">
      <alignment vertical="top"/>
    </xf>
    <xf numFmtId="0" fontId="101" fillId="36" borderId="0" xfId="55" applyNumberFormat="1" applyFont="1">
      <alignment vertical="top"/>
    </xf>
    <xf numFmtId="0" fontId="0" fillId="36" borderId="2" xfId="0" applyFont="1" applyBorder="1">
      <alignment vertical="top"/>
    </xf>
    <xf numFmtId="167" fontId="0" fillId="36" borderId="3" xfId="0" applyNumberFormat="1" applyFont="1" applyBorder="1">
      <alignment vertical="top"/>
    </xf>
    <xf numFmtId="167" fontId="0" fillId="36" borderId="42" xfId="0" applyNumberFormat="1" applyFont="1" applyBorder="1">
      <alignment vertical="top"/>
    </xf>
    <xf numFmtId="2" fontId="0" fillId="36" borderId="43" xfId="0" applyNumberFormat="1" applyFont="1" applyBorder="1" applyAlignment="1">
      <alignment horizontal="center" vertical="top"/>
    </xf>
    <xf numFmtId="2" fontId="0" fillId="36" borderId="0" xfId="0" applyNumberFormat="1" applyFont="1" applyBorder="1">
      <alignment vertical="top"/>
    </xf>
    <xf numFmtId="0" fontId="0" fillId="36" borderId="44" xfId="0" applyFont="1" applyBorder="1" applyAlignment="1">
      <alignment horizontal="center" vertical="top"/>
    </xf>
    <xf numFmtId="175" fontId="68" fillId="36" borderId="0" xfId="55" applyNumberFormat="1">
      <alignment vertical="top"/>
    </xf>
    <xf numFmtId="167" fontId="68" fillId="36" borderId="0" xfId="55" applyNumberFormat="1">
      <alignment vertical="top"/>
    </xf>
    <xf numFmtId="0" fontId="0" fillId="36" borderId="0" xfId="0">
      <alignment vertical="top"/>
    </xf>
    <xf numFmtId="0" fontId="54" fillId="36" borderId="0" xfId="59">
      <alignment vertical="top"/>
    </xf>
    <xf numFmtId="0" fontId="54" fillId="36" borderId="0" xfId="59">
      <alignment vertical="top"/>
    </xf>
    <xf numFmtId="0" fontId="54" fillId="36" borderId="0" xfId="59">
      <alignment vertical="top"/>
    </xf>
    <xf numFmtId="167" fontId="68" fillId="36" borderId="0" xfId="55" applyNumberFormat="1">
      <alignment vertical="top"/>
    </xf>
    <xf numFmtId="0" fontId="0" fillId="36" borderId="0" xfId="0" applyAlignment="1">
      <alignment vertical="top" wrapText="1"/>
    </xf>
    <xf numFmtId="0" fontId="109" fillId="36" borderId="0" xfId="0" applyFont="1">
      <alignment vertical="top"/>
    </xf>
    <xf numFmtId="0" fontId="110" fillId="40" borderId="14" xfId="53" applyFont="1" applyProtection="1">
      <alignment horizontal="left"/>
    </xf>
    <xf numFmtId="0" fontId="85" fillId="40" borderId="14" xfId="53" applyFont="1" applyProtection="1">
      <alignment horizontal="left"/>
    </xf>
    <xf numFmtId="0" fontId="0" fillId="36" borderId="0" xfId="0" applyFont="1" applyBorder="1" applyAlignment="1">
      <alignment horizontal="left" vertical="top" indent="1"/>
    </xf>
    <xf numFmtId="0" fontId="112" fillId="36" borderId="0" xfId="0" applyFont="1">
      <alignment vertical="top"/>
    </xf>
    <xf numFmtId="0" fontId="0" fillId="36" borderId="0" xfId="0" applyAlignment="1">
      <alignment horizontal="left" vertical="top" wrapText="1"/>
    </xf>
    <xf numFmtId="0" fontId="0" fillId="36" borderId="18" xfId="0" applyBorder="1">
      <alignment vertical="top"/>
    </xf>
    <xf numFmtId="0" fontId="0" fillId="0" borderId="0" xfId="0" applyFill="1">
      <alignment vertical="top"/>
    </xf>
    <xf numFmtId="0" fontId="57" fillId="35" borderId="13" xfId="52" applyFont="1" applyProtection="1">
      <alignment horizontal="center"/>
    </xf>
    <xf numFmtId="167" fontId="68" fillId="36" borderId="0" xfId="55" applyNumberFormat="1">
      <alignment vertical="top"/>
    </xf>
    <xf numFmtId="0" fontId="58" fillId="36" borderId="0" xfId="50" applyNumberFormat="1" applyAlignment="1" applyProtection="1">
      <alignment horizontal="left" vertical="center"/>
    </xf>
    <xf numFmtId="0" fontId="24" fillId="36" borderId="2" xfId="0" applyFont="1" applyBorder="1" applyAlignment="1">
      <alignment horizontal="left" vertical="top"/>
    </xf>
    <xf numFmtId="0" fontId="24" fillId="12" borderId="0" xfId="0" applyFont="1" applyFill="1" applyAlignment="1">
      <alignment horizontal="left" vertical="top"/>
    </xf>
    <xf numFmtId="0" fontId="24" fillId="11" borderId="0" xfId="0" applyFont="1" applyFill="1" applyAlignment="1">
      <alignment horizontal="left" vertical="top"/>
    </xf>
    <xf numFmtId="0" fontId="24" fillId="36" borderId="2" xfId="0" applyFont="1" applyBorder="1" applyAlignment="1">
      <alignment horizontal="left" vertical="top" wrapText="1"/>
    </xf>
    <xf numFmtId="0" fontId="0" fillId="12" borderId="0" xfId="0" applyFill="1" applyAlignment="1">
      <alignment horizontal="left" vertical="top" wrapText="1"/>
    </xf>
    <xf numFmtId="0" fontId="0" fillId="11" borderId="0" xfId="0" applyFill="1" applyAlignment="1">
      <alignment horizontal="left" vertical="top" wrapText="1"/>
    </xf>
    <xf numFmtId="0" fontId="0" fillId="36" borderId="0" xfId="0">
      <alignment vertical="top"/>
    </xf>
    <xf numFmtId="2" fontId="68" fillId="36" borderId="51" xfId="55" applyNumberFormat="1" applyBorder="1">
      <alignment vertical="top"/>
    </xf>
    <xf numFmtId="169" fontId="68" fillId="36" borderId="51" xfId="55" applyNumberFormat="1" applyBorder="1">
      <alignment vertical="top"/>
    </xf>
    <xf numFmtId="10" fontId="68" fillId="36" borderId="51" xfId="55" applyNumberFormat="1" applyBorder="1">
      <alignment vertical="top"/>
    </xf>
    <xf numFmtId="169" fontId="54" fillId="38" borderId="51" xfId="56" applyNumberFormat="1" applyBorder="1">
      <alignment vertical="top"/>
    </xf>
    <xf numFmtId="167" fontId="0" fillId="36" borderId="2" xfId="0" applyNumberFormat="1" applyBorder="1">
      <alignment vertical="top"/>
    </xf>
    <xf numFmtId="2" fontId="68" fillId="36" borderId="42" xfId="55" applyNumberFormat="1" applyBorder="1">
      <alignment vertical="top"/>
    </xf>
    <xf numFmtId="1" fontId="100" fillId="36" borderId="1" xfId="55" applyNumberFormat="1" applyFont="1" applyBorder="1">
      <alignment vertical="top"/>
    </xf>
    <xf numFmtId="175" fontId="68" fillId="36" borderId="1" xfId="55" applyNumberFormat="1" applyBorder="1">
      <alignment vertical="top"/>
    </xf>
    <xf numFmtId="167" fontId="68" fillId="36" borderId="42" xfId="55" applyNumberFormat="1" applyBorder="1">
      <alignment vertical="top"/>
    </xf>
    <xf numFmtId="0" fontId="68" fillId="36" borderId="1" xfId="55" applyNumberFormat="1" applyBorder="1">
      <alignment vertical="top"/>
    </xf>
    <xf numFmtId="2" fontId="68" fillId="36" borderId="1" xfId="55" quotePrefix="1" applyNumberFormat="1" applyBorder="1" applyAlignment="1">
      <alignment horizontal="center"/>
    </xf>
    <xf numFmtId="0" fontId="80" fillId="36" borderId="0" xfId="63" applyAlignment="1">
      <alignment vertical="top" wrapText="1"/>
    </xf>
    <xf numFmtId="0" fontId="0" fillId="36" borderId="0" xfId="0" applyAlignment="1">
      <alignment vertical="top" wrapText="1"/>
    </xf>
    <xf numFmtId="0" fontId="0" fillId="36" borderId="0" xfId="0" applyAlignment="1">
      <alignment horizontal="center" vertical="top"/>
    </xf>
    <xf numFmtId="1" fontId="100" fillId="0" borderId="0" xfId="56" applyNumberFormat="1" applyFont="1" applyFill="1" applyAlignment="1">
      <alignment horizontal="left" vertical="top" indent="1"/>
    </xf>
    <xf numFmtId="1" fontId="0" fillId="36" borderId="0" xfId="0" applyNumberFormat="1" applyAlignment="1">
      <alignment horizontal="center" vertical="top"/>
    </xf>
    <xf numFmtId="3" fontId="54" fillId="37" borderId="15" xfId="54" applyNumberFormat="1" applyAlignment="1">
      <alignment vertical="top"/>
      <protection locked="0"/>
    </xf>
    <xf numFmtId="3" fontId="54" fillId="37" borderId="32" xfId="54" applyNumberFormat="1" applyBorder="1" applyAlignment="1">
      <alignment vertical="top"/>
      <protection locked="0"/>
    </xf>
    <xf numFmtId="3" fontId="54" fillId="37" borderId="33" xfId="54" applyNumberFormat="1" applyFont="1" applyBorder="1" applyAlignment="1">
      <alignment vertical="top"/>
      <protection locked="0"/>
    </xf>
    <xf numFmtId="0" fontId="100" fillId="37" borderId="33" xfId="0" applyFont="1" applyFill="1" applyBorder="1" applyAlignment="1">
      <alignment horizontal="center" vertical="top"/>
    </xf>
    <xf numFmtId="0" fontId="0" fillId="36" borderId="0" xfId="0">
      <alignment vertical="top"/>
    </xf>
    <xf numFmtId="0" fontId="131" fillId="35" borderId="0" xfId="0" applyNumberFormat="1" applyFont="1" applyFill="1" applyAlignment="1">
      <alignment horizontal="center" vertical="top"/>
    </xf>
    <xf numFmtId="0" fontId="132" fillId="36" borderId="0" xfId="0" applyFont="1">
      <alignment vertical="top"/>
    </xf>
    <xf numFmtId="0" fontId="0" fillId="36" borderId="33" xfId="0" applyBorder="1" applyAlignment="1">
      <alignment vertical="top" wrapText="1"/>
    </xf>
    <xf numFmtId="1" fontId="100" fillId="0" borderId="33" xfId="0" applyNumberFormat="1" applyFont="1" applyFill="1" applyBorder="1" applyAlignment="1">
      <alignment horizontal="center"/>
    </xf>
    <xf numFmtId="2" fontId="100" fillId="0" borderId="33" xfId="0" applyNumberFormat="1" applyFont="1" applyFill="1" applyBorder="1" applyAlignment="1">
      <alignment horizontal="center"/>
    </xf>
    <xf numFmtId="0" fontId="0" fillId="36" borderId="33" xfId="0" applyBorder="1">
      <alignment vertical="top"/>
    </xf>
    <xf numFmtId="186" fontId="100" fillId="37" borderId="33" xfId="0" applyNumberFormat="1" applyFont="1" applyFill="1" applyBorder="1" applyAlignment="1">
      <alignment horizontal="center"/>
    </xf>
    <xf numFmtId="167" fontId="68" fillId="36" borderId="2" xfId="55" applyNumberFormat="1" applyBorder="1">
      <alignment vertical="top"/>
    </xf>
    <xf numFmtId="0" fontId="54" fillId="36" borderId="0" xfId="5085">
      <alignment vertical="top"/>
    </xf>
    <xf numFmtId="0" fontId="54" fillId="36" borderId="0" xfId="5085" applyBorder="1">
      <alignment vertical="top"/>
    </xf>
    <xf numFmtId="2" fontId="68" fillId="36" borderId="0" xfId="55" applyNumberFormat="1" applyFont="1">
      <alignment vertical="top"/>
    </xf>
    <xf numFmtId="169" fontId="54" fillId="38" borderId="0" xfId="5084" applyNumberFormat="1" applyAlignment="1">
      <alignment vertical="top"/>
    </xf>
    <xf numFmtId="0" fontId="54" fillId="36" borderId="0" xfId="5087">
      <alignment vertical="top"/>
    </xf>
    <xf numFmtId="0" fontId="54" fillId="36" borderId="1" xfId="5087" applyBorder="1">
      <alignment vertical="top"/>
    </xf>
    <xf numFmtId="0" fontId="54" fillId="36" borderId="0" xfId="5087" applyBorder="1">
      <alignment vertical="top"/>
    </xf>
    <xf numFmtId="169" fontId="54" fillId="38" borderId="0" xfId="5086" applyNumberFormat="1" applyAlignment="1">
      <alignment vertical="top"/>
    </xf>
    <xf numFmtId="167" fontId="101" fillId="36" borderId="0" xfId="55" applyNumberFormat="1" applyFont="1">
      <alignment vertical="top"/>
    </xf>
    <xf numFmtId="0" fontId="54" fillId="36" borderId="0" xfId="5088">
      <alignment vertical="top"/>
    </xf>
    <xf numFmtId="0" fontId="54" fillId="36" borderId="13" xfId="59" applyBorder="1">
      <alignment vertical="top"/>
    </xf>
    <xf numFmtId="0" fontId="0" fillId="36" borderId="13" xfId="0" applyBorder="1">
      <alignment vertical="top"/>
    </xf>
    <xf numFmtId="167" fontId="135" fillId="36" borderId="0" xfId="0" applyNumberFormat="1" applyFont="1">
      <alignment vertical="top"/>
    </xf>
    <xf numFmtId="0" fontId="0" fillId="36" borderId="22" xfId="0" applyBorder="1">
      <alignment vertical="top"/>
    </xf>
    <xf numFmtId="2" fontId="135" fillId="36" borderId="0" xfId="0" applyNumberFormat="1" applyFont="1">
      <alignment vertical="top"/>
    </xf>
    <xf numFmtId="2" fontId="135" fillId="36" borderId="1" xfId="0" applyNumberFormat="1" applyFont="1" applyBorder="1">
      <alignment vertical="top"/>
    </xf>
    <xf numFmtId="167" fontId="94" fillId="0" borderId="0" xfId="55" applyNumberFormat="1" applyFont="1" applyFill="1" applyBorder="1">
      <alignment vertical="top"/>
    </xf>
    <xf numFmtId="167" fontId="135" fillId="0" borderId="0" xfId="0" applyNumberFormat="1" applyFont="1" applyFill="1" applyBorder="1">
      <alignment vertical="top"/>
    </xf>
    <xf numFmtId="0" fontId="135" fillId="0" borderId="0" xfId="0" applyFont="1" applyFill="1" applyBorder="1">
      <alignment vertical="top"/>
    </xf>
    <xf numFmtId="0" fontId="94" fillId="0" borderId="0" xfId="55" applyNumberFormat="1" applyFont="1" applyFill="1" applyBorder="1">
      <alignment vertical="top"/>
    </xf>
    <xf numFmtId="169" fontId="94" fillId="0" borderId="0" xfId="58" applyNumberFormat="1" applyFont="1" applyFill="1" applyBorder="1">
      <alignment vertical="top"/>
      <protection locked="0"/>
    </xf>
    <xf numFmtId="169" fontId="94" fillId="0" borderId="0" xfId="55" applyNumberFormat="1" applyFont="1" applyFill="1" applyBorder="1">
      <alignment vertical="top"/>
    </xf>
    <xf numFmtId="169" fontId="135" fillId="0" borderId="0" xfId="4534" applyNumberFormat="1" applyFont="1" applyFill="1" applyBorder="1" applyAlignment="1">
      <alignment vertical="top"/>
    </xf>
    <xf numFmtId="175" fontId="94" fillId="0" borderId="0" xfId="58" applyNumberFormat="1" applyFont="1" applyFill="1" applyBorder="1">
      <alignment vertical="top"/>
      <protection locked="0"/>
    </xf>
    <xf numFmtId="0" fontId="54" fillId="36" borderId="18" xfId="59" applyBorder="1">
      <alignment vertical="top"/>
    </xf>
    <xf numFmtId="167" fontId="135" fillId="36" borderId="3" xfId="0" applyNumberFormat="1" applyFont="1" applyBorder="1">
      <alignment vertical="top"/>
    </xf>
    <xf numFmtId="167" fontId="135" fillId="36" borderId="42" xfId="0" applyNumberFormat="1" applyFont="1" applyBorder="1">
      <alignment vertical="top"/>
    </xf>
    <xf numFmtId="167" fontId="135" fillId="36" borderId="0" xfId="0" applyNumberFormat="1" applyFont="1" applyBorder="1">
      <alignment vertical="top"/>
    </xf>
    <xf numFmtId="167" fontId="68" fillId="36" borderId="0" xfId="55" applyNumberFormat="1">
      <alignment vertical="top"/>
    </xf>
    <xf numFmtId="0" fontId="61" fillId="36" borderId="0" xfId="0" applyFont="1">
      <alignment vertical="top"/>
    </xf>
    <xf numFmtId="167" fontId="94" fillId="0" borderId="2" xfId="5291" applyNumberFormat="1" applyFont="1" applyBorder="1" applyAlignment="1">
      <alignment vertical="top"/>
    </xf>
    <xf numFmtId="167" fontId="94" fillId="0" borderId="45" xfId="5291" applyNumberFormat="1" applyFont="1" applyBorder="1" applyAlignment="1">
      <alignment vertical="top"/>
    </xf>
    <xf numFmtId="167" fontId="94" fillId="0" borderId="2" xfId="5290" applyNumberFormat="1" applyFont="1" applyBorder="1" applyAlignment="1">
      <alignment vertical="top"/>
    </xf>
    <xf numFmtId="167" fontId="94" fillId="0" borderId="45" xfId="5290" applyNumberFormat="1" applyFont="1" applyBorder="1" applyAlignment="1">
      <alignment vertical="top"/>
    </xf>
    <xf numFmtId="2" fontId="94" fillId="36" borderId="0" xfId="55" applyNumberFormat="1" applyFont="1">
      <alignment vertical="top"/>
    </xf>
    <xf numFmtId="2" fontId="94" fillId="36" borderId="1" xfId="55" applyNumberFormat="1" applyFont="1" applyBorder="1">
      <alignment vertical="top"/>
    </xf>
    <xf numFmtId="0" fontId="0" fillId="36" borderId="0" xfId="0" applyAlignment="1">
      <alignment vertical="top" wrapText="1"/>
    </xf>
    <xf numFmtId="185" fontId="24" fillId="36" borderId="0" xfId="0" applyNumberFormat="1" applyFont="1" applyAlignment="1">
      <alignment horizontal="left" vertical="top"/>
    </xf>
    <xf numFmtId="169" fontId="68" fillId="36" borderId="1" xfId="55" applyNumberFormat="1" applyBorder="1">
      <alignment vertical="top"/>
    </xf>
    <xf numFmtId="10" fontId="68" fillId="36" borderId="1" xfId="55" applyNumberFormat="1" applyBorder="1">
      <alignment vertical="top"/>
    </xf>
    <xf numFmtId="176" fontId="70" fillId="36" borderId="1" xfId="49" applyFill="1" applyBorder="1" applyAlignment="1">
      <alignment vertical="top"/>
    </xf>
    <xf numFmtId="2" fontId="68" fillId="36" borderId="53" xfId="55" applyNumberFormat="1" applyBorder="1">
      <alignment vertical="top"/>
    </xf>
    <xf numFmtId="4" fontId="68" fillId="36" borderId="1" xfId="55" applyNumberFormat="1" applyBorder="1">
      <alignment vertical="top"/>
    </xf>
    <xf numFmtId="0" fontId="0" fillId="36" borderId="0" xfId="0">
      <alignment vertical="top"/>
    </xf>
    <xf numFmtId="164" fontId="0" fillId="36" borderId="0" xfId="0" applyNumberFormat="1">
      <alignment vertical="top"/>
    </xf>
    <xf numFmtId="0" fontId="0" fillId="36" borderId="0" xfId="0">
      <alignment vertical="top"/>
    </xf>
    <xf numFmtId="0" fontId="0" fillId="36" borderId="0" xfId="0" applyAlignment="1">
      <alignment vertical="top" wrapText="1"/>
    </xf>
    <xf numFmtId="167" fontId="68" fillId="36" borderId="0" xfId="55" applyNumberFormat="1">
      <alignment vertical="top"/>
    </xf>
    <xf numFmtId="2" fontId="68" fillId="36" borderId="0" xfId="55" applyNumberFormat="1">
      <alignment vertical="top"/>
    </xf>
    <xf numFmtId="2" fontId="68" fillId="36" borderId="3" xfId="55" applyNumberFormat="1" applyBorder="1">
      <alignment vertical="top"/>
    </xf>
    <xf numFmtId="0" fontId="68" fillId="36" borderId="0" xfId="55" applyNumberFormat="1" applyAlignment="1">
      <alignment horizontal="center"/>
    </xf>
    <xf numFmtId="14" fontId="0" fillId="36" borderId="0" xfId="0" applyNumberFormat="1" applyAlignment="1">
      <alignment horizontal="left" vertical="top"/>
    </xf>
    <xf numFmtId="0" fontId="0" fillId="36" borderId="0" xfId="0" applyAlignment="1">
      <alignment horizontal="left" vertical="top" wrapText="1"/>
    </xf>
    <xf numFmtId="167" fontId="68" fillId="36" borderId="1" xfId="55" applyNumberFormat="1" applyBorder="1">
      <alignment vertical="top"/>
    </xf>
    <xf numFmtId="167" fontId="135" fillId="36" borderId="0" xfId="0" applyNumberFormat="1" applyFont="1">
      <alignment vertical="top"/>
    </xf>
    <xf numFmtId="167" fontId="135" fillId="36" borderId="1" xfId="0" applyNumberFormat="1" applyFont="1" applyBorder="1">
      <alignment vertical="top"/>
    </xf>
    <xf numFmtId="3" fontId="68" fillId="36" borderId="0" xfId="55" applyNumberFormat="1" applyAlignment="1">
      <alignment horizontal="right"/>
    </xf>
    <xf numFmtId="0" fontId="0" fillId="39" borderId="0" xfId="0" applyFill="1">
      <alignment vertical="top"/>
    </xf>
    <xf numFmtId="2" fontId="0" fillId="36" borderId="3" xfId="0" applyNumberFormat="1" applyBorder="1">
      <alignment vertical="top"/>
    </xf>
    <xf numFmtId="0" fontId="0" fillId="36" borderId="0" xfId="0">
      <alignment vertical="top"/>
    </xf>
    <xf numFmtId="170" fontId="54" fillId="39" borderId="54" xfId="58" applyNumberFormat="1" applyBorder="1" applyAlignment="1">
      <alignment horizontal="center" vertical="top"/>
      <protection locked="0"/>
    </xf>
    <xf numFmtId="0" fontId="85" fillId="40" borderId="30" xfId="53" applyBorder="1" applyProtection="1">
      <alignment horizontal="left"/>
    </xf>
    <xf numFmtId="0" fontId="0" fillId="36" borderId="0" xfId="0" applyBorder="1" applyAlignment="1">
      <alignment horizontal="left"/>
    </xf>
    <xf numFmtId="169" fontId="0" fillId="39" borderId="33" xfId="4534" applyNumberFormat="1" applyFont="1" applyFill="1" applyBorder="1" applyAlignment="1">
      <alignment horizontal="center" vertical="top"/>
    </xf>
    <xf numFmtId="169" fontId="68" fillId="36" borderId="0" xfId="4534" applyNumberFormat="1" applyFont="1" applyFill="1" applyAlignment="1">
      <alignment horizontal="right" vertical="top"/>
    </xf>
    <xf numFmtId="0" fontId="0" fillId="36" borderId="0" xfId="0" applyAlignment="1">
      <alignment vertical="top" wrapText="1"/>
    </xf>
    <xf numFmtId="0" fontId="0" fillId="36" borderId="0" xfId="0" applyAlignment="1">
      <alignment horizontal="left" vertical="top" wrapText="1"/>
    </xf>
    <xf numFmtId="0" fontId="0" fillId="36" borderId="0" xfId="0">
      <alignment vertical="top"/>
    </xf>
    <xf numFmtId="2" fontId="68" fillId="36" borderId="0" xfId="55">
      <alignment vertical="top"/>
    </xf>
    <xf numFmtId="2" fontId="68" fillId="36" borderId="0" xfId="55" applyFont="1">
      <alignment vertical="top"/>
    </xf>
    <xf numFmtId="0" fontId="57" fillId="35" borderId="21" xfId="52" applyBorder="1" applyProtection="1">
      <alignment horizontal="center"/>
    </xf>
    <xf numFmtId="0" fontId="57" fillId="35" borderId="0" xfId="52" applyBorder="1" applyProtection="1">
      <alignment horizontal="center"/>
    </xf>
    <xf numFmtId="0" fontId="54" fillId="36" borderId="0" xfId="59" applyBorder="1">
      <alignment vertical="top"/>
    </xf>
    <xf numFmtId="2" fontId="68" fillId="36" borderId="0" xfId="55" applyNumberFormat="1" applyBorder="1">
      <alignment vertical="top"/>
    </xf>
    <xf numFmtId="2" fontId="68" fillId="36" borderId="0" xfId="55" applyNumberFormat="1" applyFont="1" applyBorder="1">
      <alignment vertical="top"/>
    </xf>
    <xf numFmtId="0" fontId="0" fillId="36" borderId="43" xfId="0" applyBorder="1">
      <alignment vertical="top"/>
    </xf>
    <xf numFmtId="0" fontId="57" fillId="35" borderId="55" xfId="52" applyBorder="1" applyProtection="1">
      <alignment horizontal="center"/>
    </xf>
    <xf numFmtId="0" fontId="0" fillId="36" borderId="0" xfId="0">
      <alignment vertical="top"/>
    </xf>
    <xf numFmtId="0" fontId="0" fillId="36" borderId="43" xfId="0" applyFont="1" applyBorder="1" applyAlignment="1">
      <alignment horizontal="left" vertical="top"/>
    </xf>
    <xf numFmtId="0" fontId="0" fillId="36" borderId="44" xfId="0" applyFont="1" applyBorder="1" applyAlignment="1">
      <alignment horizontal="left" vertical="top"/>
    </xf>
    <xf numFmtId="0" fontId="0" fillId="36" borderId="40" xfId="0" applyFont="1" applyBorder="1">
      <alignment vertical="top"/>
    </xf>
    <xf numFmtId="0" fontId="0" fillId="36" borderId="39" xfId="0" applyFont="1" applyBorder="1">
      <alignment vertical="top"/>
    </xf>
    <xf numFmtId="0" fontId="0" fillId="36" borderId="38" xfId="0" applyFont="1" applyBorder="1">
      <alignment vertical="top"/>
    </xf>
    <xf numFmtId="0" fontId="59" fillId="36" borderId="40" xfId="0" applyFont="1" applyBorder="1">
      <alignment vertical="top"/>
    </xf>
    <xf numFmtId="2" fontId="94" fillId="36" borderId="38" xfId="55" applyNumberFormat="1" applyFont="1" applyBorder="1">
      <alignment vertical="top"/>
    </xf>
    <xf numFmtId="2" fontId="94" fillId="36" borderId="39" xfId="55" applyNumberFormat="1" applyFont="1" applyBorder="1">
      <alignment vertical="top"/>
    </xf>
    <xf numFmtId="2" fontId="0" fillId="36" borderId="56" xfId="0" applyNumberFormat="1" applyBorder="1">
      <alignment vertical="top"/>
    </xf>
    <xf numFmtId="2" fontId="0" fillId="36" borderId="56" xfId="0" applyNumberFormat="1" applyFont="1" applyBorder="1">
      <alignment vertical="top"/>
    </xf>
    <xf numFmtId="166" fontId="0" fillId="36" borderId="0" xfId="0" applyNumberFormat="1">
      <alignment vertical="top"/>
    </xf>
    <xf numFmtId="0" fontId="138" fillId="45" borderId="46" xfId="0" applyFont="1" applyFill="1" applyBorder="1">
      <alignment vertical="top"/>
    </xf>
    <xf numFmtId="167" fontId="139" fillId="45" borderId="3" xfId="55" applyNumberFormat="1" applyFont="1" applyFill="1" applyBorder="1">
      <alignment vertical="top"/>
    </xf>
    <xf numFmtId="167" fontId="139" fillId="45" borderId="42" xfId="55" applyNumberFormat="1" applyFont="1" applyFill="1" applyBorder="1">
      <alignment vertical="top"/>
    </xf>
    <xf numFmtId="0" fontId="61" fillId="36" borderId="0" xfId="0" applyFont="1" applyAlignment="1">
      <alignment horizontal="left" vertical="top" indent="2"/>
    </xf>
    <xf numFmtId="0" fontId="101" fillId="36" borderId="0" xfId="55" applyNumberFormat="1" applyFont="1" applyBorder="1">
      <alignment vertical="top"/>
    </xf>
    <xf numFmtId="169" fontId="101" fillId="36" borderId="0" xfId="55" applyNumberFormat="1" applyFont="1" applyBorder="1">
      <alignment vertical="top"/>
    </xf>
    <xf numFmtId="0" fontId="61" fillId="36" borderId="0" xfId="0" applyNumberFormat="1" applyFont="1">
      <alignment vertical="top"/>
    </xf>
    <xf numFmtId="2" fontId="68" fillId="36" borderId="0" xfId="55" quotePrefix="1" applyNumberFormat="1">
      <alignment vertical="top"/>
    </xf>
    <xf numFmtId="0" fontId="59" fillId="36" borderId="0" xfId="0" applyFont="1" applyAlignment="1">
      <alignment horizontal="left" vertical="top" indent="2"/>
    </xf>
    <xf numFmtId="0" fontId="100" fillId="36" borderId="0" xfId="55" applyNumberFormat="1" applyFont="1">
      <alignment vertical="top"/>
    </xf>
    <xf numFmtId="0" fontId="100" fillId="36" borderId="0" xfId="55" applyNumberFormat="1" applyFont="1" applyBorder="1">
      <alignment vertical="top"/>
    </xf>
    <xf numFmtId="0" fontId="59" fillId="36" borderId="0" xfId="0" applyNumberFormat="1" applyFont="1">
      <alignment vertical="top"/>
    </xf>
    <xf numFmtId="169" fontId="94" fillId="36" borderId="0" xfId="55" applyNumberFormat="1" applyFont="1" applyBorder="1">
      <alignment vertical="top"/>
    </xf>
    <xf numFmtId="167" fontId="94" fillId="36" borderId="0" xfId="55" applyNumberFormat="1" applyFont="1">
      <alignment vertical="top"/>
    </xf>
    <xf numFmtId="167" fontId="94" fillId="36" borderId="3" xfId="55" applyNumberFormat="1" applyFont="1" applyBorder="1">
      <alignment vertical="top"/>
    </xf>
    <xf numFmtId="167" fontId="94" fillId="36" borderId="0" xfId="55" applyNumberFormat="1" applyFont="1" applyBorder="1">
      <alignment vertical="top"/>
    </xf>
    <xf numFmtId="10" fontId="94" fillId="36" borderId="0" xfId="55" applyNumberFormat="1" applyFont="1">
      <alignment vertical="top"/>
    </xf>
    <xf numFmtId="0" fontId="135" fillId="36" borderId="0" xfId="0" applyFont="1">
      <alignment vertical="top"/>
    </xf>
    <xf numFmtId="0" fontId="94" fillId="36" borderId="0" xfId="55" applyNumberFormat="1" applyFont="1">
      <alignment vertical="top"/>
    </xf>
    <xf numFmtId="169" fontId="94" fillId="36" borderId="0" xfId="55" applyNumberFormat="1" applyFont="1">
      <alignment vertical="top"/>
    </xf>
    <xf numFmtId="176" fontId="135" fillId="36" borderId="0" xfId="49" applyFont="1" applyFill="1" applyAlignment="1">
      <alignment vertical="top"/>
    </xf>
    <xf numFmtId="175" fontId="94" fillId="36" borderId="0" xfId="55" applyNumberFormat="1" applyFont="1">
      <alignment vertical="top"/>
    </xf>
    <xf numFmtId="165" fontId="94" fillId="36" borderId="0" xfId="55" applyNumberFormat="1" applyFont="1">
      <alignment vertical="top"/>
    </xf>
    <xf numFmtId="10" fontId="94" fillId="36" borderId="0" xfId="55" applyNumberFormat="1" applyFont="1" applyAlignment="1">
      <alignment vertical="top"/>
    </xf>
    <xf numFmtId="4" fontId="94" fillId="36" borderId="0" xfId="55" applyNumberFormat="1" applyFont="1">
      <alignment vertical="top"/>
    </xf>
    <xf numFmtId="10" fontId="94" fillId="36" borderId="3" xfId="55" applyNumberFormat="1" applyFont="1" applyBorder="1">
      <alignment vertical="top"/>
    </xf>
    <xf numFmtId="167" fontId="139" fillId="45" borderId="0" xfId="55" applyNumberFormat="1" applyFont="1" applyFill="1" applyBorder="1">
      <alignment vertical="top"/>
    </xf>
    <xf numFmtId="167" fontId="139" fillId="45" borderId="1" xfId="55" applyNumberFormat="1" applyFont="1" applyFill="1" applyBorder="1">
      <alignment vertical="top"/>
    </xf>
    <xf numFmtId="0" fontId="0" fillId="36" borderId="0" xfId="0" applyAlignment="1">
      <alignment horizontal="left" vertical="top" wrapText="1"/>
    </xf>
    <xf numFmtId="0" fontId="0" fillId="36" borderId="0" xfId="0" applyAlignment="1">
      <alignment vertical="top" wrapText="1"/>
    </xf>
    <xf numFmtId="169" fontId="0" fillId="36" borderId="0" xfId="4534" applyNumberFormat="1" applyFont="1" applyFill="1" applyBorder="1" applyAlignment="1">
      <alignment horizontal="center"/>
    </xf>
    <xf numFmtId="0" fontId="59" fillId="0" borderId="0" xfId="0" applyFont="1" applyFill="1" applyBorder="1" applyAlignment="1">
      <alignment vertical="top"/>
    </xf>
    <xf numFmtId="0" fontId="59" fillId="0" borderId="0" xfId="0" applyNumberFormat="1" applyFont="1" applyFill="1" applyBorder="1" applyAlignment="1">
      <alignment vertical="top"/>
    </xf>
    <xf numFmtId="0" fontId="59" fillId="0" borderId="1" xfId="0" applyFont="1" applyFill="1" applyBorder="1" applyAlignment="1">
      <alignment vertical="top"/>
    </xf>
    <xf numFmtId="0" fontId="0" fillId="36" borderId="0" xfId="0" applyAlignment="1">
      <alignment horizontal="center" vertical="top"/>
    </xf>
    <xf numFmtId="4" fontId="54" fillId="39" borderId="15" xfId="58" applyNumberFormat="1" applyAlignment="1">
      <alignment horizontal="center" vertical="top"/>
      <protection locked="0"/>
    </xf>
    <xf numFmtId="3" fontId="54" fillId="39" borderId="15" xfId="58" applyNumberFormat="1" applyAlignment="1">
      <alignment horizontal="center" vertical="top"/>
      <protection locked="0"/>
    </xf>
    <xf numFmtId="3" fontId="0" fillId="36" borderId="0" xfId="0" applyNumberFormat="1" applyAlignment="1">
      <alignment horizontal="center" vertical="top"/>
    </xf>
    <xf numFmtId="0" fontId="0" fillId="36" borderId="0" xfId="0" applyAlignment="1">
      <alignment vertical="top" wrapText="1"/>
    </xf>
    <xf numFmtId="0" fontId="0" fillId="36" borderId="0" xfId="0" applyAlignment="1">
      <alignment horizontal="left" vertical="top" wrapText="1" indent="1"/>
    </xf>
    <xf numFmtId="169" fontId="68" fillId="36" borderId="2" xfId="55" applyNumberFormat="1" applyBorder="1" applyAlignment="1">
      <alignment horizontal="center"/>
    </xf>
    <xf numFmtId="169" fontId="68" fillId="36" borderId="1" xfId="55" applyNumberFormat="1" applyBorder="1" applyAlignment="1">
      <alignment horizontal="center"/>
    </xf>
    <xf numFmtId="169" fontId="68" fillId="36" borderId="45" xfId="55" applyNumberFormat="1" applyBorder="1" applyAlignment="1">
      <alignment horizontal="center"/>
    </xf>
    <xf numFmtId="169" fontId="68" fillId="36" borderId="36" xfId="55" applyNumberFormat="1" applyBorder="1" applyAlignment="1">
      <alignment horizontal="center"/>
    </xf>
    <xf numFmtId="169" fontId="0" fillId="36" borderId="0" xfId="4534" applyNumberFormat="1" applyFont="1" applyFill="1" applyAlignment="1">
      <alignment vertical="top"/>
    </xf>
    <xf numFmtId="3" fontId="142" fillId="37" borderId="33" xfId="197" applyNumberFormat="1" applyFont="1" applyFill="1" applyBorder="1"/>
    <xf numFmtId="3" fontId="50" fillId="37" borderId="33" xfId="27271" applyNumberFormat="1" applyFont="1" applyFill="1" applyBorder="1"/>
    <xf numFmtId="166" fontId="68" fillId="36" borderId="0" xfId="55" applyNumberFormat="1" applyAlignment="1">
      <alignment horizontal="center"/>
    </xf>
    <xf numFmtId="2" fontId="135" fillId="36" borderId="0" xfId="0" applyNumberFormat="1" applyFont="1" applyAlignment="1">
      <alignment horizontal="center" vertical="top"/>
    </xf>
    <xf numFmtId="0" fontId="138" fillId="45" borderId="0" xfId="0" applyFont="1" applyFill="1" applyBorder="1">
      <alignment vertical="top"/>
    </xf>
    <xf numFmtId="2" fontId="135" fillId="36" borderId="0" xfId="0" applyNumberFormat="1" applyFont="1" applyBorder="1">
      <alignment vertical="top"/>
    </xf>
    <xf numFmtId="0" fontId="0" fillId="36" borderId="21" xfId="0" applyBorder="1">
      <alignment vertical="top"/>
    </xf>
    <xf numFmtId="167" fontId="68" fillId="36" borderId="0" xfId="55" applyNumberFormat="1">
      <alignment vertical="top"/>
    </xf>
    <xf numFmtId="167" fontId="68" fillId="36" borderId="0" xfId="55" applyNumberFormat="1" applyBorder="1">
      <alignment vertical="top"/>
    </xf>
    <xf numFmtId="0" fontId="54" fillId="36" borderId="0" xfId="40778">
      <alignment vertical="top"/>
    </xf>
    <xf numFmtId="0" fontId="57" fillId="35" borderId="23" xfId="52" applyBorder="1" applyProtection="1">
      <alignment horizontal="center"/>
    </xf>
    <xf numFmtId="2" fontId="68" fillId="36" borderId="1" xfId="55" applyNumberFormat="1" applyBorder="1">
      <alignment vertical="top"/>
    </xf>
    <xf numFmtId="2" fontId="68" fillId="36" borderId="0" xfId="55" applyNumberFormat="1" applyBorder="1">
      <alignment vertical="top"/>
    </xf>
    <xf numFmtId="2" fontId="68" fillId="36" borderId="3" xfId="55" applyNumberFormat="1" applyBorder="1" applyAlignment="1">
      <alignment horizontal="center" vertical="center"/>
    </xf>
    <xf numFmtId="169" fontId="68" fillId="36" borderId="1" xfId="55" applyNumberFormat="1" applyBorder="1" applyAlignment="1">
      <alignment horizontal="center" vertical="center"/>
    </xf>
    <xf numFmtId="169" fontId="68" fillId="36" borderId="0" xfId="55" applyNumberFormat="1" applyAlignment="1">
      <alignment horizontal="center" vertical="center"/>
    </xf>
    <xf numFmtId="0" fontId="0" fillId="36" borderId="0" xfId="0">
      <alignment vertical="top"/>
    </xf>
    <xf numFmtId="0" fontId="0" fillId="36" borderId="0" xfId="0" applyAlignment="1">
      <alignment vertical="top" wrapText="1"/>
    </xf>
    <xf numFmtId="0" fontId="0" fillId="36" borderId="0" xfId="0">
      <alignment vertical="top"/>
    </xf>
    <xf numFmtId="0" fontId="100" fillId="36" borderId="0" xfId="0" applyNumberFormat="1" applyFont="1" applyBorder="1" applyAlignment="1">
      <alignment vertical="top" wrapText="1"/>
    </xf>
    <xf numFmtId="0" fontId="0" fillId="36" borderId="57" xfId="0" applyBorder="1">
      <alignment vertical="top"/>
    </xf>
    <xf numFmtId="0" fontId="0" fillId="36" borderId="0" xfId="0" applyAlignment="1">
      <alignment vertical="top" wrapText="1"/>
    </xf>
    <xf numFmtId="0" fontId="0" fillId="36" borderId="0" xfId="0" applyAlignment="1">
      <alignment vertical="center" wrapText="1"/>
    </xf>
    <xf numFmtId="0" fontId="0" fillId="36" borderId="0" xfId="0" applyAlignment="1">
      <alignment vertical="center"/>
    </xf>
    <xf numFmtId="0" fontId="0" fillId="36" borderId="0" xfId="0" applyAlignment="1">
      <alignment horizontal="left" vertical="top" wrapText="1"/>
    </xf>
    <xf numFmtId="0" fontId="0" fillId="36" borderId="0" xfId="0">
      <alignment vertical="top"/>
    </xf>
    <xf numFmtId="0" fontId="0" fillId="36" borderId="0" xfId="0" applyAlignment="1">
      <alignment horizontal="right" vertical="top"/>
    </xf>
    <xf numFmtId="167" fontId="100" fillId="36" borderId="0" xfId="55" applyNumberFormat="1" applyFont="1">
      <alignment vertical="top"/>
    </xf>
    <xf numFmtId="167" fontId="59" fillId="0" borderId="0" xfId="0" applyNumberFormat="1" applyFont="1" applyFill="1" applyBorder="1">
      <alignment vertical="top"/>
    </xf>
    <xf numFmtId="169" fontId="54" fillId="38" borderId="0" xfId="56" applyNumberFormat="1" applyBorder="1">
      <alignment vertical="top"/>
    </xf>
    <xf numFmtId="175" fontId="68" fillId="36" borderId="0" xfId="55" applyNumberFormat="1" applyBorder="1">
      <alignment vertical="top"/>
    </xf>
    <xf numFmtId="169" fontId="68" fillId="36" borderId="0" xfId="55" applyNumberFormat="1" applyBorder="1">
      <alignment vertical="top"/>
    </xf>
    <xf numFmtId="1" fontId="100" fillId="0" borderId="0" xfId="56" applyNumberFormat="1" applyFont="1" applyFill="1" applyBorder="1" applyAlignment="1">
      <alignment horizontal="left" vertical="top" indent="1"/>
    </xf>
    <xf numFmtId="0" fontId="100" fillId="37" borderId="40" xfId="0" applyFont="1" applyFill="1" applyBorder="1" applyAlignment="1">
      <alignment horizontal="center" vertical="top"/>
    </xf>
    <xf numFmtId="10" fontId="68" fillId="36" borderId="0" xfId="55" applyNumberFormat="1" applyBorder="1">
      <alignment vertical="top"/>
    </xf>
    <xf numFmtId="176" fontId="70" fillId="36" borderId="0" xfId="49" applyFill="1" applyBorder="1" applyAlignment="1">
      <alignment vertical="top"/>
    </xf>
    <xf numFmtId="0" fontId="0" fillId="36" borderId="1" xfId="0" applyBorder="1" applyAlignment="1">
      <alignment horizontal="center" vertical="top"/>
    </xf>
    <xf numFmtId="1" fontId="0" fillId="36" borderId="1" xfId="0" applyNumberFormat="1" applyBorder="1" applyAlignment="1">
      <alignment horizontal="center" vertical="top"/>
    </xf>
    <xf numFmtId="166" fontId="0" fillId="36" borderId="1" xfId="0" applyNumberFormat="1" applyBorder="1">
      <alignment vertical="top"/>
    </xf>
    <xf numFmtId="2" fontId="0" fillId="36" borderId="1" xfId="0" applyNumberFormat="1" applyBorder="1">
      <alignment vertical="top"/>
    </xf>
    <xf numFmtId="0" fontId="68" fillId="36" borderId="18" xfId="55" applyNumberFormat="1" applyBorder="1">
      <alignment vertical="top"/>
    </xf>
    <xf numFmtId="2" fontId="94" fillId="36" borderId="0" xfId="55" applyNumberFormat="1" applyFont="1" applyBorder="1">
      <alignment vertical="top"/>
    </xf>
    <xf numFmtId="1" fontId="100" fillId="36" borderId="0" xfId="55" applyNumberFormat="1" applyFont="1" applyBorder="1">
      <alignment vertical="top"/>
    </xf>
    <xf numFmtId="0" fontId="68" fillId="36" borderId="57" xfId="55" applyNumberFormat="1" applyBorder="1">
      <alignment vertical="top"/>
    </xf>
    <xf numFmtId="2" fontId="68" fillId="36" borderId="0" xfId="55" quotePrefix="1" applyNumberFormat="1" applyBorder="1" applyAlignment="1">
      <alignment horizontal="center"/>
    </xf>
    <xf numFmtId="0" fontId="0" fillId="36" borderId="0" xfId="0" applyAlignment="1">
      <alignment horizontal="left" vertical="top" wrapText="1"/>
    </xf>
    <xf numFmtId="0" fontId="0" fillId="36" borderId="0" xfId="0" applyAlignment="1">
      <alignment vertical="top" wrapText="1"/>
    </xf>
    <xf numFmtId="0" fontId="0" fillId="36" borderId="0" xfId="0">
      <alignment vertical="top"/>
    </xf>
    <xf numFmtId="0" fontId="143" fillId="36" borderId="0" xfId="0" applyFont="1" applyAlignment="1">
      <alignment horizontal="left"/>
    </xf>
    <xf numFmtId="167" fontId="112" fillId="36" borderId="2" xfId="0" applyNumberFormat="1" applyFont="1" applyBorder="1" applyAlignment="1">
      <alignment horizontal="right" vertical="top"/>
    </xf>
    <xf numFmtId="167" fontId="100" fillId="36" borderId="1" xfId="55" applyNumberFormat="1" applyFont="1" applyBorder="1">
      <alignment vertical="top"/>
    </xf>
    <xf numFmtId="167" fontId="59" fillId="0" borderId="1" xfId="0" applyNumberFormat="1" applyFont="1" applyFill="1" applyBorder="1">
      <alignment vertical="top"/>
    </xf>
    <xf numFmtId="174" fontId="68" fillId="36" borderId="17" xfId="55" applyNumberFormat="1" applyBorder="1">
      <alignment vertical="top"/>
    </xf>
    <xf numFmtId="0" fontId="0" fillId="36" borderId="0" xfId="0" applyAlignment="1">
      <alignment horizontal="left" vertical="top" wrapText="1"/>
    </xf>
    <xf numFmtId="0" fontId="135" fillId="36" borderId="1" xfId="0" applyFont="1" applyBorder="1">
      <alignment vertical="top"/>
    </xf>
    <xf numFmtId="169" fontId="135" fillId="36" borderId="0" xfId="0" applyNumberFormat="1" applyFont="1">
      <alignment vertical="top"/>
    </xf>
    <xf numFmtId="169" fontId="135" fillId="36" borderId="0" xfId="4534" applyNumberFormat="1" applyFont="1" applyFill="1" applyAlignment="1">
      <alignment vertical="top"/>
    </xf>
    <xf numFmtId="169" fontId="135" fillId="36" borderId="0" xfId="4534" applyNumberFormat="1" applyFont="1" applyFill="1" applyBorder="1" applyAlignment="1">
      <alignment vertical="top"/>
    </xf>
    <xf numFmtId="0" fontId="0" fillId="36" borderId="58" xfId="0" applyBorder="1">
      <alignment vertical="top"/>
    </xf>
    <xf numFmtId="167" fontId="135" fillId="36" borderId="59" xfId="0" applyNumberFormat="1" applyFont="1" applyBorder="1">
      <alignment vertical="top"/>
    </xf>
    <xf numFmtId="0" fontId="135" fillId="36" borderId="59" xfId="0" applyFont="1" applyBorder="1">
      <alignment vertical="top"/>
    </xf>
    <xf numFmtId="167" fontId="135" fillId="36" borderId="60" xfId="0" applyNumberFormat="1" applyFont="1" applyBorder="1">
      <alignment vertical="top"/>
    </xf>
    <xf numFmtId="167" fontId="94" fillId="0" borderId="61" xfId="5290" applyNumberFormat="1" applyFont="1" applyBorder="1" applyAlignment="1">
      <alignment vertical="top"/>
    </xf>
    <xf numFmtId="0" fontId="0" fillId="36" borderId="59" xfId="0" applyBorder="1">
      <alignment vertical="top"/>
    </xf>
    <xf numFmtId="167" fontId="101" fillId="36" borderId="0" xfId="55" applyNumberFormat="1" applyFont="1" applyBorder="1">
      <alignment vertical="top"/>
    </xf>
    <xf numFmtId="0" fontId="54" fillId="36" borderId="0" xfId="5088" applyBorder="1">
      <alignment vertical="top"/>
    </xf>
    <xf numFmtId="167" fontId="68" fillId="36" borderId="59" xfId="55" applyNumberFormat="1" applyBorder="1">
      <alignment vertical="top"/>
    </xf>
    <xf numFmtId="0" fontId="68" fillId="36" borderId="59" xfId="55" applyNumberFormat="1" applyBorder="1">
      <alignment vertical="top"/>
    </xf>
    <xf numFmtId="0" fontId="101" fillId="36" borderId="59" xfId="55" applyNumberFormat="1" applyFont="1" applyBorder="1">
      <alignment vertical="top"/>
    </xf>
    <xf numFmtId="0" fontId="54" fillId="36" borderId="59" xfId="5088" applyBorder="1">
      <alignment vertical="top"/>
    </xf>
    <xf numFmtId="167" fontId="68" fillId="36" borderId="60" xfId="55" applyNumberFormat="1" applyBorder="1">
      <alignment vertical="top"/>
    </xf>
    <xf numFmtId="167" fontId="94" fillId="0" borderId="61" xfId="5291" applyNumberFormat="1" applyFont="1" applyBorder="1" applyAlignment="1">
      <alignment vertical="top"/>
    </xf>
    <xf numFmtId="169" fontId="68" fillId="36" borderId="59" xfId="55" applyNumberFormat="1" applyBorder="1">
      <alignment vertical="top"/>
    </xf>
    <xf numFmtId="2" fontId="68" fillId="36" borderId="1" xfId="55" applyBorder="1">
      <alignment vertical="top"/>
    </xf>
    <xf numFmtId="2" fontId="139" fillId="45" borderId="0" xfId="55" applyFont="1" applyFill="1" applyBorder="1">
      <alignment vertical="top"/>
    </xf>
    <xf numFmtId="167" fontId="100" fillId="36" borderId="0" xfId="55" applyNumberFormat="1" applyFont="1" applyBorder="1">
      <alignment vertical="top"/>
    </xf>
    <xf numFmtId="2" fontId="68" fillId="36" borderId="57" xfId="55" applyNumberFormat="1" applyBorder="1">
      <alignment vertical="top"/>
    </xf>
    <xf numFmtId="0" fontId="85" fillId="40" borderId="14" xfId="53" applyProtection="1">
      <alignment horizontal="left"/>
    </xf>
    <xf numFmtId="0" fontId="59" fillId="39" borderId="33" xfId="0" quotePrefix="1" applyFont="1" applyFill="1" applyBorder="1" applyAlignment="1">
      <alignment horizontal="center" vertical="top"/>
    </xf>
    <xf numFmtId="0" fontId="57" fillId="35" borderId="16" xfId="52" applyBorder="1" applyAlignment="1" applyProtection="1">
      <alignment horizontal="center"/>
    </xf>
    <xf numFmtId="1" fontId="0" fillId="36" borderId="0" xfId="0" applyNumberFormat="1" applyFont="1">
      <alignment vertical="top"/>
    </xf>
    <xf numFmtId="166" fontId="0" fillId="36" borderId="0" xfId="0" applyNumberFormat="1" applyFont="1">
      <alignment vertical="top"/>
    </xf>
    <xf numFmtId="0" fontId="0" fillId="36" borderId="38" xfId="0" applyFont="1" applyBorder="1" applyAlignment="1">
      <alignment horizontal="left" vertical="top" indent="1"/>
    </xf>
    <xf numFmtId="0" fontId="24" fillId="36" borderId="0" xfId="0" applyFont="1" applyBorder="1" applyAlignment="1">
      <alignment horizontal="left" vertical="top" indent="1"/>
    </xf>
    <xf numFmtId="0" fontId="0" fillId="36" borderId="0" xfId="0">
      <alignment vertical="top"/>
    </xf>
    <xf numFmtId="0" fontId="0" fillId="36" borderId="0" xfId="0" applyAlignment="1">
      <alignment horizontal="center" vertical="top"/>
    </xf>
    <xf numFmtId="0" fontId="50" fillId="36" borderId="33" xfId="0" applyFont="1" applyBorder="1" applyAlignment="1"/>
    <xf numFmtId="1" fontId="0" fillId="36" borderId="33" xfId="0" applyNumberFormat="1" applyBorder="1" applyAlignment="1">
      <alignment horizontal="center"/>
    </xf>
    <xf numFmtId="1" fontId="0" fillId="36" borderId="40" xfId="0" applyNumberFormat="1" applyBorder="1" applyAlignment="1">
      <alignment horizontal="center"/>
    </xf>
    <xf numFmtId="0" fontId="0" fillId="36" borderId="33" xfId="0" applyFont="1" applyBorder="1" applyAlignment="1">
      <alignment horizontal="center"/>
    </xf>
    <xf numFmtId="2" fontId="0" fillId="36" borderId="33" xfId="0" applyNumberFormat="1" applyBorder="1" applyAlignment="1"/>
    <xf numFmtId="0" fontId="0" fillId="36" borderId="0" xfId="0" applyAlignment="1">
      <alignment vertical="top" wrapText="1"/>
    </xf>
    <xf numFmtId="0" fontId="0" fillId="36" borderId="0" xfId="0" applyAlignment="1">
      <alignment horizontal="left" vertical="top" wrapText="1"/>
    </xf>
    <xf numFmtId="0" fontId="0" fillId="36" borderId="0" xfId="0">
      <alignment vertical="top"/>
    </xf>
    <xf numFmtId="0" fontId="59" fillId="36" borderId="0" xfId="0" applyFont="1" applyAlignment="1">
      <alignment vertical="top" wrapText="1"/>
    </xf>
    <xf numFmtId="0" fontId="0" fillId="39" borderId="33" xfId="0" quotePrefix="1" applyFill="1" applyBorder="1" applyAlignment="1">
      <alignment horizontal="center" vertical="top"/>
    </xf>
    <xf numFmtId="0" fontId="0" fillId="36" borderId="0" xfId="0" quotePrefix="1" applyAlignment="1">
      <alignment horizontal="right" vertical="top" wrapText="1"/>
    </xf>
    <xf numFmtId="2" fontId="68" fillId="36" borderId="2" xfId="55" applyNumberFormat="1" applyBorder="1" applyAlignment="1">
      <alignment horizontal="center"/>
    </xf>
    <xf numFmtId="169" fontId="68" fillId="36" borderId="45" xfId="4534" applyNumberFormat="1" applyFont="1" applyFill="1" applyBorder="1" applyAlignment="1">
      <alignment horizontal="center"/>
    </xf>
    <xf numFmtId="169" fontId="68" fillId="36" borderId="2" xfId="4534" applyNumberFormat="1" applyFont="1" applyFill="1" applyBorder="1" applyAlignment="1">
      <alignment horizontal="center"/>
    </xf>
    <xf numFmtId="0" fontId="0" fillId="36" borderId="0" xfId="0">
      <alignment vertical="top"/>
    </xf>
    <xf numFmtId="2" fontId="0" fillId="36" borderId="0" xfId="0" applyNumberFormat="1" applyFont="1" applyBorder="1" applyAlignment="1">
      <alignment horizontal="left" vertical="top"/>
    </xf>
    <xf numFmtId="166" fontId="0" fillId="36" borderId="0" xfId="0" applyNumberFormat="1" applyFont="1" applyBorder="1" applyAlignment="1">
      <alignment horizontal="left" vertical="top"/>
    </xf>
    <xf numFmtId="166" fontId="0" fillId="36" borderId="0" xfId="0" applyNumberFormat="1" applyFont="1" applyBorder="1">
      <alignment vertical="top"/>
    </xf>
    <xf numFmtId="2" fontId="68" fillId="36" borderId="43" xfId="55" applyNumberFormat="1" applyBorder="1">
      <alignment vertical="top"/>
    </xf>
    <xf numFmtId="0" fontId="0" fillId="36" borderId="0" xfId="0" applyAlignment="1">
      <alignment horizontal="left" vertical="top" wrapText="1"/>
    </xf>
    <xf numFmtId="186" fontId="0" fillId="36" borderId="0" xfId="4750" applyNumberFormat="1" applyFont="1" applyFill="1" applyAlignment="1">
      <alignment vertical="top"/>
    </xf>
    <xf numFmtId="174" fontId="0" fillId="36" borderId="0" xfId="0" applyNumberFormat="1">
      <alignment vertical="top"/>
    </xf>
    <xf numFmtId="170" fontId="0" fillId="36" borderId="2" xfId="0" applyNumberFormat="1" applyBorder="1">
      <alignment vertical="top"/>
    </xf>
    <xf numFmtId="188" fontId="0" fillId="36" borderId="0" xfId="0" applyNumberFormat="1">
      <alignment vertical="top"/>
    </xf>
    <xf numFmtId="167" fontId="0" fillId="39" borderId="33" xfId="0" quotePrefix="1" applyNumberFormat="1" applyFill="1" applyBorder="1" applyAlignment="1">
      <alignment horizontal="center" vertical="top"/>
    </xf>
    <xf numFmtId="3" fontId="145" fillId="36" borderId="3" xfId="0" applyNumberFormat="1" applyFont="1" applyBorder="1">
      <alignment vertical="top"/>
    </xf>
    <xf numFmtId="3" fontId="145" fillId="36" borderId="42" xfId="0" applyNumberFormat="1" applyFont="1" applyBorder="1">
      <alignment vertical="top"/>
    </xf>
    <xf numFmtId="0" fontId="0" fillId="36" borderId="43" xfId="0" applyFont="1" applyBorder="1">
      <alignment vertical="top"/>
    </xf>
    <xf numFmtId="0" fontId="145" fillId="36" borderId="0" xfId="0" applyFont="1" applyBorder="1">
      <alignment vertical="top"/>
    </xf>
    <xf numFmtId="0" fontId="145" fillId="36" borderId="1" xfId="0" applyFont="1" applyBorder="1">
      <alignment vertical="top"/>
    </xf>
    <xf numFmtId="3" fontId="145" fillId="36" borderId="0" xfId="0" applyNumberFormat="1" applyFont="1" applyBorder="1">
      <alignment vertical="top"/>
    </xf>
    <xf numFmtId="3" fontId="145" fillId="36" borderId="1" xfId="0" applyNumberFormat="1" applyFont="1" applyBorder="1">
      <alignment vertical="top"/>
    </xf>
    <xf numFmtId="4" fontId="146" fillId="36" borderId="0" xfId="65" applyNumberFormat="1" applyFont="1" applyBorder="1">
      <alignment vertical="top"/>
    </xf>
    <xf numFmtId="4" fontId="146" fillId="36" borderId="1" xfId="65" applyNumberFormat="1" applyFont="1" applyBorder="1">
      <alignment vertical="top"/>
    </xf>
    <xf numFmtId="166" fontId="145" fillId="36" borderId="0" xfId="0" applyNumberFormat="1" applyFont="1" applyBorder="1">
      <alignment vertical="top"/>
    </xf>
    <xf numFmtId="166" fontId="145" fillId="36" borderId="1" xfId="0" applyNumberFormat="1" applyFont="1" applyBorder="1">
      <alignment vertical="top"/>
    </xf>
    <xf numFmtId="0" fontId="0" fillId="36" borderId="42" xfId="0" applyFont="1" applyBorder="1">
      <alignment vertical="top"/>
    </xf>
    <xf numFmtId="0" fontId="0" fillId="36" borderId="2" xfId="0" applyNumberFormat="1" applyBorder="1">
      <alignment vertical="top"/>
    </xf>
    <xf numFmtId="0" fontId="0" fillId="36" borderId="0" xfId="0">
      <alignment vertical="top"/>
    </xf>
    <xf numFmtId="0" fontId="0" fillId="36" borderId="0" xfId="0" applyAlignment="1">
      <alignment horizontal="center" vertical="top"/>
    </xf>
    <xf numFmtId="9" fontId="54" fillId="37" borderId="15" xfId="4534" applyFont="1" applyFill="1" applyBorder="1" applyAlignment="1" applyProtection="1">
      <alignment horizontal="center" vertical="top"/>
      <protection locked="0"/>
    </xf>
    <xf numFmtId="9" fontId="54" fillId="39" borderId="15" xfId="4534" applyFont="1" applyFill="1" applyBorder="1" applyAlignment="1" applyProtection="1">
      <alignment horizontal="center" vertical="top"/>
      <protection locked="0"/>
    </xf>
    <xf numFmtId="9" fontId="68" fillId="36" borderId="0" xfId="4534" applyFont="1" applyFill="1" applyAlignment="1">
      <alignment horizontal="center" vertical="top"/>
    </xf>
    <xf numFmtId="169" fontId="0" fillId="39" borderId="33" xfId="0" applyNumberFormat="1" applyFill="1" applyBorder="1">
      <alignment vertical="top"/>
    </xf>
    <xf numFmtId="186" fontId="135" fillId="36" borderId="0" xfId="4750" applyNumberFormat="1" applyFont="1" applyFill="1" applyAlignment="1">
      <alignment vertical="top"/>
    </xf>
    <xf numFmtId="0" fontId="0" fillId="36" borderId="0" xfId="0" applyBorder="1" applyAlignment="1">
      <alignment vertical="top"/>
    </xf>
    <xf numFmtId="0" fontId="0" fillId="36" borderId="0" xfId="0" applyFont="1" applyBorder="1" applyAlignment="1">
      <alignment horizontal="left" vertical="top"/>
    </xf>
    <xf numFmtId="3" fontId="54" fillId="37" borderId="54" xfId="54" applyNumberFormat="1" applyBorder="1">
      <alignment vertical="top"/>
      <protection locked="0"/>
    </xf>
    <xf numFmtId="2" fontId="54" fillId="37" borderId="63" xfId="54" applyNumberFormat="1" applyBorder="1">
      <alignment vertical="top"/>
      <protection locked="0"/>
    </xf>
    <xf numFmtId="167" fontId="100" fillId="37" borderId="33" xfId="55" applyNumberFormat="1" applyFont="1" applyFill="1" applyBorder="1">
      <alignment vertical="top"/>
    </xf>
    <xf numFmtId="0" fontId="147" fillId="36" borderId="0" xfId="0" applyFont="1" applyBorder="1" applyAlignment="1">
      <alignment horizontal="left" vertical="top"/>
    </xf>
    <xf numFmtId="0" fontId="0" fillId="36" borderId="0" xfId="0">
      <alignment vertical="top"/>
    </xf>
    <xf numFmtId="169" fontId="68" fillId="36" borderId="0" xfId="4534" applyNumberFormat="1" applyFont="1" applyFill="1" applyAlignment="1">
      <alignment vertical="top"/>
    </xf>
    <xf numFmtId="0" fontId="135" fillId="36" borderId="64" xfId="0" applyFont="1" applyBorder="1">
      <alignment vertical="top"/>
    </xf>
    <xf numFmtId="169" fontId="135" fillId="36" borderId="64" xfId="0" applyNumberFormat="1" applyFont="1" applyBorder="1">
      <alignment vertical="top"/>
    </xf>
    <xf numFmtId="0" fontId="0" fillId="36" borderId="0" xfId="0">
      <alignment vertical="top"/>
    </xf>
    <xf numFmtId="9" fontId="68" fillId="36" borderId="0" xfId="4534" applyFont="1" applyFill="1" applyAlignment="1">
      <alignment vertical="top"/>
    </xf>
    <xf numFmtId="9" fontId="68" fillId="36" borderId="1" xfId="4534" applyFont="1" applyFill="1" applyBorder="1" applyAlignment="1">
      <alignment vertical="top"/>
    </xf>
    <xf numFmtId="186" fontId="100" fillId="0" borderId="33" xfId="0" applyNumberFormat="1" applyFont="1" applyFill="1" applyBorder="1" applyAlignment="1">
      <alignment horizontal="center"/>
    </xf>
    <xf numFmtId="186" fontId="0" fillId="0" borderId="33" xfId="4750" applyNumberFormat="1" applyFont="1" applyFill="1" applyBorder="1" applyAlignment="1">
      <alignment vertical="top"/>
    </xf>
    <xf numFmtId="3" fontId="0" fillId="0" borderId="33" xfId="0" applyNumberFormat="1" applyFill="1" applyBorder="1">
      <alignment vertical="top"/>
    </xf>
    <xf numFmtId="186" fontId="0" fillId="0" borderId="40" xfId="4750" applyNumberFormat="1" applyFont="1" applyFill="1" applyBorder="1" applyAlignment="1">
      <alignment vertical="top"/>
    </xf>
    <xf numFmtId="186" fontId="59" fillId="0" borderId="33" xfId="4750" applyNumberFormat="1" applyFont="1" applyFill="1" applyBorder="1" applyAlignment="1">
      <alignment vertical="top"/>
    </xf>
    <xf numFmtId="186" fontId="54" fillId="0" borderId="46" xfId="4750" applyNumberFormat="1" applyFont="1" applyFill="1" applyBorder="1" applyAlignment="1">
      <alignment vertical="top"/>
    </xf>
    <xf numFmtId="187" fontId="89" fillId="0" borderId="0" xfId="4639" applyNumberFormat="1" applyFont="1" applyFill="1" applyBorder="1">
      <alignment wrapText="1"/>
    </xf>
    <xf numFmtId="3" fontId="133" fillId="0" borderId="52" xfId="0" applyNumberFormat="1" applyFont="1" applyFill="1" applyBorder="1" applyAlignment="1" applyProtection="1">
      <alignment horizontal="right" wrapText="1"/>
    </xf>
    <xf numFmtId="3" fontId="133" fillId="0" borderId="62" xfId="0" applyNumberFormat="1" applyFont="1" applyFill="1" applyBorder="1" applyAlignment="1" applyProtection="1">
      <alignment horizontal="right" wrapText="1"/>
    </xf>
    <xf numFmtId="186" fontId="50" fillId="0" borderId="33" xfId="4750" applyNumberFormat="1" applyFont="1" applyFill="1" applyBorder="1"/>
    <xf numFmtId="186" fontId="50" fillId="0" borderId="40" xfId="4750" applyNumberFormat="1" applyFont="1" applyFill="1" applyBorder="1"/>
    <xf numFmtId="186" fontId="0" fillId="0" borderId="33" xfId="0" applyNumberFormat="1" applyFill="1" applyBorder="1">
      <alignment vertical="top"/>
    </xf>
    <xf numFmtId="186" fontId="0" fillId="0" borderId="40" xfId="0" applyNumberFormat="1" applyFill="1" applyBorder="1">
      <alignment vertical="top"/>
    </xf>
    <xf numFmtId="186" fontId="59" fillId="0" borderId="33" xfId="0" applyNumberFormat="1" applyFont="1" applyFill="1" applyBorder="1">
      <alignment vertical="top"/>
    </xf>
    <xf numFmtId="9" fontId="68" fillId="36" borderId="1" xfId="55" applyNumberFormat="1" applyBorder="1">
      <alignment vertical="top"/>
    </xf>
    <xf numFmtId="0" fontId="139" fillId="36" borderId="0" xfId="0" applyFont="1">
      <alignment vertical="top"/>
    </xf>
    <xf numFmtId="9" fontId="139" fillId="36" borderId="0" xfId="4534" applyFont="1" applyFill="1" applyAlignment="1">
      <alignment vertical="top"/>
    </xf>
    <xf numFmtId="175" fontId="139" fillId="36" borderId="0" xfId="0" applyNumberFormat="1" applyFont="1">
      <alignment vertical="top"/>
    </xf>
    <xf numFmtId="175" fontId="139" fillId="36" borderId="1" xfId="0" applyNumberFormat="1" applyFont="1" applyBorder="1">
      <alignment vertical="top"/>
    </xf>
    <xf numFmtId="2" fontId="68" fillId="36" borderId="1" xfId="55" applyNumberFormat="1" applyFont="1" applyBorder="1">
      <alignment vertical="top"/>
    </xf>
    <xf numFmtId="0" fontId="68" fillId="36" borderId="0" xfId="55" applyNumberFormat="1" applyFont="1">
      <alignment vertical="top"/>
    </xf>
    <xf numFmtId="2" fontId="139" fillId="36" borderId="0" xfId="0" applyNumberFormat="1" applyFont="1">
      <alignment vertical="top"/>
    </xf>
    <xf numFmtId="2" fontId="139" fillId="36" borderId="1" xfId="0" applyNumberFormat="1" applyFont="1" applyBorder="1">
      <alignment vertical="top"/>
    </xf>
    <xf numFmtId="2" fontId="139" fillId="36" borderId="0" xfId="0" applyNumberFormat="1" applyFont="1" applyBorder="1">
      <alignment vertical="top"/>
    </xf>
    <xf numFmtId="9" fontId="68" fillId="36" borderId="0" xfId="55" applyNumberFormat="1" applyFont="1" applyBorder="1">
      <alignment vertical="top"/>
    </xf>
    <xf numFmtId="2" fontId="139" fillId="36" borderId="0" xfId="4534" applyNumberFormat="1" applyFont="1" applyFill="1" applyBorder="1" applyAlignment="1">
      <alignment vertical="top"/>
    </xf>
    <xf numFmtId="0" fontId="139" fillId="36" borderId="0" xfId="0" applyFont="1" applyBorder="1">
      <alignment vertical="top"/>
    </xf>
    <xf numFmtId="9" fontId="139" fillId="36" borderId="1" xfId="4534" applyFont="1" applyFill="1" applyBorder="1" applyAlignment="1">
      <alignment vertical="top"/>
    </xf>
    <xf numFmtId="9" fontId="68" fillId="36" borderId="0" xfId="55" applyNumberFormat="1" applyBorder="1">
      <alignment vertical="top"/>
    </xf>
    <xf numFmtId="0" fontId="143" fillId="36" borderId="0" xfId="0" applyFont="1" applyAlignment="1">
      <alignment horizontal="left" vertical="top" indent="1"/>
    </xf>
    <xf numFmtId="169" fontId="139" fillId="45" borderId="0" xfId="55" applyNumberFormat="1" applyFont="1" applyFill="1" applyBorder="1">
      <alignment vertical="top"/>
    </xf>
    <xf numFmtId="0" fontId="0" fillId="36" borderId="0" xfId="0">
      <alignment vertical="top"/>
    </xf>
    <xf numFmtId="14" fontId="100" fillId="36" borderId="0" xfId="0" applyNumberFormat="1" applyFont="1" applyBorder="1" applyAlignment="1">
      <alignment horizontal="left" vertical="top"/>
    </xf>
    <xf numFmtId="14" fontId="0" fillId="36" borderId="0" xfId="0" applyNumberFormat="1" applyAlignment="1">
      <alignment horizontal="left" vertical="center"/>
    </xf>
    <xf numFmtId="14" fontId="0" fillId="36" borderId="0" xfId="0" applyNumberFormat="1" applyAlignment="1">
      <alignment horizontal="left" vertical="top" wrapText="1"/>
    </xf>
    <xf numFmtId="0" fontId="0" fillId="45" borderId="0" xfId="0" applyFont="1" applyFill="1" applyBorder="1" applyAlignment="1">
      <alignment vertical="top" wrapText="1"/>
    </xf>
    <xf numFmtId="0" fontId="0" fillId="36" borderId="0" xfId="0">
      <alignment vertical="top"/>
    </xf>
    <xf numFmtId="0" fontId="0" fillId="45" borderId="0" xfId="0" applyFont="1" applyFill="1" applyBorder="1" applyAlignment="1">
      <alignment horizontal="left" vertical="top"/>
    </xf>
    <xf numFmtId="167" fontId="148" fillId="45" borderId="0" xfId="55" applyNumberFormat="1" applyFont="1" applyFill="1" applyBorder="1">
      <alignment vertical="top"/>
    </xf>
    <xf numFmtId="0" fontId="139" fillId="45" borderId="0" xfId="55" applyNumberFormat="1" applyFont="1" applyFill="1" applyBorder="1">
      <alignment vertical="top"/>
    </xf>
    <xf numFmtId="0" fontId="148" fillId="45" borderId="0" xfId="55" applyNumberFormat="1" applyFont="1" applyFill="1" applyBorder="1">
      <alignment vertical="top"/>
    </xf>
    <xf numFmtId="169" fontId="139" fillId="45" borderId="1" xfId="55" applyNumberFormat="1" applyFont="1" applyFill="1" applyBorder="1">
      <alignment vertical="top"/>
    </xf>
    <xf numFmtId="167" fontId="109" fillId="36" borderId="0" xfId="0" applyNumberFormat="1" applyFont="1">
      <alignment vertical="top"/>
    </xf>
    <xf numFmtId="167" fontId="59" fillId="36" borderId="0" xfId="0" applyNumberFormat="1" applyFont="1">
      <alignment vertical="top"/>
    </xf>
    <xf numFmtId="167" fontId="139" fillId="45" borderId="2" xfId="55" applyNumberFormat="1" applyFont="1" applyFill="1" applyBorder="1">
      <alignment vertical="top"/>
    </xf>
    <xf numFmtId="167" fontId="61" fillId="45" borderId="0" xfId="55" applyNumberFormat="1" applyFont="1" applyFill="1" applyBorder="1">
      <alignment vertical="top"/>
    </xf>
    <xf numFmtId="0" fontId="0" fillId="36" borderId="0" xfId="0">
      <alignment vertical="top"/>
    </xf>
    <xf numFmtId="0" fontId="0" fillId="36" borderId="0" xfId="0" applyAlignment="1">
      <alignment horizontal="center" vertical="top"/>
    </xf>
    <xf numFmtId="0" fontId="0" fillId="36" borderId="0" xfId="0">
      <alignment vertical="top"/>
    </xf>
    <xf numFmtId="0" fontId="0" fillId="46" borderId="0" xfId="0" applyFill="1" applyAlignment="1">
      <alignment horizontal="left"/>
    </xf>
    <xf numFmtId="167" fontId="68" fillId="46" borderId="0" xfId="55" applyNumberFormat="1" applyFill="1" applyAlignment="1">
      <alignment horizontal="center" vertical="top"/>
    </xf>
    <xf numFmtId="0" fontId="149" fillId="46" borderId="0" xfId="0" applyFont="1" applyFill="1" applyAlignment="1">
      <alignment horizontal="left"/>
    </xf>
    <xf numFmtId="0" fontId="143" fillId="36" borderId="0" xfId="0" applyFont="1">
      <alignment vertical="top"/>
    </xf>
    <xf numFmtId="0" fontId="61" fillId="36" borderId="0" xfId="0" applyFont="1" applyAlignment="1">
      <alignment horizontal="left" vertical="top"/>
    </xf>
    <xf numFmtId="0" fontId="61" fillId="36" borderId="0" xfId="0" applyFont="1" applyAlignment="1">
      <alignment wrapText="1"/>
    </xf>
    <xf numFmtId="0" fontId="0" fillId="36" borderId="0" xfId="0">
      <alignment vertical="top"/>
    </xf>
    <xf numFmtId="0" fontId="0" fillId="36" borderId="0" xfId="0" applyAlignment="1">
      <alignment horizontal="center" vertical="top"/>
    </xf>
    <xf numFmtId="169" fontId="0" fillId="36" borderId="0" xfId="0" applyNumberFormat="1">
      <alignment vertical="top"/>
    </xf>
    <xf numFmtId="0" fontId="57" fillId="35" borderId="65" xfId="52" applyBorder="1" applyProtection="1">
      <alignment horizontal="center"/>
    </xf>
    <xf numFmtId="0" fontId="54" fillId="36" borderId="1" xfId="5085" applyBorder="1">
      <alignment vertical="top"/>
    </xf>
    <xf numFmtId="2" fontId="68" fillId="36" borderId="1" xfId="55" applyFont="1" applyBorder="1">
      <alignment vertical="top"/>
    </xf>
    <xf numFmtId="0" fontId="57" fillId="35" borderId="27" xfId="52" applyBorder="1" applyProtection="1">
      <alignment horizontal="center"/>
    </xf>
    <xf numFmtId="0" fontId="139" fillId="45" borderId="1" xfId="55" applyNumberFormat="1" applyFont="1" applyFill="1" applyBorder="1">
      <alignment vertical="top"/>
    </xf>
    <xf numFmtId="167" fontId="148" fillId="45" borderId="1" xfId="55" applyNumberFormat="1" applyFont="1" applyFill="1" applyBorder="1">
      <alignment vertical="top"/>
    </xf>
    <xf numFmtId="167" fontId="61" fillId="45" borderId="1" xfId="55" applyNumberFormat="1" applyFont="1" applyFill="1" applyBorder="1">
      <alignment vertical="top"/>
    </xf>
    <xf numFmtId="167" fontId="139" fillId="45" borderId="45" xfId="55" applyNumberFormat="1" applyFont="1" applyFill="1" applyBorder="1">
      <alignment vertical="top"/>
    </xf>
    <xf numFmtId="167" fontId="61" fillId="36" borderId="0" xfId="0" applyNumberFormat="1" applyFont="1">
      <alignment vertical="top"/>
    </xf>
    <xf numFmtId="169" fontId="0" fillId="36" borderId="0" xfId="0" applyNumberFormat="1" applyBorder="1">
      <alignment vertical="top"/>
    </xf>
    <xf numFmtId="9" fontId="0" fillId="36" borderId="0" xfId="4534" applyFont="1" applyFill="1" applyAlignment="1">
      <alignment vertical="top"/>
    </xf>
    <xf numFmtId="0" fontId="0" fillId="36" borderId="0" xfId="0">
      <alignment vertical="top"/>
    </xf>
    <xf numFmtId="0" fontId="58" fillId="36" borderId="0" xfId="50" applyNumberFormat="1" applyFont="1" applyAlignment="1" applyProtection="1">
      <alignment horizontal="left"/>
    </xf>
    <xf numFmtId="167" fontId="0" fillId="36" borderId="0" xfId="4534" applyNumberFormat="1" applyFont="1" applyFill="1" applyAlignment="1">
      <alignment vertical="top"/>
    </xf>
    <xf numFmtId="2" fontId="68" fillId="37" borderId="33" xfId="55" applyNumberFormat="1" applyFill="1" applyBorder="1" applyAlignment="1">
      <alignment horizontal="center" vertical="top"/>
    </xf>
    <xf numFmtId="1" fontId="0" fillId="36" borderId="0" xfId="0" applyNumberFormat="1" applyBorder="1" applyAlignment="1">
      <alignment horizontal="center" vertical="top"/>
    </xf>
    <xf numFmtId="166" fontId="0" fillId="36" borderId="0" xfId="0" applyNumberFormat="1" applyBorder="1">
      <alignment vertical="top"/>
    </xf>
    <xf numFmtId="2" fontId="0" fillId="36" borderId="0" xfId="0" applyNumberFormat="1" applyBorder="1">
      <alignment vertical="top"/>
    </xf>
    <xf numFmtId="0" fontId="0" fillId="36" borderId="36" xfId="0" applyBorder="1">
      <alignment vertical="top"/>
    </xf>
    <xf numFmtId="0" fontId="0" fillId="36" borderId="45" xfId="0" applyBorder="1">
      <alignment vertical="top"/>
    </xf>
    <xf numFmtId="0" fontId="0" fillId="36" borderId="44" xfId="0" applyBorder="1">
      <alignment vertical="top"/>
    </xf>
    <xf numFmtId="2" fontId="68" fillId="36" borderId="2" xfId="55" applyNumberFormat="1" applyBorder="1">
      <alignment vertical="top"/>
    </xf>
    <xf numFmtId="2" fontId="68" fillId="36" borderId="45" xfId="55" applyNumberFormat="1" applyBorder="1">
      <alignment vertical="top"/>
    </xf>
    <xf numFmtId="2" fontId="68" fillId="36" borderId="66" xfId="55" applyNumberFormat="1" applyBorder="1">
      <alignment vertical="top"/>
    </xf>
    <xf numFmtId="2" fontId="0" fillId="36" borderId="57" xfId="0" applyNumberFormat="1" applyFont="1" applyBorder="1">
      <alignment vertical="top"/>
    </xf>
    <xf numFmtId="0" fontId="101" fillId="36" borderId="1" xfId="55" applyNumberFormat="1" applyFont="1" applyBorder="1">
      <alignment vertical="top"/>
    </xf>
    <xf numFmtId="0" fontId="0" fillId="36" borderId="0" xfId="0">
      <alignment vertical="top"/>
    </xf>
    <xf numFmtId="2" fontId="101" fillId="36" borderId="0" xfId="55" applyNumberFormat="1" applyFont="1">
      <alignment vertical="top"/>
    </xf>
    <xf numFmtId="175" fontId="84" fillId="36" borderId="0" xfId="65" applyNumberFormat="1">
      <alignment vertical="top"/>
    </xf>
    <xf numFmtId="2" fontId="0" fillId="36" borderId="0" xfId="0" applyNumberFormat="1" applyAlignment="1">
      <alignment horizontal="left" vertical="top"/>
    </xf>
    <xf numFmtId="0" fontId="0" fillId="36" borderId="0" xfId="0" quotePrefix="1" applyAlignment="1">
      <alignment horizontal="right" vertical="top"/>
    </xf>
    <xf numFmtId="0" fontId="0" fillId="36" borderId="0" xfId="0" quotePrefix="1" applyAlignment="1">
      <alignment horizontal="right" vertical="top" wrapText="1" indent="1"/>
    </xf>
    <xf numFmtId="0" fontId="0" fillId="36" borderId="0" xfId="0" quotePrefix="1" applyAlignment="1">
      <alignment horizontal="right" vertical="top" indent="1"/>
    </xf>
    <xf numFmtId="0" fontId="0" fillId="36" borderId="0" xfId="0" applyAlignment="1">
      <alignment horizontal="right" vertical="top" indent="1"/>
    </xf>
    <xf numFmtId="0" fontId="0" fillId="36" borderId="2" xfId="0" applyFont="1" applyBorder="1" applyAlignment="1">
      <alignment horizontal="left" vertical="top"/>
    </xf>
    <xf numFmtId="0" fontId="0" fillId="36" borderId="0" xfId="0">
      <alignment vertical="top"/>
    </xf>
    <xf numFmtId="170" fontId="61" fillId="36" borderId="0" xfId="0" applyNumberFormat="1" applyFont="1">
      <alignment vertical="top"/>
    </xf>
    <xf numFmtId="4" fontId="101" fillId="36" borderId="0" xfId="55" applyNumberFormat="1" applyFont="1" applyBorder="1">
      <alignment vertical="top"/>
    </xf>
    <xf numFmtId="174" fontId="68" fillId="36" borderId="67" xfId="55" applyNumberFormat="1" applyBorder="1">
      <alignment vertical="top"/>
    </xf>
    <xf numFmtId="170" fontId="61" fillId="11" borderId="0" xfId="0" applyNumberFormat="1" applyFont="1" applyFill="1">
      <alignment vertical="top"/>
    </xf>
    <xf numFmtId="4" fontId="68" fillId="11" borderId="0" xfId="55" applyNumberFormat="1" applyFill="1">
      <alignment vertical="top"/>
    </xf>
    <xf numFmtId="0" fontId="135" fillId="47" borderId="0" xfId="0" applyFont="1" applyFill="1">
      <alignment vertical="top"/>
    </xf>
    <xf numFmtId="0" fontId="0" fillId="36" borderId="0" xfId="4750" applyNumberFormat="1" applyFont="1" applyFill="1" applyAlignment="1">
      <alignment vertical="top"/>
    </xf>
    <xf numFmtId="170" fontId="0" fillId="48" borderId="0" xfId="0" applyNumberFormat="1" applyFill="1">
      <alignment vertical="top"/>
    </xf>
    <xf numFmtId="170" fontId="0" fillId="36" borderId="0" xfId="0" applyNumberFormat="1" applyAlignment="1">
      <alignment horizontal="right" vertical="top"/>
    </xf>
    <xf numFmtId="170" fontId="0" fillId="49" borderId="0" xfId="0" applyNumberFormat="1" applyFill="1">
      <alignment vertical="top"/>
    </xf>
    <xf numFmtId="170" fontId="0" fillId="11" borderId="0" xfId="0" applyNumberFormat="1" applyFill="1">
      <alignment vertical="top"/>
    </xf>
    <xf numFmtId="0" fontId="54" fillId="36" borderId="0" xfId="0" applyNumberFormat="1" applyFont="1" applyAlignment="1">
      <alignment vertical="top" wrapText="1"/>
    </xf>
    <xf numFmtId="0" fontId="0" fillId="36" borderId="0" xfId="0" applyAlignment="1">
      <alignment vertical="top" wrapText="1"/>
    </xf>
    <xf numFmtId="0" fontId="0" fillId="36" borderId="30" xfId="0" applyFont="1" applyBorder="1" applyAlignment="1">
      <alignment vertical="top" wrapText="1"/>
    </xf>
    <xf numFmtId="0" fontId="0" fillId="36" borderId="30" xfId="0" applyBorder="1" applyAlignment="1">
      <alignment vertical="top" wrapText="1"/>
    </xf>
    <xf numFmtId="0" fontId="0" fillId="36" borderId="14" xfId="0" applyFont="1" applyBorder="1" applyAlignment="1">
      <alignment vertical="top" wrapText="1"/>
    </xf>
    <xf numFmtId="0" fontId="0" fillId="36" borderId="14" xfId="0" applyBorder="1" applyAlignment="1">
      <alignment vertical="top"/>
    </xf>
    <xf numFmtId="0" fontId="0" fillId="36" borderId="0" xfId="0" applyAlignment="1">
      <alignment horizontal="left" vertical="top" wrapText="1" indent="2"/>
    </xf>
    <xf numFmtId="0" fontId="69" fillId="36" borderId="0" xfId="57" applyNumberFormat="1" applyProtection="1"/>
    <xf numFmtId="0" fontId="0" fillId="36" borderId="0" xfId="0" applyAlignment="1">
      <alignment horizontal="left" vertical="top" wrapText="1"/>
    </xf>
    <xf numFmtId="0" fontId="85" fillId="40" borderId="14" xfId="53" applyProtection="1">
      <alignment horizontal="left"/>
    </xf>
    <xf numFmtId="0" fontId="0" fillId="36" borderId="0" xfId="0">
      <alignment vertical="top"/>
    </xf>
    <xf numFmtId="0" fontId="0" fillId="36" borderId="0" xfId="0" applyAlignment="1">
      <alignment wrapText="1"/>
    </xf>
    <xf numFmtId="0" fontId="0" fillId="36" borderId="0" xfId="0" applyFont="1" applyAlignment="1">
      <alignment horizontal="left" vertical="top" wrapText="1"/>
    </xf>
    <xf numFmtId="0" fontId="57" fillId="35" borderId="21" xfId="52" applyBorder="1" applyAlignment="1" applyProtection="1">
      <alignment horizontal="center"/>
    </xf>
    <xf numFmtId="0" fontId="57" fillId="35" borderId="22" xfId="52" applyBorder="1" applyAlignment="1" applyProtection="1">
      <alignment horizontal="center"/>
    </xf>
    <xf numFmtId="0" fontId="57" fillId="35" borderId="14" xfId="52" applyBorder="1" applyAlignment="1" applyProtection="1">
      <alignment horizontal="center"/>
    </xf>
    <xf numFmtId="0" fontId="0" fillId="36" borderId="0" xfId="0" applyAlignment="1">
      <alignment horizontal="center" vertical="top"/>
    </xf>
    <xf numFmtId="0" fontId="57" fillId="35" borderId="23" xfId="52" applyBorder="1" applyAlignment="1" applyProtection="1">
      <alignment horizontal="center"/>
    </xf>
    <xf numFmtId="0" fontId="0" fillId="36" borderId="24" xfId="0" applyBorder="1" applyAlignment="1">
      <alignment horizontal="center"/>
    </xf>
    <xf numFmtId="0" fontId="57" fillId="35" borderId="26" xfId="52" applyBorder="1" applyAlignment="1" applyProtection="1">
      <alignment horizontal="center"/>
    </xf>
    <xf numFmtId="0" fontId="57" fillId="35" borderId="27" xfId="52" applyBorder="1" applyAlignment="1" applyProtection="1">
      <alignment horizontal="center"/>
    </xf>
    <xf numFmtId="0" fontId="57" fillId="35" borderId="28" xfId="52" applyBorder="1" applyAlignment="1" applyProtection="1">
      <alignment horizontal="center"/>
    </xf>
    <xf numFmtId="0" fontId="57" fillId="35" borderId="29" xfId="52" applyBorder="1" applyAlignment="1" applyProtection="1">
      <alignment horizontal="center"/>
    </xf>
    <xf numFmtId="0" fontId="0" fillId="36" borderId="41" xfId="0" applyNumberFormat="1" applyBorder="1" applyAlignment="1">
      <alignment horizontal="left" vertical="top" wrapText="1"/>
    </xf>
    <xf numFmtId="0" fontId="0" fillId="36" borderId="42" xfId="0" applyNumberFormat="1" applyBorder="1" applyAlignment="1">
      <alignment horizontal="left" vertical="top" wrapText="1"/>
    </xf>
    <xf numFmtId="0" fontId="0" fillId="36" borderId="44" xfId="0" applyNumberFormat="1" applyBorder="1" applyAlignment="1">
      <alignment horizontal="left" vertical="top" wrapText="1"/>
    </xf>
    <xf numFmtId="0" fontId="0" fillId="36" borderId="45" xfId="0" applyNumberFormat="1" applyBorder="1" applyAlignment="1">
      <alignment horizontal="left" vertical="top" wrapText="1"/>
    </xf>
    <xf numFmtId="0" fontId="0" fillId="45" borderId="0" xfId="0" applyFont="1" applyFill="1" applyBorder="1" applyAlignment="1">
      <alignment horizontal="left" vertical="top" wrapText="1"/>
    </xf>
    <xf numFmtId="0" fontId="58" fillId="36" borderId="0" xfId="50" applyNumberFormat="1" applyProtection="1">
      <alignment horizontal="left" vertical="center"/>
    </xf>
  </cellXfs>
  <cellStyles count="42292">
    <cellStyle name="20% - Accent1" xfId="28" builtinId="30" hidden="1" customBuiltin="1"/>
    <cellStyle name="20% - Accent1" xfId="66" builtinId="30" customBuiltin="1"/>
    <cellStyle name="20% - Accent1 10" xfId="36074"/>
    <cellStyle name="20% - Accent1 11" xfId="36086"/>
    <cellStyle name="20% - Accent1 12" xfId="35951"/>
    <cellStyle name="20% - Accent1 13" xfId="35938"/>
    <cellStyle name="20% - Accent1 13 2" xfId="36131"/>
    <cellStyle name="20% - Accent1 13 2 2" xfId="36132"/>
    <cellStyle name="20% - Accent1 13 2 2 2" xfId="36133"/>
    <cellStyle name="20% - Accent1 13 2 2 2 2" xfId="40301"/>
    <cellStyle name="20% - Accent1 13 2 2 2 3" xfId="41842"/>
    <cellStyle name="20% - Accent1 13 2 2 3" xfId="38287"/>
    <cellStyle name="20% - Accent1 13 2 2 4" xfId="39583"/>
    <cellStyle name="20% - Accent1 13 2 2 5" xfId="41124"/>
    <cellStyle name="20% - Accent1 13 2 2_consumption scenario A" xfId="37648"/>
    <cellStyle name="20% - Accent1 13 2 3" xfId="36134"/>
    <cellStyle name="20% - Accent1 13 2 3 2" xfId="40116"/>
    <cellStyle name="20% - Accent1 13 2 3 3" xfId="41657"/>
    <cellStyle name="20% - Accent1 13 2 4" xfId="38101"/>
    <cellStyle name="20% - Accent1 13 2 5" xfId="39398"/>
    <cellStyle name="20% - Accent1 13 2 6" xfId="40939"/>
    <cellStyle name="20% - Accent1 13 2_AEO proration factors" xfId="36135"/>
    <cellStyle name="20% - Accent1 13 3" xfId="36136"/>
    <cellStyle name="20% - Accent1 13 3 2" xfId="36137"/>
    <cellStyle name="20% - Accent1 13 3 2 2" xfId="40300"/>
    <cellStyle name="20% - Accent1 13 3 2 3" xfId="41841"/>
    <cellStyle name="20% - Accent1 13 3 3" xfId="38286"/>
    <cellStyle name="20% - Accent1 13 3 4" xfId="39582"/>
    <cellStyle name="20% - Accent1 13 3 5" xfId="41123"/>
    <cellStyle name="20% - Accent1 13 3_consumption scenario A" xfId="37649"/>
    <cellStyle name="20% - Accent1 13 4" xfId="36138"/>
    <cellStyle name="20% - Accent1 13 4 2" xfId="40068"/>
    <cellStyle name="20% - Accent1 13 4 3" xfId="41609"/>
    <cellStyle name="20% - Accent1 13 5" xfId="38053"/>
    <cellStyle name="20% - Accent1 13 6" xfId="39350"/>
    <cellStyle name="20% - Accent1 13 7" xfId="40886"/>
    <cellStyle name="20% - Accent1 13_AEO proration factors" xfId="36139"/>
    <cellStyle name="20% - Accent1 14" xfId="36103"/>
    <cellStyle name="20% - Accent1 14 2" xfId="36140"/>
    <cellStyle name="20% - Accent1 14 2 2" xfId="36141"/>
    <cellStyle name="20% - Accent1 14 2 2 2" xfId="36142"/>
    <cellStyle name="20% - Accent1 14 2 2 2 2" xfId="40303"/>
    <cellStyle name="20% - Accent1 14 2 2 2 3" xfId="41844"/>
    <cellStyle name="20% - Accent1 14 2 2 3" xfId="38289"/>
    <cellStyle name="20% - Accent1 14 2 2 4" xfId="39585"/>
    <cellStyle name="20% - Accent1 14 2 2 5" xfId="41126"/>
    <cellStyle name="20% - Accent1 14 2 2_consumption scenario A" xfId="37650"/>
    <cellStyle name="20% - Accent1 14 2 3" xfId="36143"/>
    <cellStyle name="20% - Accent1 14 2 3 2" xfId="40117"/>
    <cellStyle name="20% - Accent1 14 2 3 3" xfId="41658"/>
    <cellStyle name="20% - Accent1 14 2 4" xfId="38102"/>
    <cellStyle name="20% - Accent1 14 2 5" xfId="39399"/>
    <cellStyle name="20% - Accent1 14 2 6" xfId="40940"/>
    <cellStyle name="20% - Accent1 14 2_AEO proration factors" xfId="36144"/>
    <cellStyle name="20% - Accent1 14 3" xfId="36145"/>
    <cellStyle name="20% - Accent1 14 3 2" xfId="36146"/>
    <cellStyle name="20% - Accent1 14 3 2 2" xfId="40302"/>
    <cellStyle name="20% - Accent1 14 3 2 3" xfId="41843"/>
    <cellStyle name="20% - Accent1 14 3 3" xfId="38288"/>
    <cellStyle name="20% - Accent1 14 3 4" xfId="39584"/>
    <cellStyle name="20% - Accent1 14 3 5" xfId="41125"/>
    <cellStyle name="20% - Accent1 14 3_consumption scenario A" xfId="37651"/>
    <cellStyle name="20% - Accent1 14 4" xfId="36147"/>
    <cellStyle name="20% - Accent1 14 4 2" xfId="40085"/>
    <cellStyle name="20% - Accent1 14 4 3" xfId="41626"/>
    <cellStyle name="20% - Accent1 14 5" xfId="38070"/>
    <cellStyle name="20% - Accent1 14 6" xfId="39367"/>
    <cellStyle name="20% - Accent1 14 7" xfId="40908"/>
    <cellStyle name="20% - Accent1 14_AEO proration factors" xfId="36148"/>
    <cellStyle name="20% - Accent1 15" xfId="35800"/>
    <cellStyle name="20% - Accent1 15 2" xfId="36149"/>
    <cellStyle name="20% - Accent1 15 2 2" xfId="36150"/>
    <cellStyle name="20% - Accent1 15 2 2 2" xfId="36151"/>
    <cellStyle name="20% - Accent1 15 2 2 2 2" xfId="40305"/>
    <cellStyle name="20% - Accent1 15 2 2 2 3" xfId="41846"/>
    <cellStyle name="20% - Accent1 15 2 2 3" xfId="38291"/>
    <cellStyle name="20% - Accent1 15 2 2 4" xfId="39587"/>
    <cellStyle name="20% - Accent1 15 2 2 5" xfId="41128"/>
    <cellStyle name="20% - Accent1 15 2 2_consumption scenario A" xfId="37652"/>
    <cellStyle name="20% - Accent1 15 2 3" xfId="36152"/>
    <cellStyle name="20% - Accent1 15 2 3 2" xfId="40118"/>
    <cellStyle name="20% - Accent1 15 2 3 3" xfId="41659"/>
    <cellStyle name="20% - Accent1 15 2 4" xfId="38103"/>
    <cellStyle name="20% - Accent1 15 2 5" xfId="39400"/>
    <cellStyle name="20% - Accent1 15 2 6" xfId="40941"/>
    <cellStyle name="20% - Accent1 15 2_AEO proration factors" xfId="36153"/>
    <cellStyle name="20% - Accent1 15 3" xfId="36154"/>
    <cellStyle name="20% - Accent1 15 3 2" xfId="36155"/>
    <cellStyle name="20% - Accent1 15 3 2 2" xfId="40304"/>
    <cellStyle name="20% - Accent1 15 3 2 3" xfId="41845"/>
    <cellStyle name="20% - Accent1 15 3 3" xfId="38290"/>
    <cellStyle name="20% - Accent1 15 3 4" xfId="39586"/>
    <cellStyle name="20% - Accent1 15 3 5" xfId="41127"/>
    <cellStyle name="20% - Accent1 15 3_consumption scenario A" xfId="37653"/>
    <cellStyle name="20% - Accent1 15 4" xfId="36156"/>
    <cellStyle name="20% - Accent1 15 4 2" xfId="40100"/>
    <cellStyle name="20% - Accent1 15 4 3" xfId="41641"/>
    <cellStyle name="20% - Accent1 15 5" xfId="38085"/>
    <cellStyle name="20% - Accent1 15 6" xfId="39382"/>
    <cellStyle name="20% - Accent1 15 7" xfId="40923"/>
    <cellStyle name="20% - Accent1 15_AEO proration factors" xfId="36157"/>
    <cellStyle name="20% - Accent1 16" xfId="36119"/>
    <cellStyle name="20% - Accent1 16 2" xfId="36158"/>
    <cellStyle name="20% - Accent1 16 2 2" xfId="40288"/>
    <cellStyle name="20% - Accent1 16 2 3" xfId="41829"/>
    <cellStyle name="20% - Accent1 16 3" xfId="38273"/>
    <cellStyle name="20% - Accent1 16 4" xfId="39570"/>
    <cellStyle name="20% - Accent1 16 5" xfId="41111"/>
    <cellStyle name="20% - Accent1 16_consumption scenario A" xfId="37443"/>
    <cellStyle name="20% - Accent1 17" xfId="36159"/>
    <cellStyle name="20% - Accent1 17 2" xfId="38633"/>
    <cellStyle name="20% - Accent1 17 3" xfId="40647"/>
    <cellStyle name="20% - Accent1 17 4" xfId="42188"/>
    <cellStyle name="20% - Accent1 17_consumption scenario A" xfId="37654"/>
    <cellStyle name="20% - Accent1 18" xfId="36160"/>
    <cellStyle name="20% - Accent1 18 2" xfId="38649"/>
    <cellStyle name="20% - Accent1 18 3" xfId="40663"/>
    <cellStyle name="20% - Accent1 18 4" xfId="42204"/>
    <cellStyle name="20% - Accent1 18_consumption scenario A" xfId="37655"/>
    <cellStyle name="20% - Accent1 19" xfId="36161"/>
    <cellStyle name="20% - Accent1 19 2" xfId="38660"/>
    <cellStyle name="20% - Accent1 19 3" xfId="40674"/>
    <cellStyle name="20% - Accent1 19 4" xfId="42215"/>
    <cellStyle name="20% - Accent1 19_consumption scenario A" xfId="37656"/>
    <cellStyle name="20% - Accent1 2" xfId="5819"/>
    <cellStyle name="20% - Accent1 2 10" xfId="40748"/>
    <cellStyle name="20% - Accent1 2 2" xfId="5848"/>
    <cellStyle name="20% - Accent1 2 2 2" xfId="35646"/>
    <cellStyle name="20% - Accent1 2 2 2 2" xfId="35907"/>
    <cellStyle name="20% - Accent1 2 2 2 2 2" xfId="36162"/>
    <cellStyle name="20% - Accent1 2 2 2 2 2 2" xfId="36163"/>
    <cellStyle name="20% - Accent1 2 2 2 2 2 2 2" xfId="40309"/>
    <cellStyle name="20% - Accent1 2 2 2 2 2 2 3" xfId="41850"/>
    <cellStyle name="20% - Accent1 2 2 2 2 2 3" xfId="38295"/>
    <cellStyle name="20% - Accent1 2 2 2 2 2 4" xfId="39591"/>
    <cellStyle name="20% - Accent1 2 2 2 2 2 5" xfId="41132"/>
    <cellStyle name="20% - Accent1 2 2 2 2 2_consumption scenario A" xfId="37657"/>
    <cellStyle name="20% - Accent1 2 2 2 2 3" xfId="36164"/>
    <cellStyle name="20% - Accent1 2 2 2 2 3 2" xfId="40121"/>
    <cellStyle name="20% - Accent1 2 2 2 2 3 3" xfId="41662"/>
    <cellStyle name="20% - Accent1 2 2 2 2 4" xfId="38106"/>
    <cellStyle name="20% - Accent1 2 2 2 2 5" xfId="39403"/>
    <cellStyle name="20% - Accent1 2 2 2 2 6" xfId="40944"/>
    <cellStyle name="20% - Accent1 2 2 2 2_AEO proration factors" xfId="36165"/>
    <cellStyle name="20% - Accent1 2 2 2 3" xfId="36166"/>
    <cellStyle name="20% - Accent1 2 2 2 3 2" xfId="36167"/>
    <cellStyle name="20% - Accent1 2 2 2 3 2 2" xfId="40308"/>
    <cellStyle name="20% - Accent1 2 2 2 3 2 3" xfId="41849"/>
    <cellStyle name="20% - Accent1 2 2 2 3 3" xfId="38294"/>
    <cellStyle name="20% - Accent1 2 2 2 3 4" xfId="39590"/>
    <cellStyle name="20% - Accent1 2 2 2 3 5" xfId="41131"/>
    <cellStyle name="20% - Accent1 2 2 2 3_consumption scenario A" xfId="37658"/>
    <cellStyle name="20% - Accent1 2 2 2 4" xfId="36168"/>
    <cellStyle name="20% - Accent1 2 2 2 4 2" xfId="40036"/>
    <cellStyle name="20% - Accent1 2 2 2 4 3" xfId="41577"/>
    <cellStyle name="20% - Accent1 2 2 2 5" xfId="38021"/>
    <cellStyle name="20% - Accent1 2 2 2 6" xfId="39318"/>
    <cellStyle name="20% - Accent1 2 2 2 7" xfId="40847"/>
    <cellStyle name="20% - Accent1 2 2 2_AEO proration factors" xfId="36169"/>
    <cellStyle name="20% - Accent1 2 2 3" xfId="35779"/>
    <cellStyle name="20% - Accent1 2 2 3 2" xfId="36170"/>
    <cellStyle name="20% - Accent1 2 2 3 2 2" xfId="36171"/>
    <cellStyle name="20% - Accent1 2 2 3 2 2 2" xfId="40310"/>
    <cellStyle name="20% - Accent1 2 2 3 2 2 3" xfId="41851"/>
    <cellStyle name="20% - Accent1 2 2 3 2 3" xfId="38296"/>
    <cellStyle name="20% - Accent1 2 2 3 2 4" xfId="39592"/>
    <cellStyle name="20% - Accent1 2 2 3 2 5" xfId="41133"/>
    <cellStyle name="20% - Accent1 2 2 3 2_consumption scenario A" xfId="37659"/>
    <cellStyle name="20% - Accent1 2 2 3 3" xfId="36172"/>
    <cellStyle name="20% - Accent1 2 2 3 3 2" xfId="40120"/>
    <cellStyle name="20% - Accent1 2 2 3 3 3" xfId="41661"/>
    <cellStyle name="20% - Accent1 2 2 3 4" xfId="38105"/>
    <cellStyle name="20% - Accent1 2 2 3 5" xfId="39402"/>
    <cellStyle name="20% - Accent1 2 2 3 6" xfId="40943"/>
    <cellStyle name="20% - Accent1 2 2 3_AEO proration factors" xfId="36173"/>
    <cellStyle name="20% - Accent1 2 2 4" xfId="35846"/>
    <cellStyle name="20% - Accent1 2 2 4 2" xfId="36174"/>
    <cellStyle name="20% - Accent1 2 2 4 2 2" xfId="40307"/>
    <cellStyle name="20% - Accent1 2 2 4 2 3" xfId="41848"/>
    <cellStyle name="20% - Accent1 2 2 4 3" xfId="38293"/>
    <cellStyle name="20% - Accent1 2 2 4 4" xfId="39589"/>
    <cellStyle name="20% - Accent1 2 2 4 5" xfId="41130"/>
    <cellStyle name="20% - Accent1 2 2 4_consumption scenario A" xfId="37444"/>
    <cellStyle name="20% - Accent1 2 2 5" xfId="36175"/>
    <cellStyle name="20% - Accent1 2 2 5 2" xfId="39975"/>
    <cellStyle name="20% - Accent1 2 2 5 3" xfId="41516"/>
    <cellStyle name="20% - Accent1 2 2 6" xfId="37960"/>
    <cellStyle name="20% - Accent1 2 2 7" xfId="39257"/>
    <cellStyle name="20% - Accent1 2 2 8" xfId="40783"/>
    <cellStyle name="20% - Accent1 2 2_AEO proration factors" xfId="36176"/>
    <cellStyle name="20% - Accent1 2 3" xfId="5891"/>
    <cellStyle name="20% - Accent1 2 3 2" xfId="35748"/>
    <cellStyle name="20% - Accent1 2 3 2 2" xfId="36177"/>
    <cellStyle name="20% - Accent1 2 3 2 2 2" xfId="36178"/>
    <cellStyle name="20% - Accent1 2 3 2 2 2 2" xfId="40312"/>
    <cellStyle name="20% - Accent1 2 3 2 2 2 3" xfId="41853"/>
    <cellStyle name="20% - Accent1 2 3 2 2 3" xfId="38298"/>
    <cellStyle name="20% - Accent1 2 3 2 2 4" xfId="39594"/>
    <cellStyle name="20% - Accent1 2 3 2 2 5" xfId="41135"/>
    <cellStyle name="20% - Accent1 2 3 2 2_consumption scenario A" xfId="37660"/>
    <cellStyle name="20% - Accent1 2 3 2 3" xfId="36179"/>
    <cellStyle name="20% - Accent1 2 3 2 3 2" xfId="40122"/>
    <cellStyle name="20% - Accent1 2 3 2 3 3" xfId="41663"/>
    <cellStyle name="20% - Accent1 2 3 2 4" xfId="38107"/>
    <cellStyle name="20% - Accent1 2 3 2 5" xfId="39404"/>
    <cellStyle name="20% - Accent1 2 3 2 6" xfId="40945"/>
    <cellStyle name="20% - Accent1 2 3 2_AEO proration factors" xfId="36180"/>
    <cellStyle name="20% - Accent1 2 3 3" xfId="35876"/>
    <cellStyle name="20% - Accent1 2 3 3 2" xfId="36181"/>
    <cellStyle name="20% - Accent1 2 3 3 2 2" xfId="40311"/>
    <cellStyle name="20% - Accent1 2 3 3 2 3" xfId="41852"/>
    <cellStyle name="20% - Accent1 2 3 3 3" xfId="38297"/>
    <cellStyle name="20% - Accent1 2 3 3 4" xfId="39593"/>
    <cellStyle name="20% - Accent1 2 3 3 5" xfId="41134"/>
    <cellStyle name="20% - Accent1 2 3 3_consumption scenario A" xfId="37445"/>
    <cellStyle name="20% - Accent1 2 3 4" xfId="36182"/>
    <cellStyle name="20% - Accent1 2 3 4 2" xfId="40005"/>
    <cellStyle name="20% - Accent1 2 3 4 3" xfId="41546"/>
    <cellStyle name="20% - Accent1 2 3 5" xfId="37990"/>
    <cellStyle name="20% - Accent1 2 3 6" xfId="39287"/>
    <cellStyle name="20% - Accent1 2 3 7" xfId="40816"/>
    <cellStyle name="20% - Accent1 2 3_AEO proration factors" xfId="36183"/>
    <cellStyle name="20% - Accent1 2 4" xfId="35585"/>
    <cellStyle name="20% - Accent1 2 4 2" xfId="35976"/>
    <cellStyle name="20% - Accent1 2 4_consumption scenario A" xfId="37446"/>
    <cellStyle name="20% - Accent1 2 5" xfId="35615"/>
    <cellStyle name="20% - Accent1 2 5 2" xfId="36184"/>
    <cellStyle name="20% - Accent1 2 5 2 2" xfId="36185"/>
    <cellStyle name="20% - Accent1 2 5 2 2 2" xfId="40313"/>
    <cellStyle name="20% - Accent1 2 5 2 2 3" xfId="41854"/>
    <cellStyle name="20% - Accent1 2 5 2 3" xfId="38299"/>
    <cellStyle name="20% - Accent1 2 5 2 4" xfId="39595"/>
    <cellStyle name="20% - Accent1 2 5 2 5" xfId="41136"/>
    <cellStyle name="20% - Accent1 2 5 2_consumption scenario A" xfId="37661"/>
    <cellStyle name="20% - Accent1 2 5 3" xfId="36186"/>
    <cellStyle name="20% - Accent1 2 5 3 2" xfId="40119"/>
    <cellStyle name="20% - Accent1 2 5 3 3" xfId="41660"/>
    <cellStyle name="20% - Accent1 2 5 4" xfId="38104"/>
    <cellStyle name="20% - Accent1 2 5 5" xfId="39401"/>
    <cellStyle name="20% - Accent1 2 5 6" xfId="40942"/>
    <cellStyle name="20% - Accent1 2 5_AEO proration factors" xfId="36187"/>
    <cellStyle name="20% - Accent1 2 6" xfId="35676"/>
    <cellStyle name="20% - Accent1 2 6 2" xfId="36188"/>
    <cellStyle name="20% - Accent1 2 6 2 2" xfId="40306"/>
    <cellStyle name="20% - Accent1 2 6 2 3" xfId="41847"/>
    <cellStyle name="20% - Accent1 2 6 3" xfId="38292"/>
    <cellStyle name="20% - Accent1 2 6 4" xfId="39588"/>
    <cellStyle name="20% - Accent1 2 6 5" xfId="41129"/>
    <cellStyle name="20% - Accent1 2 6_consumption scenario A" xfId="37447"/>
    <cellStyle name="20% - Accent1 2 7" xfId="35815"/>
    <cellStyle name="20% - Accent1 2 7 2" xfId="39944"/>
    <cellStyle name="20% - Accent1 2 7 3" xfId="41485"/>
    <cellStyle name="20% - Accent1 2 8" xfId="37929"/>
    <cellStyle name="20% - Accent1 2 9" xfId="39226"/>
    <cellStyle name="20% - Accent1 2_AEO proration factors" xfId="36189"/>
    <cellStyle name="20% - Accent1 20" xfId="36190"/>
    <cellStyle name="20% - Accent1 20 2" xfId="38672"/>
    <cellStyle name="20% - Accent1 20 3" xfId="40686"/>
    <cellStyle name="20% - Accent1 20 4" xfId="42228"/>
    <cellStyle name="20% - Accent1 20_consumption scenario A" xfId="37662"/>
    <cellStyle name="20% - Accent1 21" xfId="36191"/>
    <cellStyle name="20% - Accent1 21 2" xfId="38687"/>
    <cellStyle name="20% - Accent1 21 3" xfId="40701"/>
    <cellStyle name="20% - Accent1 21 4" xfId="42244"/>
    <cellStyle name="20% - Accent1 21_consumption scenario A" xfId="37663"/>
    <cellStyle name="20% - Accent1 22" xfId="36192"/>
    <cellStyle name="20% - Accent1 22 2" xfId="38699"/>
    <cellStyle name="20% - Accent1 22 3" xfId="40713"/>
    <cellStyle name="20% - Accent1 22 4" xfId="42256"/>
    <cellStyle name="20% - Accent1 22_consumption scenario A" xfId="37664"/>
    <cellStyle name="20% - Accent1 23" xfId="36193"/>
    <cellStyle name="20% - Accent1 23 2" xfId="39929"/>
    <cellStyle name="20% - Accent1 23 3" xfId="41470"/>
    <cellStyle name="20% - Accent1 24" xfId="37914"/>
    <cellStyle name="20% - Accent1 25" xfId="5789"/>
    <cellStyle name="20% - Accent1 26" xfId="38711"/>
    <cellStyle name="20% - Accent1 27" xfId="5292"/>
    <cellStyle name="20% - Accent1 28" xfId="39211"/>
    <cellStyle name="20% - Accent1 29" xfId="40731"/>
    <cellStyle name="20% - Accent1 3" xfId="5805"/>
    <cellStyle name="20% - Accent1 3 2" xfId="5863"/>
    <cellStyle name="20% - Accent1 3 2 2" xfId="35764"/>
    <cellStyle name="20% - Accent1 3 2 2 2" xfId="36194"/>
    <cellStyle name="20% - Accent1 3 2 2 2 2" xfId="36195"/>
    <cellStyle name="20% - Accent1 3 2 2 2 2 2" xfId="40316"/>
    <cellStyle name="20% - Accent1 3 2 2 2 2 3" xfId="41857"/>
    <cellStyle name="20% - Accent1 3 2 2 2 3" xfId="38302"/>
    <cellStyle name="20% - Accent1 3 2 2 2 4" xfId="39598"/>
    <cellStyle name="20% - Accent1 3 2 2 2 5" xfId="41139"/>
    <cellStyle name="20% - Accent1 3 2 2 2_consumption scenario A" xfId="37665"/>
    <cellStyle name="20% - Accent1 3 2 2 3" xfId="36196"/>
    <cellStyle name="20% - Accent1 3 2 2 3 2" xfId="40124"/>
    <cellStyle name="20% - Accent1 3 2 2 3 3" xfId="41665"/>
    <cellStyle name="20% - Accent1 3 2 2 4" xfId="38109"/>
    <cellStyle name="20% - Accent1 3 2 2 5" xfId="39406"/>
    <cellStyle name="20% - Accent1 3 2 2 6" xfId="40947"/>
    <cellStyle name="20% - Accent1 3 2 2_AEO proration factors" xfId="36197"/>
    <cellStyle name="20% - Accent1 3 2 3" xfId="35892"/>
    <cellStyle name="20% - Accent1 3 2 3 2" xfId="36198"/>
    <cellStyle name="20% - Accent1 3 2 3 2 2" xfId="40315"/>
    <cellStyle name="20% - Accent1 3 2 3 2 3" xfId="41856"/>
    <cellStyle name="20% - Accent1 3 2 3 3" xfId="38301"/>
    <cellStyle name="20% - Accent1 3 2 3 4" xfId="39597"/>
    <cellStyle name="20% - Accent1 3 2 3 5" xfId="41138"/>
    <cellStyle name="20% - Accent1 3 2 3_consumption scenario A" xfId="37448"/>
    <cellStyle name="20% - Accent1 3 2 4" xfId="36199"/>
    <cellStyle name="20% - Accent1 3 2 4 2" xfId="40021"/>
    <cellStyle name="20% - Accent1 3 2 4 3" xfId="41562"/>
    <cellStyle name="20% - Accent1 3 2 5" xfId="38006"/>
    <cellStyle name="20% - Accent1 3 2 6" xfId="39303"/>
    <cellStyle name="20% - Accent1 3 2 7" xfId="40832"/>
    <cellStyle name="20% - Accent1 3 2_AEO proration factors" xfId="36200"/>
    <cellStyle name="20% - Accent1 3 3" xfId="5906"/>
    <cellStyle name="20% - Accent1 3 3 2" xfId="35988"/>
    <cellStyle name="20% - Accent1 3 3_consumption scenario A" xfId="37449"/>
    <cellStyle name="20% - Accent1 3 4" xfId="35631"/>
    <cellStyle name="20% - Accent1 3 4 2" xfId="36201"/>
    <cellStyle name="20% - Accent1 3 4 2 2" xfId="36202"/>
    <cellStyle name="20% - Accent1 3 4 2 2 2" xfId="40317"/>
    <cellStyle name="20% - Accent1 3 4 2 2 3" xfId="41858"/>
    <cellStyle name="20% - Accent1 3 4 2 3" xfId="38303"/>
    <cellStyle name="20% - Accent1 3 4 2 4" xfId="39599"/>
    <cellStyle name="20% - Accent1 3 4 2 5" xfId="41140"/>
    <cellStyle name="20% - Accent1 3 4 2_consumption scenario A" xfId="37666"/>
    <cellStyle name="20% - Accent1 3 4 3" xfId="36203"/>
    <cellStyle name="20% - Accent1 3 4 3 2" xfId="40123"/>
    <cellStyle name="20% - Accent1 3 4 3 3" xfId="41664"/>
    <cellStyle name="20% - Accent1 3 4 4" xfId="38108"/>
    <cellStyle name="20% - Accent1 3 4 5" xfId="39405"/>
    <cellStyle name="20% - Accent1 3 4 6" xfId="40946"/>
    <cellStyle name="20% - Accent1 3 4_AEO proration factors" xfId="36204"/>
    <cellStyle name="20% - Accent1 3 5" xfId="35691"/>
    <cellStyle name="20% - Accent1 3 5 2" xfId="36205"/>
    <cellStyle name="20% - Accent1 3 5 2 2" xfId="40314"/>
    <cellStyle name="20% - Accent1 3 5 2 3" xfId="41855"/>
    <cellStyle name="20% - Accent1 3 5 3" xfId="38300"/>
    <cellStyle name="20% - Accent1 3 5 4" xfId="39596"/>
    <cellStyle name="20% - Accent1 3 5 5" xfId="41137"/>
    <cellStyle name="20% - Accent1 3 5_consumption scenario A" xfId="37450"/>
    <cellStyle name="20% - Accent1 3 6" xfId="35831"/>
    <cellStyle name="20% - Accent1 3 6 2" xfId="39960"/>
    <cellStyle name="20% - Accent1 3 6 3" xfId="41501"/>
    <cellStyle name="20% - Accent1 3 7" xfId="37945"/>
    <cellStyle name="20% - Accent1 3 8" xfId="39242"/>
    <cellStyle name="20% - Accent1 3 9" xfId="40765"/>
    <cellStyle name="20% - Accent1 3_AEO proration factors" xfId="36206"/>
    <cellStyle name="20% - Accent1 4" xfId="5834"/>
    <cellStyle name="20% - Accent1 4 10" xfId="42277"/>
    <cellStyle name="20% - Accent1 4 2" xfId="5920"/>
    <cellStyle name="20% - Accent1 4 2 2" xfId="36000"/>
    <cellStyle name="20% - Accent1 4 2_consumption scenario A" xfId="37451"/>
    <cellStyle name="20% - Accent1 4 3" xfId="35705"/>
    <cellStyle name="20% - Accent1 4 3 2" xfId="36207"/>
    <cellStyle name="20% - Accent1 4 3 2 2" xfId="36208"/>
    <cellStyle name="20% - Accent1 4 3 2 2 2" xfId="40319"/>
    <cellStyle name="20% - Accent1 4 3 2 2 3" xfId="41860"/>
    <cellStyle name="20% - Accent1 4 3 2 3" xfId="38305"/>
    <cellStyle name="20% - Accent1 4 3 2 4" xfId="39601"/>
    <cellStyle name="20% - Accent1 4 3 2 5" xfId="41142"/>
    <cellStyle name="20% - Accent1 4 3 2_consumption scenario A" xfId="37667"/>
    <cellStyle name="20% - Accent1 4 3 3" xfId="36209"/>
    <cellStyle name="20% - Accent1 4 3 3 2" xfId="40125"/>
    <cellStyle name="20% - Accent1 4 3 3 3" xfId="41666"/>
    <cellStyle name="20% - Accent1 4 3 4" xfId="38110"/>
    <cellStyle name="20% - Accent1 4 3 5" xfId="39407"/>
    <cellStyle name="20% - Accent1 4 3 6" xfId="40948"/>
    <cellStyle name="20% - Accent1 4 3_AEO proration factors" xfId="36210"/>
    <cellStyle name="20% - Accent1 4 4" xfId="35861"/>
    <cellStyle name="20% - Accent1 4 4 2" xfId="36211"/>
    <cellStyle name="20% - Accent1 4 4 2 2" xfId="40318"/>
    <cellStyle name="20% - Accent1 4 4 2 3" xfId="41859"/>
    <cellStyle name="20% - Accent1 4 4 3" xfId="38304"/>
    <cellStyle name="20% - Accent1 4 4 4" xfId="39600"/>
    <cellStyle name="20% - Accent1 4 4 5" xfId="41141"/>
    <cellStyle name="20% - Accent1 4 4_consumption scenario A" xfId="37452"/>
    <cellStyle name="20% - Accent1 4 5" xfId="36212"/>
    <cellStyle name="20% - Accent1 4 5 2" xfId="39990"/>
    <cellStyle name="20% - Accent1 4 5 3" xfId="41531"/>
    <cellStyle name="20% - Accent1 4 6" xfId="37975"/>
    <cellStyle name="20% - Accent1 4 7" xfId="39272"/>
    <cellStyle name="20% - Accent1 4 8" xfId="40801"/>
    <cellStyle name="20% - Accent1 4 9" xfId="40864"/>
    <cellStyle name="20% - Accent1 4_AEO proration factors" xfId="36213"/>
    <cellStyle name="20% - Accent1 5" xfId="5934"/>
    <cellStyle name="20% - Accent1 5 10" xfId="42288"/>
    <cellStyle name="20% - Accent1 5 2" xfId="35719"/>
    <cellStyle name="20% - Accent1 5 2 2" xfId="36012"/>
    <cellStyle name="20% - Accent1 5 2_consumption scenario A" xfId="37453"/>
    <cellStyle name="20% - Accent1 5 3" xfId="35922"/>
    <cellStyle name="20% - Accent1 5 3 2" xfId="36214"/>
    <cellStyle name="20% - Accent1 5 3 2 2" xfId="36215"/>
    <cellStyle name="20% - Accent1 5 3 2 2 2" xfId="40321"/>
    <cellStyle name="20% - Accent1 5 3 2 2 3" xfId="41862"/>
    <cellStyle name="20% - Accent1 5 3 2 3" xfId="38307"/>
    <cellStyle name="20% - Accent1 5 3 2 4" xfId="39603"/>
    <cellStyle name="20% - Accent1 5 3 2 5" xfId="41144"/>
    <cellStyle name="20% - Accent1 5 3 2_consumption scenario A" xfId="37668"/>
    <cellStyle name="20% - Accent1 5 3 3" xfId="36216"/>
    <cellStyle name="20% - Accent1 5 3 3 2" xfId="40126"/>
    <cellStyle name="20% - Accent1 5 3 3 3" xfId="41667"/>
    <cellStyle name="20% - Accent1 5 3 4" xfId="38111"/>
    <cellStyle name="20% - Accent1 5 3 5" xfId="39408"/>
    <cellStyle name="20% - Accent1 5 3 6" xfId="40949"/>
    <cellStyle name="20% - Accent1 5 3_AEO proration factors" xfId="36217"/>
    <cellStyle name="20% - Accent1 5 4" xfId="36218"/>
    <cellStyle name="20% - Accent1 5 4 2" xfId="36219"/>
    <cellStyle name="20% - Accent1 5 4 2 2" xfId="40320"/>
    <cellStyle name="20% - Accent1 5 4 2 3" xfId="41861"/>
    <cellStyle name="20% - Accent1 5 4 3" xfId="38306"/>
    <cellStyle name="20% - Accent1 5 4 4" xfId="39602"/>
    <cellStyle name="20% - Accent1 5 4 5" xfId="41143"/>
    <cellStyle name="20% - Accent1 5 4_consumption scenario A" xfId="37669"/>
    <cellStyle name="20% - Accent1 5 5" xfId="36220"/>
    <cellStyle name="20% - Accent1 5 5 2" xfId="40052"/>
    <cellStyle name="20% - Accent1 5 5 3" xfId="41593"/>
    <cellStyle name="20% - Accent1 5 6" xfId="38037"/>
    <cellStyle name="20% - Accent1 5 7" xfId="39334"/>
    <cellStyle name="20% - Accent1 5 8" xfId="40867"/>
    <cellStyle name="20% - Accent1 5 9" xfId="40901"/>
    <cellStyle name="20% - Accent1 5_AEO proration factors" xfId="36221"/>
    <cellStyle name="20% - Accent1 6" xfId="5877"/>
    <cellStyle name="20% - Accent1 6 2" xfId="35733"/>
    <cellStyle name="20% - Accent1 6 3" xfId="36024"/>
    <cellStyle name="20% - Accent1 6_consumption scenario A" xfId="37454"/>
    <cellStyle name="20% - Accent1 7" xfId="35571"/>
    <cellStyle name="20% - Accent1 7 2" xfId="36036"/>
    <cellStyle name="20% - Accent1 7_consumption scenario A" xfId="37455"/>
    <cellStyle name="20% - Accent1 8" xfId="35601"/>
    <cellStyle name="20% - Accent1 8 2" xfId="36049"/>
    <cellStyle name="20% - Accent1 8_consumption scenario A" xfId="37456"/>
    <cellStyle name="20% - Accent1 9" xfId="35662"/>
    <cellStyle name="20% - Accent1 9 2" xfId="36062"/>
    <cellStyle name="20% - Accent1 9_consumption scenario A" xfId="37457"/>
    <cellStyle name="20% - Accent2" xfId="32" builtinId="34" hidden="1" customBuiltin="1"/>
    <cellStyle name="20% - Accent2" xfId="67" builtinId="34" customBuiltin="1"/>
    <cellStyle name="20% - Accent2 10" xfId="36076"/>
    <cellStyle name="20% - Accent2 11" xfId="36088"/>
    <cellStyle name="20% - Accent2 12" xfId="35952"/>
    <cellStyle name="20% - Accent2 13" xfId="35940"/>
    <cellStyle name="20% - Accent2 13 2" xfId="36222"/>
    <cellStyle name="20% - Accent2 13 2 2" xfId="36223"/>
    <cellStyle name="20% - Accent2 13 2 2 2" xfId="36224"/>
    <cellStyle name="20% - Accent2 13 2 2 2 2" xfId="40323"/>
    <cellStyle name="20% - Accent2 13 2 2 2 3" xfId="41864"/>
    <cellStyle name="20% - Accent2 13 2 2 3" xfId="38309"/>
    <cellStyle name="20% - Accent2 13 2 2 4" xfId="39605"/>
    <cellStyle name="20% - Accent2 13 2 2 5" xfId="41146"/>
    <cellStyle name="20% - Accent2 13 2 2_consumption scenario A" xfId="37670"/>
    <cellStyle name="20% - Accent2 13 2 3" xfId="36225"/>
    <cellStyle name="20% - Accent2 13 2 3 2" xfId="40127"/>
    <cellStyle name="20% - Accent2 13 2 3 3" xfId="41668"/>
    <cellStyle name="20% - Accent2 13 2 4" xfId="38112"/>
    <cellStyle name="20% - Accent2 13 2 5" xfId="39409"/>
    <cellStyle name="20% - Accent2 13 2 6" xfId="40950"/>
    <cellStyle name="20% - Accent2 13 2_AEO proration factors" xfId="36226"/>
    <cellStyle name="20% - Accent2 13 3" xfId="36227"/>
    <cellStyle name="20% - Accent2 13 3 2" xfId="36228"/>
    <cellStyle name="20% - Accent2 13 3 2 2" xfId="40322"/>
    <cellStyle name="20% - Accent2 13 3 2 3" xfId="41863"/>
    <cellStyle name="20% - Accent2 13 3 3" xfId="38308"/>
    <cellStyle name="20% - Accent2 13 3 4" xfId="39604"/>
    <cellStyle name="20% - Accent2 13 3 5" xfId="41145"/>
    <cellStyle name="20% - Accent2 13 3_consumption scenario A" xfId="37671"/>
    <cellStyle name="20% - Accent2 13 4" xfId="36229"/>
    <cellStyle name="20% - Accent2 13 4 2" xfId="40070"/>
    <cellStyle name="20% - Accent2 13 4 3" xfId="41611"/>
    <cellStyle name="20% - Accent2 13 5" xfId="38055"/>
    <cellStyle name="20% - Accent2 13 6" xfId="39352"/>
    <cellStyle name="20% - Accent2 13 7" xfId="40888"/>
    <cellStyle name="20% - Accent2 13_AEO proration factors" xfId="36230"/>
    <cellStyle name="20% - Accent2 14" xfId="36105"/>
    <cellStyle name="20% - Accent2 14 2" xfId="36231"/>
    <cellStyle name="20% - Accent2 14 2 2" xfId="36232"/>
    <cellStyle name="20% - Accent2 14 2 2 2" xfId="36233"/>
    <cellStyle name="20% - Accent2 14 2 2 2 2" xfId="40325"/>
    <cellStyle name="20% - Accent2 14 2 2 2 3" xfId="41866"/>
    <cellStyle name="20% - Accent2 14 2 2 3" xfId="38311"/>
    <cellStyle name="20% - Accent2 14 2 2 4" xfId="39607"/>
    <cellStyle name="20% - Accent2 14 2 2 5" xfId="41148"/>
    <cellStyle name="20% - Accent2 14 2 2_consumption scenario A" xfId="37672"/>
    <cellStyle name="20% - Accent2 14 2 3" xfId="36234"/>
    <cellStyle name="20% - Accent2 14 2 3 2" xfId="40128"/>
    <cellStyle name="20% - Accent2 14 2 3 3" xfId="41669"/>
    <cellStyle name="20% - Accent2 14 2 4" xfId="38113"/>
    <cellStyle name="20% - Accent2 14 2 5" xfId="39410"/>
    <cellStyle name="20% - Accent2 14 2 6" xfId="40951"/>
    <cellStyle name="20% - Accent2 14 2_AEO proration factors" xfId="36235"/>
    <cellStyle name="20% - Accent2 14 3" xfId="36236"/>
    <cellStyle name="20% - Accent2 14 3 2" xfId="36237"/>
    <cellStyle name="20% - Accent2 14 3 2 2" xfId="40324"/>
    <cellStyle name="20% - Accent2 14 3 2 3" xfId="41865"/>
    <cellStyle name="20% - Accent2 14 3 3" xfId="38310"/>
    <cellStyle name="20% - Accent2 14 3 4" xfId="39606"/>
    <cellStyle name="20% - Accent2 14 3 5" xfId="41147"/>
    <cellStyle name="20% - Accent2 14 3_consumption scenario A" xfId="37673"/>
    <cellStyle name="20% - Accent2 14 4" xfId="36238"/>
    <cellStyle name="20% - Accent2 14 4 2" xfId="40087"/>
    <cellStyle name="20% - Accent2 14 4 3" xfId="41628"/>
    <cellStyle name="20% - Accent2 14 5" xfId="38072"/>
    <cellStyle name="20% - Accent2 14 6" xfId="39369"/>
    <cellStyle name="20% - Accent2 14 7" xfId="40910"/>
    <cellStyle name="20% - Accent2 14_AEO proration factors" xfId="36239"/>
    <cellStyle name="20% - Accent2 15" xfId="35802"/>
    <cellStyle name="20% - Accent2 15 2" xfId="36240"/>
    <cellStyle name="20% - Accent2 15 2 2" xfId="36241"/>
    <cellStyle name="20% - Accent2 15 2 2 2" xfId="36242"/>
    <cellStyle name="20% - Accent2 15 2 2 2 2" xfId="40327"/>
    <cellStyle name="20% - Accent2 15 2 2 2 3" xfId="41868"/>
    <cellStyle name="20% - Accent2 15 2 2 3" xfId="38313"/>
    <cellStyle name="20% - Accent2 15 2 2 4" xfId="39609"/>
    <cellStyle name="20% - Accent2 15 2 2 5" xfId="41150"/>
    <cellStyle name="20% - Accent2 15 2 2_consumption scenario A" xfId="37674"/>
    <cellStyle name="20% - Accent2 15 2 3" xfId="36243"/>
    <cellStyle name="20% - Accent2 15 2 3 2" xfId="40129"/>
    <cellStyle name="20% - Accent2 15 2 3 3" xfId="41670"/>
    <cellStyle name="20% - Accent2 15 2 4" xfId="38114"/>
    <cellStyle name="20% - Accent2 15 2 5" xfId="39411"/>
    <cellStyle name="20% - Accent2 15 2 6" xfId="40952"/>
    <cellStyle name="20% - Accent2 15 2_AEO proration factors" xfId="36244"/>
    <cellStyle name="20% - Accent2 15 3" xfId="36245"/>
    <cellStyle name="20% - Accent2 15 3 2" xfId="36246"/>
    <cellStyle name="20% - Accent2 15 3 2 2" xfId="40326"/>
    <cellStyle name="20% - Accent2 15 3 2 3" xfId="41867"/>
    <cellStyle name="20% - Accent2 15 3 3" xfId="38312"/>
    <cellStyle name="20% - Accent2 15 3 4" xfId="39608"/>
    <cellStyle name="20% - Accent2 15 3 5" xfId="41149"/>
    <cellStyle name="20% - Accent2 15 3_consumption scenario A" xfId="37675"/>
    <cellStyle name="20% - Accent2 15 4" xfId="36247"/>
    <cellStyle name="20% - Accent2 15 4 2" xfId="40101"/>
    <cellStyle name="20% - Accent2 15 4 3" xfId="41642"/>
    <cellStyle name="20% - Accent2 15 5" xfId="38086"/>
    <cellStyle name="20% - Accent2 15 6" xfId="39383"/>
    <cellStyle name="20% - Accent2 15 7" xfId="40924"/>
    <cellStyle name="20% - Accent2 15_AEO proration factors" xfId="36248"/>
    <cellStyle name="20% - Accent2 16" xfId="36121"/>
    <cellStyle name="20% - Accent2 16 2" xfId="36249"/>
    <cellStyle name="20% - Accent2 16 2 2" xfId="40290"/>
    <cellStyle name="20% - Accent2 16 2 3" xfId="41831"/>
    <cellStyle name="20% - Accent2 16 3" xfId="38275"/>
    <cellStyle name="20% - Accent2 16 4" xfId="39572"/>
    <cellStyle name="20% - Accent2 16 5" xfId="41113"/>
    <cellStyle name="20% - Accent2 16_consumption scenario A" xfId="37458"/>
    <cellStyle name="20% - Accent2 17" xfId="36250"/>
    <cellStyle name="20% - Accent2 17 2" xfId="38635"/>
    <cellStyle name="20% - Accent2 17 3" xfId="40649"/>
    <cellStyle name="20% - Accent2 17 4" xfId="42190"/>
    <cellStyle name="20% - Accent2 17_consumption scenario A" xfId="37676"/>
    <cellStyle name="20% - Accent2 18" xfId="36251"/>
    <cellStyle name="20% - Accent2 18 2" xfId="38652"/>
    <cellStyle name="20% - Accent2 18 3" xfId="40666"/>
    <cellStyle name="20% - Accent2 18 4" xfId="42207"/>
    <cellStyle name="20% - Accent2 18_consumption scenario A" xfId="37677"/>
    <cellStyle name="20% - Accent2 19" xfId="36252"/>
    <cellStyle name="20% - Accent2 19 2" xfId="38665"/>
    <cellStyle name="20% - Accent2 19 3" xfId="40679"/>
    <cellStyle name="20% - Accent2 19 4" xfId="42221"/>
    <cellStyle name="20% - Accent2 19_consumption scenario A" xfId="37678"/>
    <cellStyle name="20% - Accent2 2" xfId="5821"/>
    <cellStyle name="20% - Accent2 2 10" xfId="40750"/>
    <cellStyle name="20% - Accent2 2 2" xfId="5850"/>
    <cellStyle name="20% - Accent2 2 2 2" xfId="35648"/>
    <cellStyle name="20% - Accent2 2 2 2 2" xfId="35909"/>
    <cellStyle name="20% - Accent2 2 2 2 2 2" xfId="36253"/>
    <cellStyle name="20% - Accent2 2 2 2 2 2 2" xfId="36254"/>
    <cellStyle name="20% - Accent2 2 2 2 2 2 2 2" xfId="40331"/>
    <cellStyle name="20% - Accent2 2 2 2 2 2 2 3" xfId="41872"/>
    <cellStyle name="20% - Accent2 2 2 2 2 2 3" xfId="38317"/>
    <cellStyle name="20% - Accent2 2 2 2 2 2 4" xfId="39613"/>
    <cellStyle name="20% - Accent2 2 2 2 2 2 5" xfId="41154"/>
    <cellStyle name="20% - Accent2 2 2 2 2 2_consumption scenario A" xfId="37679"/>
    <cellStyle name="20% - Accent2 2 2 2 2 3" xfId="36255"/>
    <cellStyle name="20% - Accent2 2 2 2 2 3 2" xfId="40132"/>
    <cellStyle name="20% - Accent2 2 2 2 2 3 3" xfId="41673"/>
    <cellStyle name="20% - Accent2 2 2 2 2 4" xfId="38117"/>
    <cellStyle name="20% - Accent2 2 2 2 2 5" xfId="39414"/>
    <cellStyle name="20% - Accent2 2 2 2 2 6" xfId="40955"/>
    <cellStyle name="20% - Accent2 2 2 2 2_AEO proration factors" xfId="36256"/>
    <cellStyle name="20% - Accent2 2 2 2 3" xfId="36257"/>
    <cellStyle name="20% - Accent2 2 2 2 3 2" xfId="36258"/>
    <cellStyle name="20% - Accent2 2 2 2 3 2 2" xfId="40330"/>
    <cellStyle name="20% - Accent2 2 2 2 3 2 3" xfId="41871"/>
    <cellStyle name="20% - Accent2 2 2 2 3 3" xfId="38316"/>
    <cellStyle name="20% - Accent2 2 2 2 3 4" xfId="39612"/>
    <cellStyle name="20% - Accent2 2 2 2 3 5" xfId="41153"/>
    <cellStyle name="20% - Accent2 2 2 2 3_consumption scenario A" xfId="37680"/>
    <cellStyle name="20% - Accent2 2 2 2 4" xfId="36259"/>
    <cellStyle name="20% - Accent2 2 2 2 4 2" xfId="40038"/>
    <cellStyle name="20% - Accent2 2 2 2 4 3" xfId="41579"/>
    <cellStyle name="20% - Accent2 2 2 2 5" xfId="38023"/>
    <cellStyle name="20% - Accent2 2 2 2 6" xfId="39320"/>
    <cellStyle name="20% - Accent2 2 2 2 7" xfId="40849"/>
    <cellStyle name="20% - Accent2 2 2 2_AEO proration factors" xfId="36260"/>
    <cellStyle name="20% - Accent2 2 2 3" xfId="35781"/>
    <cellStyle name="20% - Accent2 2 2 3 2" xfId="36261"/>
    <cellStyle name="20% - Accent2 2 2 3 2 2" xfId="36262"/>
    <cellStyle name="20% - Accent2 2 2 3 2 2 2" xfId="40332"/>
    <cellStyle name="20% - Accent2 2 2 3 2 2 3" xfId="41873"/>
    <cellStyle name="20% - Accent2 2 2 3 2 3" xfId="38318"/>
    <cellStyle name="20% - Accent2 2 2 3 2 4" xfId="39614"/>
    <cellStyle name="20% - Accent2 2 2 3 2 5" xfId="41155"/>
    <cellStyle name="20% - Accent2 2 2 3 2_consumption scenario A" xfId="37681"/>
    <cellStyle name="20% - Accent2 2 2 3 3" xfId="36263"/>
    <cellStyle name="20% - Accent2 2 2 3 3 2" xfId="40131"/>
    <cellStyle name="20% - Accent2 2 2 3 3 3" xfId="41672"/>
    <cellStyle name="20% - Accent2 2 2 3 4" xfId="38116"/>
    <cellStyle name="20% - Accent2 2 2 3 5" xfId="39413"/>
    <cellStyle name="20% - Accent2 2 2 3 6" xfId="40954"/>
    <cellStyle name="20% - Accent2 2 2 3_AEO proration factors" xfId="36264"/>
    <cellStyle name="20% - Accent2 2 2 4" xfId="35848"/>
    <cellStyle name="20% - Accent2 2 2 4 2" xfId="36265"/>
    <cellStyle name="20% - Accent2 2 2 4 2 2" xfId="40329"/>
    <cellStyle name="20% - Accent2 2 2 4 2 3" xfId="41870"/>
    <cellStyle name="20% - Accent2 2 2 4 3" xfId="38315"/>
    <cellStyle name="20% - Accent2 2 2 4 4" xfId="39611"/>
    <cellStyle name="20% - Accent2 2 2 4 5" xfId="41152"/>
    <cellStyle name="20% - Accent2 2 2 4_consumption scenario A" xfId="37459"/>
    <cellStyle name="20% - Accent2 2 2 5" xfId="36266"/>
    <cellStyle name="20% - Accent2 2 2 5 2" xfId="39977"/>
    <cellStyle name="20% - Accent2 2 2 5 3" xfId="41518"/>
    <cellStyle name="20% - Accent2 2 2 6" xfId="37962"/>
    <cellStyle name="20% - Accent2 2 2 7" xfId="39259"/>
    <cellStyle name="20% - Accent2 2 2 8" xfId="40785"/>
    <cellStyle name="20% - Accent2 2 2_AEO proration factors" xfId="36267"/>
    <cellStyle name="20% - Accent2 2 3" xfId="5893"/>
    <cellStyle name="20% - Accent2 2 3 2" xfId="35750"/>
    <cellStyle name="20% - Accent2 2 3 2 2" xfId="36268"/>
    <cellStyle name="20% - Accent2 2 3 2 2 2" xfId="36269"/>
    <cellStyle name="20% - Accent2 2 3 2 2 2 2" xfId="40334"/>
    <cellStyle name="20% - Accent2 2 3 2 2 2 3" xfId="41875"/>
    <cellStyle name="20% - Accent2 2 3 2 2 3" xfId="38320"/>
    <cellStyle name="20% - Accent2 2 3 2 2 4" xfId="39616"/>
    <cellStyle name="20% - Accent2 2 3 2 2 5" xfId="41157"/>
    <cellStyle name="20% - Accent2 2 3 2 2_consumption scenario A" xfId="37682"/>
    <cellStyle name="20% - Accent2 2 3 2 3" xfId="36270"/>
    <cellStyle name="20% - Accent2 2 3 2 3 2" xfId="40133"/>
    <cellStyle name="20% - Accent2 2 3 2 3 3" xfId="41674"/>
    <cellStyle name="20% - Accent2 2 3 2 4" xfId="38118"/>
    <cellStyle name="20% - Accent2 2 3 2 5" xfId="39415"/>
    <cellStyle name="20% - Accent2 2 3 2 6" xfId="40956"/>
    <cellStyle name="20% - Accent2 2 3 2_AEO proration factors" xfId="36271"/>
    <cellStyle name="20% - Accent2 2 3 3" xfId="35878"/>
    <cellStyle name="20% - Accent2 2 3 3 2" xfId="36272"/>
    <cellStyle name="20% - Accent2 2 3 3 2 2" xfId="40333"/>
    <cellStyle name="20% - Accent2 2 3 3 2 3" xfId="41874"/>
    <cellStyle name="20% - Accent2 2 3 3 3" xfId="38319"/>
    <cellStyle name="20% - Accent2 2 3 3 4" xfId="39615"/>
    <cellStyle name="20% - Accent2 2 3 3 5" xfId="41156"/>
    <cellStyle name="20% - Accent2 2 3 3_consumption scenario A" xfId="37460"/>
    <cellStyle name="20% - Accent2 2 3 4" xfId="36273"/>
    <cellStyle name="20% - Accent2 2 3 4 2" xfId="40007"/>
    <cellStyle name="20% - Accent2 2 3 4 3" xfId="41548"/>
    <cellStyle name="20% - Accent2 2 3 5" xfId="37992"/>
    <cellStyle name="20% - Accent2 2 3 6" xfId="39289"/>
    <cellStyle name="20% - Accent2 2 3 7" xfId="40818"/>
    <cellStyle name="20% - Accent2 2 3_AEO proration factors" xfId="36274"/>
    <cellStyle name="20% - Accent2 2 4" xfId="35587"/>
    <cellStyle name="20% - Accent2 2 4 2" xfId="35978"/>
    <cellStyle name="20% - Accent2 2 4_consumption scenario A" xfId="37461"/>
    <cellStyle name="20% - Accent2 2 5" xfId="35617"/>
    <cellStyle name="20% - Accent2 2 5 2" xfId="36275"/>
    <cellStyle name="20% - Accent2 2 5 2 2" xfId="36276"/>
    <cellStyle name="20% - Accent2 2 5 2 2 2" xfId="40335"/>
    <cellStyle name="20% - Accent2 2 5 2 2 3" xfId="41876"/>
    <cellStyle name="20% - Accent2 2 5 2 3" xfId="38321"/>
    <cellStyle name="20% - Accent2 2 5 2 4" xfId="39617"/>
    <cellStyle name="20% - Accent2 2 5 2 5" xfId="41158"/>
    <cellStyle name="20% - Accent2 2 5 2_consumption scenario A" xfId="37683"/>
    <cellStyle name="20% - Accent2 2 5 3" xfId="36277"/>
    <cellStyle name="20% - Accent2 2 5 3 2" xfId="40130"/>
    <cellStyle name="20% - Accent2 2 5 3 3" xfId="41671"/>
    <cellStyle name="20% - Accent2 2 5 4" xfId="38115"/>
    <cellStyle name="20% - Accent2 2 5 5" xfId="39412"/>
    <cellStyle name="20% - Accent2 2 5 6" xfId="40953"/>
    <cellStyle name="20% - Accent2 2 5_AEO proration factors" xfId="36278"/>
    <cellStyle name="20% - Accent2 2 6" xfId="35678"/>
    <cellStyle name="20% - Accent2 2 6 2" xfId="36279"/>
    <cellStyle name="20% - Accent2 2 6 2 2" xfId="40328"/>
    <cellStyle name="20% - Accent2 2 6 2 3" xfId="41869"/>
    <cellStyle name="20% - Accent2 2 6 3" xfId="38314"/>
    <cellStyle name="20% - Accent2 2 6 4" xfId="39610"/>
    <cellStyle name="20% - Accent2 2 6 5" xfId="41151"/>
    <cellStyle name="20% - Accent2 2 6_consumption scenario A" xfId="37462"/>
    <cellStyle name="20% - Accent2 2 7" xfId="35817"/>
    <cellStyle name="20% - Accent2 2 7 2" xfId="39946"/>
    <cellStyle name="20% - Accent2 2 7 3" xfId="41487"/>
    <cellStyle name="20% - Accent2 2 8" xfId="37931"/>
    <cellStyle name="20% - Accent2 2 9" xfId="39228"/>
    <cellStyle name="20% - Accent2 2_AEO proration factors" xfId="36280"/>
    <cellStyle name="20% - Accent2 20" xfId="36281"/>
    <cellStyle name="20% - Accent2 20 2" xfId="38677"/>
    <cellStyle name="20% - Accent2 20 3" xfId="40691"/>
    <cellStyle name="20% - Accent2 20 4" xfId="42233"/>
    <cellStyle name="20% - Accent2 20_consumption scenario A" xfId="37684"/>
    <cellStyle name="20% - Accent2 21" xfId="36282"/>
    <cellStyle name="20% - Accent2 21 2" xfId="38690"/>
    <cellStyle name="20% - Accent2 21 3" xfId="40704"/>
    <cellStyle name="20% - Accent2 21 4" xfId="42247"/>
    <cellStyle name="20% - Accent2 21_consumption scenario A" xfId="37685"/>
    <cellStyle name="20% - Accent2 22" xfId="36283"/>
    <cellStyle name="20% - Accent2 22 2" xfId="38689"/>
    <cellStyle name="20% - Accent2 22 3" xfId="40703"/>
    <cellStyle name="20% - Accent2 22 4" xfId="42246"/>
    <cellStyle name="20% - Accent2 22_consumption scenario A" xfId="37686"/>
    <cellStyle name="20% - Accent2 23" xfId="36284"/>
    <cellStyle name="20% - Accent2 23 2" xfId="39931"/>
    <cellStyle name="20% - Accent2 23 3" xfId="41472"/>
    <cellStyle name="20% - Accent2 24" xfId="37916"/>
    <cellStyle name="20% - Accent2 25" xfId="5790"/>
    <cellStyle name="20% - Accent2 26" xfId="38712"/>
    <cellStyle name="20% - Accent2 27" xfId="5293"/>
    <cellStyle name="20% - Accent2 28" xfId="39213"/>
    <cellStyle name="20% - Accent2 29" xfId="40733"/>
    <cellStyle name="20% - Accent2 3" xfId="5807"/>
    <cellStyle name="20% - Accent2 3 2" xfId="5865"/>
    <cellStyle name="20% - Accent2 3 2 2" xfId="35766"/>
    <cellStyle name="20% - Accent2 3 2 2 2" xfId="36285"/>
    <cellStyle name="20% - Accent2 3 2 2 2 2" xfId="36286"/>
    <cellStyle name="20% - Accent2 3 2 2 2 2 2" xfId="40338"/>
    <cellStyle name="20% - Accent2 3 2 2 2 2 3" xfId="41879"/>
    <cellStyle name="20% - Accent2 3 2 2 2 3" xfId="38324"/>
    <cellStyle name="20% - Accent2 3 2 2 2 4" xfId="39620"/>
    <cellStyle name="20% - Accent2 3 2 2 2 5" xfId="41161"/>
    <cellStyle name="20% - Accent2 3 2 2 2_consumption scenario A" xfId="37687"/>
    <cellStyle name="20% - Accent2 3 2 2 3" xfId="36287"/>
    <cellStyle name="20% - Accent2 3 2 2 3 2" xfId="40135"/>
    <cellStyle name="20% - Accent2 3 2 2 3 3" xfId="41676"/>
    <cellStyle name="20% - Accent2 3 2 2 4" xfId="38120"/>
    <cellStyle name="20% - Accent2 3 2 2 5" xfId="39417"/>
    <cellStyle name="20% - Accent2 3 2 2 6" xfId="40958"/>
    <cellStyle name="20% - Accent2 3 2 2_AEO proration factors" xfId="36288"/>
    <cellStyle name="20% - Accent2 3 2 3" xfId="35894"/>
    <cellStyle name="20% - Accent2 3 2 3 2" xfId="36289"/>
    <cellStyle name="20% - Accent2 3 2 3 2 2" xfId="40337"/>
    <cellStyle name="20% - Accent2 3 2 3 2 3" xfId="41878"/>
    <cellStyle name="20% - Accent2 3 2 3 3" xfId="38323"/>
    <cellStyle name="20% - Accent2 3 2 3 4" xfId="39619"/>
    <cellStyle name="20% - Accent2 3 2 3 5" xfId="41160"/>
    <cellStyle name="20% - Accent2 3 2 3_consumption scenario A" xfId="37463"/>
    <cellStyle name="20% - Accent2 3 2 4" xfId="36290"/>
    <cellStyle name="20% - Accent2 3 2 4 2" xfId="40023"/>
    <cellStyle name="20% - Accent2 3 2 4 3" xfId="41564"/>
    <cellStyle name="20% - Accent2 3 2 5" xfId="38008"/>
    <cellStyle name="20% - Accent2 3 2 6" xfId="39305"/>
    <cellStyle name="20% - Accent2 3 2 7" xfId="40834"/>
    <cellStyle name="20% - Accent2 3 2_AEO proration factors" xfId="36291"/>
    <cellStyle name="20% - Accent2 3 3" xfId="5908"/>
    <cellStyle name="20% - Accent2 3 3 2" xfId="35990"/>
    <cellStyle name="20% - Accent2 3 3_consumption scenario A" xfId="37464"/>
    <cellStyle name="20% - Accent2 3 4" xfId="35633"/>
    <cellStyle name="20% - Accent2 3 4 2" xfId="36292"/>
    <cellStyle name="20% - Accent2 3 4 2 2" xfId="36293"/>
    <cellStyle name="20% - Accent2 3 4 2 2 2" xfId="40339"/>
    <cellStyle name="20% - Accent2 3 4 2 2 3" xfId="41880"/>
    <cellStyle name="20% - Accent2 3 4 2 3" xfId="38325"/>
    <cellStyle name="20% - Accent2 3 4 2 4" xfId="39621"/>
    <cellStyle name="20% - Accent2 3 4 2 5" xfId="41162"/>
    <cellStyle name="20% - Accent2 3 4 2_consumption scenario A" xfId="37688"/>
    <cellStyle name="20% - Accent2 3 4 3" xfId="36294"/>
    <cellStyle name="20% - Accent2 3 4 3 2" xfId="40134"/>
    <cellStyle name="20% - Accent2 3 4 3 3" xfId="41675"/>
    <cellStyle name="20% - Accent2 3 4 4" xfId="38119"/>
    <cellStyle name="20% - Accent2 3 4 5" xfId="39416"/>
    <cellStyle name="20% - Accent2 3 4 6" xfId="40957"/>
    <cellStyle name="20% - Accent2 3 4_AEO proration factors" xfId="36295"/>
    <cellStyle name="20% - Accent2 3 5" xfId="35693"/>
    <cellStyle name="20% - Accent2 3 5 2" xfId="36296"/>
    <cellStyle name="20% - Accent2 3 5 2 2" xfId="40336"/>
    <cellStyle name="20% - Accent2 3 5 2 3" xfId="41877"/>
    <cellStyle name="20% - Accent2 3 5 3" xfId="38322"/>
    <cellStyle name="20% - Accent2 3 5 4" xfId="39618"/>
    <cellStyle name="20% - Accent2 3 5 5" xfId="41159"/>
    <cellStyle name="20% - Accent2 3 5_consumption scenario A" xfId="37465"/>
    <cellStyle name="20% - Accent2 3 6" xfId="35833"/>
    <cellStyle name="20% - Accent2 3 6 2" xfId="39962"/>
    <cellStyle name="20% - Accent2 3 6 3" xfId="41503"/>
    <cellStyle name="20% - Accent2 3 7" xfId="37947"/>
    <cellStyle name="20% - Accent2 3 8" xfId="39244"/>
    <cellStyle name="20% - Accent2 3 9" xfId="40767"/>
    <cellStyle name="20% - Accent2 3_AEO proration factors" xfId="36297"/>
    <cellStyle name="20% - Accent2 4" xfId="5836"/>
    <cellStyle name="20% - Accent2 4 10" xfId="42269"/>
    <cellStyle name="20% - Accent2 4 2" xfId="5922"/>
    <cellStyle name="20% - Accent2 4 2 2" xfId="36002"/>
    <cellStyle name="20% - Accent2 4 2_consumption scenario A" xfId="37466"/>
    <cellStyle name="20% - Accent2 4 3" xfId="35707"/>
    <cellStyle name="20% - Accent2 4 3 2" xfId="36298"/>
    <cellStyle name="20% - Accent2 4 3 2 2" xfId="36299"/>
    <cellStyle name="20% - Accent2 4 3 2 2 2" xfId="40341"/>
    <cellStyle name="20% - Accent2 4 3 2 2 3" xfId="41882"/>
    <cellStyle name="20% - Accent2 4 3 2 3" xfId="38327"/>
    <cellStyle name="20% - Accent2 4 3 2 4" xfId="39623"/>
    <cellStyle name="20% - Accent2 4 3 2 5" xfId="41164"/>
    <cellStyle name="20% - Accent2 4 3 2_consumption scenario A" xfId="37689"/>
    <cellStyle name="20% - Accent2 4 3 3" xfId="36300"/>
    <cellStyle name="20% - Accent2 4 3 3 2" xfId="40136"/>
    <cellStyle name="20% - Accent2 4 3 3 3" xfId="41677"/>
    <cellStyle name="20% - Accent2 4 3 4" xfId="38121"/>
    <cellStyle name="20% - Accent2 4 3 5" xfId="39418"/>
    <cellStyle name="20% - Accent2 4 3 6" xfId="40959"/>
    <cellStyle name="20% - Accent2 4 3_AEO proration factors" xfId="36301"/>
    <cellStyle name="20% - Accent2 4 4" xfId="35863"/>
    <cellStyle name="20% - Accent2 4 4 2" xfId="36302"/>
    <cellStyle name="20% - Accent2 4 4 2 2" xfId="40340"/>
    <cellStyle name="20% - Accent2 4 4 2 3" xfId="41881"/>
    <cellStyle name="20% - Accent2 4 4 3" xfId="38326"/>
    <cellStyle name="20% - Accent2 4 4 4" xfId="39622"/>
    <cellStyle name="20% - Accent2 4 4 5" xfId="41163"/>
    <cellStyle name="20% - Accent2 4 4_consumption scenario A" xfId="37467"/>
    <cellStyle name="20% - Accent2 4 5" xfId="36303"/>
    <cellStyle name="20% - Accent2 4 5 2" xfId="39992"/>
    <cellStyle name="20% - Accent2 4 5 3" xfId="41533"/>
    <cellStyle name="20% - Accent2 4 6" xfId="37977"/>
    <cellStyle name="20% - Accent2 4 7" xfId="39274"/>
    <cellStyle name="20% - Accent2 4 8" xfId="40803"/>
    <cellStyle name="20% - Accent2 4 9" xfId="40797"/>
    <cellStyle name="20% - Accent2 4_AEO proration factors" xfId="36304"/>
    <cellStyle name="20% - Accent2 5" xfId="5936"/>
    <cellStyle name="20% - Accent2 5 10" xfId="42270"/>
    <cellStyle name="20% - Accent2 5 2" xfId="35721"/>
    <cellStyle name="20% - Accent2 5 2 2" xfId="36014"/>
    <cellStyle name="20% - Accent2 5 2_consumption scenario A" xfId="37468"/>
    <cellStyle name="20% - Accent2 5 3" xfId="35924"/>
    <cellStyle name="20% - Accent2 5 3 2" xfId="36305"/>
    <cellStyle name="20% - Accent2 5 3 2 2" xfId="36306"/>
    <cellStyle name="20% - Accent2 5 3 2 2 2" xfId="40343"/>
    <cellStyle name="20% - Accent2 5 3 2 2 3" xfId="41884"/>
    <cellStyle name="20% - Accent2 5 3 2 3" xfId="38329"/>
    <cellStyle name="20% - Accent2 5 3 2 4" xfId="39625"/>
    <cellStyle name="20% - Accent2 5 3 2 5" xfId="41166"/>
    <cellStyle name="20% - Accent2 5 3 2_consumption scenario A" xfId="37690"/>
    <cellStyle name="20% - Accent2 5 3 3" xfId="36307"/>
    <cellStyle name="20% - Accent2 5 3 3 2" xfId="40137"/>
    <cellStyle name="20% - Accent2 5 3 3 3" xfId="41678"/>
    <cellStyle name="20% - Accent2 5 3 4" xfId="38122"/>
    <cellStyle name="20% - Accent2 5 3 5" xfId="39419"/>
    <cellStyle name="20% - Accent2 5 3 6" xfId="40960"/>
    <cellStyle name="20% - Accent2 5 3_AEO proration factors" xfId="36308"/>
    <cellStyle name="20% - Accent2 5 4" xfId="36309"/>
    <cellStyle name="20% - Accent2 5 4 2" xfId="36310"/>
    <cellStyle name="20% - Accent2 5 4 2 2" xfId="40342"/>
    <cellStyle name="20% - Accent2 5 4 2 3" xfId="41883"/>
    <cellStyle name="20% - Accent2 5 4 3" xfId="38328"/>
    <cellStyle name="20% - Accent2 5 4 4" xfId="39624"/>
    <cellStyle name="20% - Accent2 5 4 5" xfId="41165"/>
    <cellStyle name="20% - Accent2 5 4_consumption scenario A" xfId="37691"/>
    <cellStyle name="20% - Accent2 5 5" xfId="36311"/>
    <cellStyle name="20% - Accent2 5 5 2" xfId="40054"/>
    <cellStyle name="20% - Accent2 5 5 3" xfId="41595"/>
    <cellStyle name="20% - Accent2 5 6" xfId="38039"/>
    <cellStyle name="20% - Accent2 5 7" xfId="39336"/>
    <cellStyle name="20% - Accent2 5 8" xfId="40869"/>
    <cellStyle name="20% - Accent2 5 9" xfId="40902"/>
    <cellStyle name="20% - Accent2 5_AEO proration factors" xfId="36312"/>
    <cellStyle name="20% - Accent2 6" xfId="5879"/>
    <cellStyle name="20% - Accent2 6 2" xfId="35735"/>
    <cellStyle name="20% - Accent2 6 3" xfId="36026"/>
    <cellStyle name="20% - Accent2 6_consumption scenario A" xfId="37469"/>
    <cellStyle name="20% - Accent2 7" xfId="35573"/>
    <cellStyle name="20% - Accent2 7 2" xfId="36038"/>
    <cellStyle name="20% - Accent2 7_consumption scenario A" xfId="37470"/>
    <cellStyle name="20% - Accent2 8" xfId="35603"/>
    <cellStyle name="20% - Accent2 8 2" xfId="36051"/>
    <cellStyle name="20% - Accent2 8_consumption scenario A" xfId="37471"/>
    <cellStyle name="20% - Accent2 9" xfId="35664"/>
    <cellStyle name="20% - Accent2 9 2" xfId="36064"/>
    <cellStyle name="20% - Accent2 9_consumption scenario A" xfId="37472"/>
    <cellStyle name="20% - Accent3" xfId="1" builtinId="38" hidden="1"/>
    <cellStyle name="20% - Accent3" xfId="68" builtinId="38" customBuiltin="1"/>
    <cellStyle name="20% - Accent3 10" xfId="36078"/>
    <cellStyle name="20% - Accent3 11" xfId="36090"/>
    <cellStyle name="20% - Accent3 12" xfId="35953"/>
    <cellStyle name="20% - Accent3 13" xfId="35942"/>
    <cellStyle name="20% - Accent3 13 2" xfId="36313"/>
    <cellStyle name="20% - Accent3 13 2 2" xfId="36314"/>
    <cellStyle name="20% - Accent3 13 2 2 2" xfId="36315"/>
    <cellStyle name="20% - Accent3 13 2 2 2 2" xfId="40345"/>
    <cellStyle name="20% - Accent3 13 2 2 2 3" xfId="41886"/>
    <cellStyle name="20% - Accent3 13 2 2 3" xfId="38331"/>
    <cellStyle name="20% - Accent3 13 2 2 4" xfId="39627"/>
    <cellStyle name="20% - Accent3 13 2 2 5" xfId="41168"/>
    <cellStyle name="20% - Accent3 13 2 2_consumption scenario A" xfId="37692"/>
    <cellStyle name="20% - Accent3 13 2 3" xfId="36316"/>
    <cellStyle name="20% - Accent3 13 2 3 2" xfId="40138"/>
    <cellStyle name="20% - Accent3 13 2 3 3" xfId="41679"/>
    <cellStyle name="20% - Accent3 13 2 4" xfId="38123"/>
    <cellStyle name="20% - Accent3 13 2 5" xfId="39420"/>
    <cellStyle name="20% - Accent3 13 2 6" xfId="40961"/>
    <cellStyle name="20% - Accent3 13 2_AEO proration factors" xfId="36317"/>
    <cellStyle name="20% - Accent3 13 3" xfId="36318"/>
    <cellStyle name="20% - Accent3 13 3 2" xfId="36319"/>
    <cellStyle name="20% - Accent3 13 3 2 2" xfId="40344"/>
    <cellStyle name="20% - Accent3 13 3 2 3" xfId="41885"/>
    <cellStyle name="20% - Accent3 13 3 3" xfId="38330"/>
    <cellStyle name="20% - Accent3 13 3 4" xfId="39626"/>
    <cellStyle name="20% - Accent3 13 3 5" xfId="41167"/>
    <cellStyle name="20% - Accent3 13 3_consumption scenario A" xfId="37693"/>
    <cellStyle name="20% - Accent3 13 4" xfId="36320"/>
    <cellStyle name="20% - Accent3 13 4 2" xfId="40072"/>
    <cellStyle name="20% - Accent3 13 4 3" xfId="41613"/>
    <cellStyle name="20% - Accent3 13 5" xfId="38057"/>
    <cellStyle name="20% - Accent3 13 6" xfId="39354"/>
    <cellStyle name="20% - Accent3 13 7" xfId="40890"/>
    <cellStyle name="20% - Accent3 13_AEO proration factors" xfId="36321"/>
    <cellStyle name="20% - Accent3 14" xfId="36107"/>
    <cellStyle name="20% - Accent3 14 2" xfId="36322"/>
    <cellStyle name="20% - Accent3 14 2 2" xfId="36323"/>
    <cellStyle name="20% - Accent3 14 2 2 2" xfId="36324"/>
    <cellStyle name="20% - Accent3 14 2 2 2 2" xfId="40347"/>
    <cellStyle name="20% - Accent3 14 2 2 2 3" xfId="41888"/>
    <cellStyle name="20% - Accent3 14 2 2 3" xfId="38333"/>
    <cellStyle name="20% - Accent3 14 2 2 4" xfId="39629"/>
    <cellStyle name="20% - Accent3 14 2 2 5" xfId="41170"/>
    <cellStyle name="20% - Accent3 14 2 2_consumption scenario A" xfId="37694"/>
    <cellStyle name="20% - Accent3 14 2 3" xfId="36325"/>
    <cellStyle name="20% - Accent3 14 2 3 2" xfId="40139"/>
    <cellStyle name="20% - Accent3 14 2 3 3" xfId="41680"/>
    <cellStyle name="20% - Accent3 14 2 4" xfId="38124"/>
    <cellStyle name="20% - Accent3 14 2 5" xfId="39421"/>
    <cellStyle name="20% - Accent3 14 2 6" xfId="40962"/>
    <cellStyle name="20% - Accent3 14 2_AEO proration factors" xfId="36326"/>
    <cellStyle name="20% - Accent3 14 3" xfId="36327"/>
    <cellStyle name="20% - Accent3 14 3 2" xfId="36328"/>
    <cellStyle name="20% - Accent3 14 3 2 2" xfId="40346"/>
    <cellStyle name="20% - Accent3 14 3 2 3" xfId="41887"/>
    <cellStyle name="20% - Accent3 14 3 3" xfId="38332"/>
    <cellStyle name="20% - Accent3 14 3 4" xfId="39628"/>
    <cellStyle name="20% - Accent3 14 3 5" xfId="41169"/>
    <cellStyle name="20% - Accent3 14 3_consumption scenario A" xfId="37695"/>
    <cellStyle name="20% - Accent3 14 4" xfId="36329"/>
    <cellStyle name="20% - Accent3 14 4 2" xfId="40089"/>
    <cellStyle name="20% - Accent3 14 4 3" xfId="41630"/>
    <cellStyle name="20% - Accent3 14 5" xfId="38074"/>
    <cellStyle name="20% - Accent3 14 6" xfId="39371"/>
    <cellStyle name="20% - Accent3 14 7" xfId="40912"/>
    <cellStyle name="20% - Accent3 14_AEO proration factors" xfId="36330"/>
    <cellStyle name="20% - Accent3 15" xfId="35804"/>
    <cellStyle name="20% - Accent3 15 2" xfId="36331"/>
    <cellStyle name="20% - Accent3 15 2 2" xfId="36332"/>
    <cellStyle name="20% - Accent3 15 2 2 2" xfId="36333"/>
    <cellStyle name="20% - Accent3 15 2 2 2 2" xfId="40349"/>
    <cellStyle name="20% - Accent3 15 2 2 2 3" xfId="41890"/>
    <cellStyle name="20% - Accent3 15 2 2 3" xfId="38335"/>
    <cellStyle name="20% - Accent3 15 2 2 4" xfId="39631"/>
    <cellStyle name="20% - Accent3 15 2 2 5" xfId="41172"/>
    <cellStyle name="20% - Accent3 15 2 2_consumption scenario A" xfId="37696"/>
    <cellStyle name="20% - Accent3 15 2 3" xfId="36334"/>
    <cellStyle name="20% - Accent3 15 2 3 2" xfId="40140"/>
    <cellStyle name="20% - Accent3 15 2 3 3" xfId="41681"/>
    <cellStyle name="20% - Accent3 15 2 4" xfId="38125"/>
    <cellStyle name="20% - Accent3 15 2 5" xfId="39422"/>
    <cellStyle name="20% - Accent3 15 2 6" xfId="40963"/>
    <cellStyle name="20% - Accent3 15 2_AEO proration factors" xfId="36335"/>
    <cellStyle name="20% - Accent3 15 3" xfId="36336"/>
    <cellStyle name="20% - Accent3 15 3 2" xfId="36337"/>
    <cellStyle name="20% - Accent3 15 3 2 2" xfId="40348"/>
    <cellStyle name="20% - Accent3 15 3 2 3" xfId="41889"/>
    <cellStyle name="20% - Accent3 15 3 3" xfId="38334"/>
    <cellStyle name="20% - Accent3 15 3 4" xfId="39630"/>
    <cellStyle name="20% - Accent3 15 3 5" xfId="41171"/>
    <cellStyle name="20% - Accent3 15 3_consumption scenario A" xfId="37697"/>
    <cellStyle name="20% - Accent3 15 4" xfId="36338"/>
    <cellStyle name="20% - Accent3 15 4 2" xfId="40102"/>
    <cellStyle name="20% - Accent3 15 4 3" xfId="41643"/>
    <cellStyle name="20% - Accent3 15 5" xfId="38087"/>
    <cellStyle name="20% - Accent3 15 6" xfId="39384"/>
    <cellStyle name="20% - Accent3 15 7" xfId="40925"/>
    <cellStyle name="20% - Accent3 15_AEO proration factors" xfId="36339"/>
    <cellStyle name="20% - Accent3 16" xfId="36123"/>
    <cellStyle name="20% - Accent3 16 2" xfId="36340"/>
    <cellStyle name="20% - Accent3 16 2 2" xfId="40292"/>
    <cellStyle name="20% - Accent3 16 2 3" xfId="41833"/>
    <cellStyle name="20% - Accent3 16 3" xfId="38277"/>
    <cellStyle name="20% - Accent3 16 4" xfId="39574"/>
    <cellStyle name="20% - Accent3 16 5" xfId="41115"/>
    <cellStyle name="20% - Accent3 16_consumption scenario A" xfId="37473"/>
    <cellStyle name="20% - Accent3 17" xfId="36341"/>
    <cellStyle name="20% - Accent3 17 2" xfId="38637"/>
    <cellStyle name="20% - Accent3 17 3" xfId="40651"/>
    <cellStyle name="20% - Accent3 17 4" xfId="42192"/>
    <cellStyle name="20% - Accent3 17_consumption scenario A" xfId="37698"/>
    <cellStyle name="20% - Accent3 18" xfId="36342"/>
    <cellStyle name="20% - Accent3 18 2" xfId="38655"/>
    <cellStyle name="20% - Accent3 18 3" xfId="40669"/>
    <cellStyle name="20% - Accent3 18 4" xfId="42210"/>
    <cellStyle name="20% - Accent3 18_consumption scenario A" xfId="37699"/>
    <cellStyle name="20% - Accent3 19" xfId="36343"/>
    <cellStyle name="20% - Accent3 19 2" xfId="38667"/>
    <cellStyle name="20% - Accent3 19 3" xfId="40681"/>
    <cellStyle name="20% - Accent3 19 4" xfId="42223"/>
    <cellStyle name="20% - Accent3 19_consumption scenario A" xfId="37700"/>
    <cellStyle name="20% - Accent3 2" xfId="5823"/>
    <cellStyle name="20% - Accent3 2 10" xfId="40752"/>
    <cellStyle name="20% - Accent3 2 2" xfId="5852"/>
    <cellStyle name="20% - Accent3 2 2 2" xfId="35650"/>
    <cellStyle name="20% - Accent3 2 2 2 2" xfId="35911"/>
    <cellStyle name="20% - Accent3 2 2 2 2 2" xfId="36344"/>
    <cellStyle name="20% - Accent3 2 2 2 2 2 2" xfId="36345"/>
    <cellStyle name="20% - Accent3 2 2 2 2 2 2 2" xfId="40353"/>
    <cellStyle name="20% - Accent3 2 2 2 2 2 2 3" xfId="41894"/>
    <cellStyle name="20% - Accent3 2 2 2 2 2 3" xfId="38339"/>
    <cellStyle name="20% - Accent3 2 2 2 2 2 4" xfId="39635"/>
    <cellStyle name="20% - Accent3 2 2 2 2 2 5" xfId="41176"/>
    <cellStyle name="20% - Accent3 2 2 2 2 2_consumption scenario A" xfId="37701"/>
    <cellStyle name="20% - Accent3 2 2 2 2 3" xfId="36346"/>
    <cellStyle name="20% - Accent3 2 2 2 2 3 2" xfId="40143"/>
    <cellStyle name="20% - Accent3 2 2 2 2 3 3" xfId="41684"/>
    <cellStyle name="20% - Accent3 2 2 2 2 4" xfId="38128"/>
    <cellStyle name="20% - Accent3 2 2 2 2 5" xfId="39425"/>
    <cellStyle name="20% - Accent3 2 2 2 2 6" xfId="40966"/>
    <cellStyle name="20% - Accent3 2 2 2 2_AEO proration factors" xfId="36347"/>
    <cellStyle name="20% - Accent3 2 2 2 3" xfId="36348"/>
    <cellStyle name="20% - Accent3 2 2 2 3 2" xfId="36349"/>
    <cellStyle name="20% - Accent3 2 2 2 3 2 2" xfId="40352"/>
    <cellStyle name="20% - Accent3 2 2 2 3 2 3" xfId="41893"/>
    <cellStyle name="20% - Accent3 2 2 2 3 3" xfId="38338"/>
    <cellStyle name="20% - Accent3 2 2 2 3 4" xfId="39634"/>
    <cellStyle name="20% - Accent3 2 2 2 3 5" xfId="41175"/>
    <cellStyle name="20% - Accent3 2 2 2 3_consumption scenario A" xfId="37702"/>
    <cellStyle name="20% - Accent3 2 2 2 4" xfId="36350"/>
    <cellStyle name="20% - Accent3 2 2 2 4 2" xfId="40040"/>
    <cellStyle name="20% - Accent3 2 2 2 4 3" xfId="41581"/>
    <cellStyle name="20% - Accent3 2 2 2 5" xfId="38025"/>
    <cellStyle name="20% - Accent3 2 2 2 6" xfId="39322"/>
    <cellStyle name="20% - Accent3 2 2 2 7" xfId="40851"/>
    <cellStyle name="20% - Accent3 2 2 2_AEO proration factors" xfId="36351"/>
    <cellStyle name="20% - Accent3 2 2 3" xfId="35783"/>
    <cellStyle name="20% - Accent3 2 2 3 2" xfId="36352"/>
    <cellStyle name="20% - Accent3 2 2 3 2 2" xfId="36353"/>
    <cellStyle name="20% - Accent3 2 2 3 2 2 2" xfId="40354"/>
    <cellStyle name="20% - Accent3 2 2 3 2 2 3" xfId="41895"/>
    <cellStyle name="20% - Accent3 2 2 3 2 3" xfId="38340"/>
    <cellStyle name="20% - Accent3 2 2 3 2 4" xfId="39636"/>
    <cellStyle name="20% - Accent3 2 2 3 2 5" xfId="41177"/>
    <cellStyle name="20% - Accent3 2 2 3 2_consumption scenario A" xfId="37703"/>
    <cellStyle name="20% - Accent3 2 2 3 3" xfId="36354"/>
    <cellStyle name="20% - Accent3 2 2 3 3 2" xfId="40142"/>
    <cellStyle name="20% - Accent3 2 2 3 3 3" xfId="41683"/>
    <cellStyle name="20% - Accent3 2 2 3 4" xfId="38127"/>
    <cellStyle name="20% - Accent3 2 2 3 5" xfId="39424"/>
    <cellStyle name="20% - Accent3 2 2 3 6" xfId="40965"/>
    <cellStyle name="20% - Accent3 2 2 3_AEO proration factors" xfId="36355"/>
    <cellStyle name="20% - Accent3 2 2 4" xfId="35850"/>
    <cellStyle name="20% - Accent3 2 2 4 2" xfId="36356"/>
    <cellStyle name="20% - Accent3 2 2 4 2 2" xfId="40351"/>
    <cellStyle name="20% - Accent3 2 2 4 2 3" xfId="41892"/>
    <cellStyle name="20% - Accent3 2 2 4 3" xfId="38337"/>
    <cellStyle name="20% - Accent3 2 2 4 4" xfId="39633"/>
    <cellStyle name="20% - Accent3 2 2 4 5" xfId="41174"/>
    <cellStyle name="20% - Accent3 2 2 4_consumption scenario A" xfId="37474"/>
    <cellStyle name="20% - Accent3 2 2 5" xfId="36357"/>
    <cellStyle name="20% - Accent3 2 2 5 2" xfId="39979"/>
    <cellStyle name="20% - Accent3 2 2 5 3" xfId="41520"/>
    <cellStyle name="20% - Accent3 2 2 6" xfId="37964"/>
    <cellStyle name="20% - Accent3 2 2 7" xfId="39261"/>
    <cellStyle name="20% - Accent3 2 2 8" xfId="40787"/>
    <cellStyle name="20% - Accent3 2 2_AEO proration factors" xfId="36358"/>
    <cellStyle name="20% - Accent3 2 3" xfId="5895"/>
    <cellStyle name="20% - Accent3 2 3 2" xfId="35752"/>
    <cellStyle name="20% - Accent3 2 3 2 2" xfId="36359"/>
    <cellStyle name="20% - Accent3 2 3 2 2 2" xfId="36360"/>
    <cellStyle name="20% - Accent3 2 3 2 2 2 2" xfId="40356"/>
    <cellStyle name="20% - Accent3 2 3 2 2 2 3" xfId="41897"/>
    <cellStyle name="20% - Accent3 2 3 2 2 3" xfId="38342"/>
    <cellStyle name="20% - Accent3 2 3 2 2 4" xfId="39638"/>
    <cellStyle name="20% - Accent3 2 3 2 2 5" xfId="41179"/>
    <cellStyle name="20% - Accent3 2 3 2 2_consumption scenario A" xfId="37704"/>
    <cellStyle name="20% - Accent3 2 3 2 3" xfId="36361"/>
    <cellStyle name="20% - Accent3 2 3 2 3 2" xfId="40144"/>
    <cellStyle name="20% - Accent3 2 3 2 3 3" xfId="41685"/>
    <cellStyle name="20% - Accent3 2 3 2 4" xfId="38129"/>
    <cellStyle name="20% - Accent3 2 3 2 5" xfId="39426"/>
    <cellStyle name="20% - Accent3 2 3 2 6" xfId="40967"/>
    <cellStyle name="20% - Accent3 2 3 2_AEO proration factors" xfId="36362"/>
    <cellStyle name="20% - Accent3 2 3 3" xfId="35880"/>
    <cellStyle name="20% - Accent3 2 3 3 2" xfId="36363"/>
    <cellStyle name="20% - Accent3 2 3 3 2 2" xfId="40355"/>
    <cellStyle name="20% - Accent3 2 3 3 2 3" xfId="41896"/>
    <cellStyle name="20% - Accent3 2 3 3 3" xfId="38341"/>
    <cellStyle name="20% - Accent3 2 3 3 4" xfId="39637"/>
    <cellStyle name="20% - Accent3 2 3 3 5" xfId="41178"/>
    <cellStyle name="20% - Accent3 2 3 3_consumption scenario A" xfId="37475"/>
    <cellStyle name="20% - Accent3 2 3 4" xfId="36364"/>
    <cellStyle name="20% - Accent3 2 3 4 2" xfId="40009"/>
    <cellStyle name="20% - Accent3 2 3 4 3" xfId="41550"/>
    <cellStyle name="20% - Accent3 2 3 5" xfId="37994"/>
    <cellStyle name="20% - Accent3 2 3 6" xfId="39291"/>
    <cellStyle name="20% - Accent3 2 3 7" xfId="40820"/>
    <cellStyle name="20% - Accent3 2 3_AEO proration factors" xfId="36365"/>
    <cellStyle name="20% - Accent3 2 4" xfId="35589"/>
    <cellStyle name="20% - Accent3 2 4 2" xfId="35980"/>
    <cellStyle name="20% - Accent3 2 4_consumption scenario A" xfId="37476"/>
    <cellStyle name="20% - Accent3 2 5" xfId="35619"/>
    <cellStyle name="20% - Accent3 2 5 2" xfId="36366"/>
    <cellStyle name="20% - Accent3 2 5 2 2" xfId="36367"/>
    <cellStyle name="20% - Accent3 2 5 2 2 2" xfId="40357"/>
    <cellStyle name="20% - Accent3 2 5 2 2 3" xfId="41898"/>
    <cellStyle name="20% - Accent3 2 5 2 3" xfId="38343"/>
    <cellStyle name="20% - Accent3 2 5 2 4" xfId="39639"/>
    <cellStyle name="20% - Accent3 2 5 2 5" xfId="41180"/>
    <cellStyle name="20% - Accent3 2 5 2_consumption scenario A" xfId="37705"/>
    <cellStyle name="20% - Accent3 2 5 3" xfId="36368"/>
    <cellStyle name="20% - Accent3 2 5 3 2" xfId="40141"/>
    <cellStyle name="20% - Accent3 2 5 3 3" xfId="41682"/>
    <cellStyle name="20% - Accent3 2 5 4" xfId="38126"/>
    <cellStyle name="20% - Accent3 2 5 5" xfId="39423"/>
    <cellStyle name="20% - Accent3 2 5 6" xfId="40964"/>
    <cellStyle name="20% - Accent3 2 5_AEO proration factors" xfId="36369"/>
    <cellStyle name="20% - Accent3 2 6" xfId="35680"/>
    <cellStyle name="20% - Accent3 2 6 2" xfId="36370"/>
    <cellStyle name="20% - Accent3 2 6 2 2" xfId="40350"/>
    <cellStyle name="20% - Accent3 2 6 2 3" xfId="41891"/>
    <cellStyle name="20% - Accent3 2 6 3" xfId="38336"/>
    <cellStyle name="20% - Accent3 2 6 4" xfId="39632"/>
    <cellStyle name="20% - Accent3 2 6 5" xfId="41173"/>
    <cellStyle name="20% - Accent3 2 6_consumption scenario A" xfId="37477"/>
    <cellStyle name="20% - Accent3 2 7" xfId="35819"/>
    <cellStyle name="20% - Accent3 2 7 2" xfId="39948"/>
    <cellStyle name="20% - Accent3 2 7 3" xfId="41489"/>
    <cellStyle name="20% - Accent3 2 8" xfId="37933"/>
    <cellStyle name="20% - Accent3 2 9" xfId="39230"/>
    <cellStyle name="20% - Accent3 2_AEO proration factors" xfId="36371"/>
    <cellStyle name="20% - Accent3 20" xfId="36372"/>
    <cellStyle name="20% - Accent3 20 2" xfId="38679"/>
    <cellStyle name="20% - Accent3 20 3" xfId="40693"/>
    <cellStyle name="20% - Accent3 20 4" xfId="42235"/>
    <cellStyle name="20% - Accent3 20_consumption scenario A" xfId="37706"/>
    <cellStyle name="20% - Accent3 21" xfId="36373"/>
    <cellStyle name="20% - Accent3 21 2" xfId="38692"/>
    <cellStyle name="20% - Accent3 21 3" xfId="40706"/>
    <cellStyle name="20% - Accent3 21 4" xfId="42249"/>
    <cellStyle name="20% - Accent3 21_consumption scenario A" xfId="37707"/>
    <cellStyle name="20% - Accent3 22" xfId="36374"/>
    <cellStyle name="20% - Accent3 22 2" xfId="38703"/>
    <cellStyle name="20% - Accent3 22 3" xfId="40717"/>
    <cellStyle name="20% - Accent3 22 4" xfId="42260"/>
    <cellStyle name="20% - Accent3 22_consumption scenario A" xfId="37708"/>
    <cellStyle name="20% - Accent3 23" xfId="36375"/>
    <cellStyle name="20% - Accent3 23 2" xfId="39933"/>
    <cellStyle name="20% - Accent3 23 3" xfId="41474"/>
    <cellStyle name="20% - Accent3 24" xfId="37918"/>
    <cellStyle name="20% - Accent3 25" xfId="5791"/>
    <cellStyle name="20% - Accent3 26" xfId="38713"/>
    <cellStyle name="20% - Accent3 27" xfId="5294"/>
    <cellStyle name="20% - Accent3 28" xfId="39215"/>
    <cellStyle name="20% - Accent3 29" xfId="40735"/>
    <cellStyle name="20% - Accent3 3" xfId="5809"/>
    <cellStyle name="20% - Accent3 3 2" xfId="5867"/>
    <cellStyle name="20% - Accent3 3 2 2" xfId="35768"/>
    <cellStyle name="20% - Accent3 3 2 2 2" xfId="36376"/>
    <cellStyle name="20% - Accent3 3 2 2 2 2" xfId="36377"/>
    <cellStyle name="20% - Accent3 3 2 2 2 2 2" xfId="40360"/>
    <cellStyle name="20% - Accent3 3 2 2 2 2 3" xfId="41901"/>
    <cellStyle name="20% - Accent3 3 2 2 2 3" xfId="38346"/>
    <cellStyle name="20% - Accent3 3 2 2 2 4" xfId="39642"/>
    <cellStyle name="20% - Accent3 3 2 2 2 5" xfId="41183"/>
    <cellStyle name="20% - Accent3 3 2 2 2_consumption scenario A" xfId="37709"/>
    <cellStyle name="20% - Accent3 3 2 2 3" xfId="36378"/>
    <cellStyle name="20% - Accent3 3 2 2 3 2" xfId="40146"/>
    <cellStyle name="20% - Accent3 3 2 2 3 3" xfId="41687"/>
    <cellStyle name="20% - Accent3 3 2 2 4" xfId="38131"/>
    <cellStyle name="20% - Accent3 3 2 2 5" xfId="39428"/>
    <cellStyle name="20% - Accent3 3 2 2 6" xfId="40969"/>
    <cellStyle name="20% - Accent3 3 2 2_AEO proration factors" xfId="36379"/>
    <cellStyle name="20% - Accent3 3 2 3" xfId="35896"/>
    <cellStyle name="20% - Accent3 3 2 3 2" xfId="36380"/>
    <cellStyle name="20% - Accent3 3 2 3 2 2" xfId="40359"/>
    <cellStyle name="20% - Accent3 3 2 3 2 3" xfId="41900"/>
    <cellStyle name="20% - Accent3 3 2 3 3" xfId="38345"/>
    <cellStyle name="20% - Accent3 3 2 3 4" xfId="39641"/>
    <cellStyle name="20% - Accent3 3 2 3 5" xfId="41182"/>
    <cellStyle name="20% - Accent3 3 2 3_consumption scenario A" xfId="37478"/>
    <cellStyle name="20% - Accent3 3 2 4" xfId="36381"/>
    <cellStyle name="20% - Accent3 3 2 4 2" xfId="40025"/>
    <cellStyle name="20% - Accent3 3 2 4 3" xfId="41566"/>
    <cellStyle name="20% - Accent3 3 2 5" xfId="38010"/>
    <cellStyle name="20% - Accent3 3 2 6" xfId="39307"/>
    <cellStyle name="20% - Accent3 3 2 7" xfId="40836"/>
    <cellStyle name="20% - Accent3 3 2_AEO proration factors" xfId="36382"/>
    <cellStyle name="20% - Accent3 3 3" xfId="5910"/>
    <cellStyle name="20% - Accent3 3 3 2" xfId="35992"/>
    <cellStyle name="20% - Accent3 3 3_consumption scenario A" xfId="37479"/>
    <cellStyle name="20% - Accent3 3 4" xfId="35635"/>
    <cellStyle name="20% - Accent3 3 4 2" xfId="36383"/>
    <cellStyle name="20% - Accent3 3 4 2 2" xfId="36384"/>
    <cellStyle name="20% - Accent3 3 4 2 2 2" xfId="40361"/>
    <cellStyle name="20% - Accent3 3 4 2 2 3" xfId="41902"/>
    <cellStyle name="20% - Accent3 3 4 2 3" xfId="38347"/>
    <cellStyle name="20% - Accent3 3 4 2 4" xfId="39643"/>
    <cellStyle name="20% - Accent3 3 4 2 5" xfId="41184"/>
    <cellStyle name="20% - Accent3 3 4 2_consumption scenario A" xfId="37710"/>
    <cellStyle name="20% - Accent3 3 4 3" xfId="36385"/>
    <cellStyle name="20% - Accent3 3 4 3 2" xfId="40145"/>
    <cellStyle name="20% - Accent3 3 4 3 3" xfId="41686"/>
    <cellStyle name="20% - Accent3 3 4 4" xfId="38130"/>
    <cellStyle name="20% - Accent3 3 4 5" xfId="39427"/>
    <cellStyle name="20% - Accent3 3 4 6" xfId="40968"/>
    <cellStyle name="20% - Accent3 3 4_AEO proration factors" xfId="36386"/>
    <cellStyle name="20% - Accent3 3 5" xfId="35695"/>
    <cellStyle name="20% - Accent3 3 5 2" xfId="36387"/>
    <cellStyle name="20% - Accent3 3 5 2 2" xfId="40358"/>
    <cellStyle name="20% - Accent3 3 5 2 3" xfId="41899"/>
    <cellStyle name="20% - Accent3 3 5 3" xfId="38344"/>
    <cellStyle name="20% - Accent3 3 5 4" xfId="39640"/>
    <cellStyle name="20% - Accent3 3 5 5" xfId="41181"/>
    <cellStyle name="20% - Accent3 3 5_consumption scenario A" xfId="37480"/>
    <cellStyle name="20% - Accent3 3 6" xfId="35835"/>
    <cellStyle name="20% - Accent3 3 6 2" xfId="39964"/>
    <cellStyle name="20% - Accent3 3 6 3" xfId="41505"/>
    <cellStyle name="20% - Accent3 3 7" xfId="37949"/>
    <cellStyle name="20% - Accent3 3 8" xfId="39246"/>
    <cellStyle name="20% - Accent3 3 9" xfId="40769"/>
    <cellStyle name="20% - Accent3 3_AEO proration factors" xfId="36388"/>
    <cellStyle name="20% - Accent3 4" xfId="5838"/>
    <cellStyle name="20% - Accent3 4 10" xfId="42289"/>
    <cellStyle name="20% - Accent3 4 2" xfId="5924"/>
    <cellStyle name="20% - Accent3 4 2 2" xfId="36004"/>
    <cellStyle name="20% - Accent3 4 2_consumption scenario A" xfId="37481"/>
    <cellStyle name="20% - Accent3 4 3" xfId="35709"/>
    <cellStyle name="20% - Accent3 4 3 2" xfId="36389"/>
    <cellStyle name="20% - Accent3 4 3 2 2" xfId="36390"/>
    <cellStyle name="20% - Accent3 4 3 2 2 2" xfId="40363"/>
    <cellStyle name="20% - Accent3 4 3 2 2 3" xfId="41904"/>
    <cellStyle name="20% - Accent3 4 3 2 3" xfId="38349"/>
    <cellStyle name="20% - Accent3 4 3 2 4" xfId="39645"/>
    <cellStyle name="20% - Accent3 4 3 2 5" xfId="41186"/>
    <cellStyle name="20% - Accent3 4 3 2_consumption scenario A" xfId="37711"/>
    <cellStyle name="20% - Accent3 4 3 3" xfId="36391"/>
    <cellStyle name="20% - Accent3 4 3 3 2" xfId="40147"/>
    <cellStyle name="20% - Accent3 4 3 3 3" xfId="41688"/>
    <cellStyle name="20% - Accent3 4 3 4" xfId="38132"/>
    <cellStyle name="20% - Accent3 4 3 5" xfId="39429"/>
    <cellStyle name="20% - Accent3 4 3 6" xfId="40970"/>
    <cellStyle name="20% - Accent3 4 3_AEO proration factors" xfId="36392"/>
    <cellStyle name="20% - Accent3 4 4" xfId="35865"/>
    <cellStyle name="20% - Accent3 4 4 2" xfId="36393"/>
    <cellStyle name="20% - Accent3 4 4 2 2" xfId="40362"/>
    <cellStyle name="20% - Accent3 4 4 2 3" xfId="41903"/>
    <cellStyle name="20% - Accent3 4 4 3" xfId="38348"/>
    <cellStyle name="20% - Accent3 4 4 4" xfId="39644"/>
    <cellStyle name="20% - Accent3 4 4 5" xfId="41185"/>
    <cellStyle name="20% - Accent3 4 4_consumption scenario A" xfId="37482"/>
    <cellStyle name="20% - Accent3 4 5" xfId="36394"/>
    <cellStyle name="20% - Accent3 4 5 2" xfId="39994"/>
    <cellStyle name="20% - Accent3 4 5 3" xfId="41535"/>
    <cellStyle name="20% - Accent3 4 6" xfId="37979"/>
    <cellStyle name="20% - Accent3 4 7" xfId="39276"/>
    <cellStyle name="20% - Accent3 4 8" xfId="40805"/>
    <cellStyle name="20% - Accent3 4 9" xfId="40780"/>
    <cellStyle name="20% - Accent3 4_AEO proration factors" xfId="36395"/>
    <cellStyle name="20% - Accent3 5" xfId="5938"/>
    <cellStyle name="20% - Accent3 5 10" xfId="42281"/>
    <cellStyle name="20% - Accent3 5 2" xfId="35723"/>
    <cellStyle name="20% - Accent3 5 2 2" xfId="36016"/>
    <cellStyle name="20% - Accent3 5 2_consumption scenario A" xfId="37483"/>
    <cellStyle name="20% - Accent3 5 3" xfId="35926"/>
    <cellStyle name="20% - Accent3 5 3 2" xfId="36396"/>
    <cellStyle name="20% - Accent3 5 3 2 2" xfId="36397"/>
    <cellStyle name="20% - Accent3 5 3 2 2 2" xfId="40365"/>
    <cellStyle name="20% - Accent3 5 3 2 2 3" xfId="41906"/>
    <cellStyle name="20% - Accent3 5 3 2 3" xfId="38351"/>
    <cellStyle name="20% - Accent3 5 3 2 4" xfId="39647"/>
    <cellStyle name="20% - Accent3 5 3 2 5" xfId="41188"/>
    <cellStyle name="20% - Accent3 5 3 2_consumption scenario A" xfId="37712"/>
    <cellStyle name="20% - Accent3 5 3 3" xfId="36398"/>
    <cellStyle name="20% - Accent3 5 3 3 2" xfId="40148"/>
    <cellStyle name="20% - Accent3 5 3 3 3" xfId="41689"/>
    <cellStyle name="20% - Accent3 5 3 4" xfId="38133"/>
    <cellStyle name="20% - Accent3 5 3 5" xfId="39430"/>
    <cellStyle name="20% - Accent3 5 3 6" xfId="40971"/>
    <cellStyle name="20% - Accent3 5 3_AEO proration factors" xfId="36399"/>
    <cellStyle name="20% - Accent3 5 4" xfId="36400"/>
    <cellStyle name="20% - Accent3 5 4 2" xfId="36401"/>
    <cellStyle name="20% - Accent3 5 4 2 2" xfId="40364"/>
    <cellStyle name="20% - Accent3 5 4 2 3" xfId="41905"/>
    <cellStyle name="20% - Accent3 5 4 3" xfId="38350"/>
    <cellStyle name="20% - Accent3 5 4 4" xfId="39646"/>
    <cellStyle name="20% - Accent3 5 4 5" xfId="41187"/>
    <cellStyle name="20% - Accent3 5 4_consumption scenario A" xfId="37713"/>
    <cellStyle name="20% - Accent3 5 5" xfId="36402"/>
    <cellStyle name="20% - Accent3 5 5 2" xfId="40056"/>
    <cellStyle name="20% - Accent3 5 5 3" xfId="41597"/>
    <cellStyle name="20% - Accent3 5 6" xfId="38041"/>
    <cellStyle name="20% - Accent3 5 7" xfId="39338"/>
    <cellStyle name="20% - Accent3 5 8" xfId="40871"/>
    <cellStyle name="20% - Accent3 5 9" xfId="40743"/>
    <cellStyle name="20% - Accent3 5_AEO proration factors" xfId="36403"/>
    <cellStyle name="20% - Accent3 6" xfId="5881"/>
    <cellStyle name="20% - Accent3 6 2" xfId="35737"/>
    <cellStyle name="20% - Accent3 6 3" xfId="36028"/>
    <cellStyle name="20% - Accent3 6_consumption scenario A" xfId="37484"/>
    <cellStyle name="20% - Accent3 7" xfId="35575"/>
    <cellStyle name="20% - Accent3 7 2" xfId="36040"/>
    <cellStyle name="20% - Accent3 7_consumption scenario A" xfId="37485"/>
    <cellStyle name="20% - Accent3 8" xfId="35605"/>
    <cellStyle name="20% - Accent3 8 2" xfId="36053"/>
    <cellStyle name="20% - Accent3 8_consumption scenario A" xfId="37486"/>
    <cellStyle name="20% - Accent3 9" xfId="35666"/>
    <cellStyle name="20% - Accent3 9 2" xfId="36066"/>
    <cellStyle name="20% - Accent3 9_consumption scenario A" xfId="37487"/>
    <cellStyle name="20% - Accent4" xfId="39" builtinId="42" hidden="1" customBuiltin="1"/>
    <cellStyle name="20% - Accent4" xfId="69" builtinId="42" customBuiltin="1"/>
    <cellStyle name="20% - Accent4 10" xfId="36080"/>
    <cellStyle name="20% - Accent4 11" xfId="36092"/>
    <cellStyle name="20% - Accent4 12" xfId="35954"/>
    <cellStyle name="20% - Accent4 13" xfId="35944"/>
    <cellStyle name="20% - Accent4 13 2" xfId="36404"/>
    <cellStyle name="20% - Accent4 13 2 2" xfId="36405"/>
    <cellStyle name="20% - Accent4 13 2 2 2" xfId="36406"/>
    <cellStyle name="20% - Accent4 13 2 2 2 2" xfId="40367"/>
    <cellStyle name="20% - Accent4 13 2 2 2 3" xfId="41908"/>
    <cellStyle name="20% - Accent4 13 2 2 3" xfId="38353"/>
    <cellStyle name="20% - Accent4 13 2 2 4" xfId="39649"/>
    <cellStyle name="20% - Accent4 13 2 2 5" xfId="41190"/>
    <cellStyle name="20% - Accent4 13 2 2_consumption scenario A" xfId="37714"/>
    <cellStyle name="20% - Accent4 13 2 3" xfId="36407"/>
    <cellStyle name="20% - Accent4 13 2 3 2" xfId="40149"/>
    <cellStyle name="20% - Accent4 13 2 3 3" xfId="41690"/>
    <cellStyle name="20% - Accent4 13 2 4" xfId="38134"/>
    <cellStyle name="20% - Accent4 13 2 5" xfId="39431"/>
    <cellStyle name="20% - Accent4 13 2 6" xfId="40972"/>
    <cellStyle name="20% - Accent4 13 2_AEO proration factors" xfId="36408"/>
    <cellStyle name="20% - Accent4 13 3" xfId="36409"/>
    <cellStyle name="20% - Accent4 13 3 2" xfId="36410"/>
    <cellStyle name="20% - Accent4 13 3 2 2" xfId="40366"/>
    <cellStyle name="20% - Accent4 13 3 2 3" xfId="41907"/>
    <cellStyle name="20% - Accent4 13 3 3" xfId="38352"/>
    <cellStyle name="20% - Accent4 13 3 4" xfId="39648"/>
    <cellStyle name="20% - Accent4 13 3 5" xfId="41189"/>
    <cellStyle name="20% - Accent4 13 3_consumption scenario A" xfId="37715"/>
    <cellStyle name="20% - Accent4 13 4" xfId="36411"/>
    <cellStyle name="20% - Accent4 13 4 2" xfId="40074"/>
    <cellStyle name="20% - Accent4 13 4 3" xfId="41615"/>
    <cellStyle name="20% - Accent4 13 5" xfId="38059"/>
    <cellStyle name="20% - Accent4 13 6" xfId="39356"/>
    <cellStyle name="20% - Accent4 13 7" xfId="40892"/>
    <cellStyle name="20% - Accent4 13_AEO proration factors" xfId="36412"/>
    <cellStyle name="20% - Accent4 14" xfId="36109"/>
    <cellStyle name="20% - Accent4 14 2" xfId="36413"/>
    <cellStyle name="20% - Accent4 14 2 2" xfId="36414"/>
    <cellStyle name="20% - Accent4 14 2 2 2" xfId="36415"/>
    <cellStyle name="20% - Accent4 14 2 2 2 2" xfId="40369"/>
    <cellStyle name="20% - Accent4 14 2 2 2 3" xfId="41910"/>
    <cellStyle name="20% - Accent4 14 2 2 3" xfId="38355"/>
    <cellStyle name="20% - Accent4 14 2 2 4" xfId="39651"/>
    <cellStyle name="20% - Accent4 14 2 2 5" xfId="41192"/>
    <cellStyle name="20% - Accent4 14 2 2_consumption scenario A" xfId="37716"/>
    <cellStyle name="20% - Accent4 14 2 3" xfId="36416"/>
    <cellStyle name="20% - Accent4 14 2 3 2" xfId="40150"/>
    <cellStyle name="20% - Accent4 14 2 3 3" xfId="41691"/>
    <cellStyle name="20% - Accent4 14 2 4" xfId="38135"/>
    <cellStyle name="20% - Accent4 14 2 5" xfId="39432"/>
    <cellStyle name="20% - Accent4 14 2 6" xfId="40973"/>
    <cellStyle name="20% - Accent4 14 2_AEO proration factors" xfId="36417"/>
    <cellStyle name="20% - Accent4 14 3" xfId="36418"/>
    <cellStyle name="20% - Accent4 14 3 2" xfId="36419"/>
    <cellStyle name="20% - Accent4 14 3 2 2" xfId="40368"/>
    <cellStyle name="20% - Accent4 14 3 2 3" xfId="41909"/>
    <cellStyle name="20% - Accent4 14 3 3" xfId="38354"/>
    <cellStyle name="20% - Accent4 14 3 4" xfId="39650"/>
    <cellStyle name="20% - Accent4 14 3 5" xfId="41191"/>
    <cellStyle name="20% - Accent4 14 3_consumption scenario A" xfId="37717"/>
    <cellStyle name="20% - Accent4 14 4" xfId="36420"/>
    <cellStyle name="20% - Accent4 14 4 2" xfId="40091"/>
    <cellStyle name="20% - Accent4 14 4 3" xfId="41632"/>
    <cellStyle name="20% - Accent4 14 5" xfId="38076"/>
    <cellStyle name="20% - Accent4 14 6" xfId="39373"/>
    <cellStyle name="20% - Accent4 14 7" xfId="40914"/>
    <cellStyle name="20% - Accent4 14_AEO proration factors" xfId="36421"/>
    <cellStyle name="20% - Accent4 15" xfId="35806"/>
    <cellStyle name="20% - Accent4 15 2" xfId="36422"/>
    <cellStyle name="20% - Accent4 15 2 2" xfId="36423"/>
    <cellStyle name="20% - Accent4 15 2 2 2" xfId="36424"/>
    <cellStyle name="20% - Accent4 15 2 2 2 2" xfId="40371"/>
    <cellStyle name="20% - Accent4 15 2 2 2 3" xfId="41912"/>
    <cellStyle name="20% - Accent4 15 2 2 3" xfId="38357"/>
    <cellStyle name="20% - Accent4 15 2 2 4" xfId="39653"/>
    <cellStyle name="20% - Accent4 15 2 2 5" xfId="41194"/>
    <cellStyle name="20% - Accent4 15 2 2_consumption scenario A" xfId="37718"/>
    <cellStyle name="20% - Accent4 15 2 3" xfId="36425"/>
    <cellStyle name="20% - Accent4 15 2 3 2" xfId="40151"/>
    <cellStyle name="20% - Accent4 15 2 3 3" xfId="41692"/>
    <cellStyle name="20% - Accent4 15 2 4" xfId="38136"/>
    <cellStyle name="20% - Accent4 15 2 5" xfId="39433"/>
    <cellStyle name="20% - Accent4 15 2 6" xfId="40974"/>
    <cellStyle name="20% - Accent4 15 2_AEO proration factors" xfId="36426"/>
    <cellStyle name="20% - Accent4 15 3" xfId="36427"/>
    <cellStyle name="20% - Accent4 15 3 2" xfId="36428"/>
    <cellStyle name="20% - Accent4 15 3 2 2" xfId="40370"/>
    <cellStyle name="20% - Accent4 15 3 2 3" xfId="41911"/>
    <cellStyle name="20% - Accent4 15 3 3" xfId="38356"/>
    <cellStyle name="20% - Accent4 15 3 4" xfId="39652"/>
    <cellStyle name="20% - Accent4 15 3 5" xfId="41193"/>
    <cellStyle name="20% - Accent4 15 3_consumption scenario A" xfId="37719"/>
    <cellStyle name="20% - Accent4 15 4" xfId="36429"/>
    <cellStyle name="20% - Accent4 15 4 2" xfId="40103"/>
    <cellStyle name="20% - Accent4 15 4 3" xfId="41644"/>
    <cellStyle name="20% - Accent4 15 5" xfId="38088"/>
    <cellStyle name="20% - Accent4 15 6" xfId="39385"/>
    <cellStyle name="20% - Accent4 15 7" xfId="40926"/>
    <cellStyle name="20% - Accent4 15_AEO proration factors" xfId="36430"/>
    <cellStyle name="20% - Accent4 16" xfId="36125"/>
    <cellStyle name="20% - Accent4 16 2" xfId="36431"/>
    <cellStyle name="20% - Accent4 16 2 2" xfId="40294"/>
    <cellStyle name="20% - Accent4 16 2 3" xfId="41835"/>
    <cellStyle name="20% - Accent4 16 3" xfId="38279"/>
    <cellStyle name="20% - Accent4 16 4" xfId="39576"/>
    <cellStyle name="20% - Accent4 16 5" xfId="41117"/>
    <cellStyle name="20% - Accent4 16_consumption scenario A" xfId="37488"/>
    <cellStyle name="20% - Accent4 17" xfId="36432"/>
    <cellStyle name="20% - Accent4 17 2" xfId="38639"/>
    <cellStyle name="20% - Accent4 17 3" xfId="40653"/>
    <cellStyle name="20% - Accent4 17 4" xfId="42194"/>
    <cellStyle name="20% - Accent4 17_consumption scenario A" xfId="37720"/>
    <cellStyle name="20% - Accent4 18" xfId="36433"/>
    <cellStyle name="20% - Accent4 18 2" xfId="38658"/>
    <cellStyle name="20% - Accent4 18 3" xfId="40672"/>
    <cellStyle name="20% - Accent4 18 4" xfId="42213"/>
    <cellStyle name="20% - Accent4 18_consumption scenario A" xfId="37721"/>
    <cellStyle name="20% - Accent4 19" xfId="36434"/>
    <cellStyle name="20% - Accent4 19 2" xfId="38670"/>
    <cellStyle name="20% - Accent4 19 3" xfId="40684"/>
    <cellStyle name="20% - Accent4 19 4" xfId="42226"/>
    <cellStyle name="20% - Accent4 19_consumption scenario A" xfId="37722"/>
    <cellStyle name="20% - Accent4 2" xfId="5825"/>
    <cellStyle name="20% - Accent4 2 10" xfId="40754"/>
    <cellStyle name="20% - Accent4 2 2" xfId="5854"/>
    <cellStyle name="20% - Accent4 2 2 2" xfId="35652"/>
    <cellStyle name="20% - Accent4 2 2 2 2" xfId="35913"/>
    <cellStyle name="20% - Accent4 2 2 2 2 2" xfId="36435"/>
    <cellStyle name="20% - Accent4 2 2 2 2 2 2" xfId="36436"/>
    <cellStyle name="20% - Accent4 2 2 2 2 2 2 2" xfId="40375"/>
    <cellStyle name="20% - Accent4 2 2 2 2 2 2 3" xfId="41916"/>
    <cellStyle name="20% - Accent4 2 2 2 2 2 3" xfId="38361"/>
    <cellStyle name="20% - Accent4 2 2 2 2 2 4" xfId="39657"/>
    <cellStyle name="20% - Accent4 2 2 2 2 2 5" xfId="41198"/>
    <cellStyle name="20% - Accent4 2 2 2 2 2_consumption scenario A" xfId="37723"/>
    <cellStyle name="20% - Accent4 2 2 2 2 3" xfId="36437"/>
    <cellStyle name="20% - Accent4 2 2 2 2 3 2" xfId="40154"/>
    <cellStyle name="20% - Accent4 2 2 2 2 3 3" xfId="41695"/>
    <cellStyle name="20% - Accent4 2 2 2 2 4" xfId="38139"/>
    <cellStyle name="20% - Accent4 2 2 2 2 5" xfId="39436"/>
    <cellStyle name="20% - Accent4 2 2 2 2 6" xfId="40977"/>
    <cellStyle name="20% - Accent4 2 2 2 2_AEO proration factors" xfId="36438"/>
    <cellStyle name="20% - Accent4 2 2 2 3" xfId="36439"/>
    <cellStyle name="20% - Accent4 2 2 2 3 2" xfId="36440"/>
    <cellStyle name="20% - Accent4 2 2 2 3 2 2" xfId="40374"/>
    <cellStyle name="20% - Accent4 2 2 2 3 2 3" xfId="41915"/>
    <cellStyle name="20% - Accent4 2 2 2 3 3" xfId="38360"/>
    <cellStyle name="20% - Accent4 2 2 2 3 4" xfId="39656"/>
    <cellStyle name="20% - Accent4 2 2 2 3 5" xfId="41197"/>
    <cellStyle name="20% - Accent4 2 2 2 3_consumption scenario A" xfId="37724"/>
    <cellStyle name="20% - Accent4 2 2 2 4" xfId="36441"/>
    <cellStyle name="20% - Accent4 2 2 2 4 2" xfId="40042"/>
    <cellStyle name="20% - Accent4 2 2 2 4 3" xfId="41583"/>
    <cellStyle name="20% - Accent4 2 2 2 5" xfId="38027"/>
    <cellStyle name="20% - Accent4 2 2 2 6" xfId="39324"/>
    <cellStyle name="20% - Accent4 2 2 2 7" xfId="40853"/>
    <cellStyle name="20% - Accent4 2 2 2_AEO proration factors" xfId="36442"/>
    <cellStyle name="20% - Accent4 2 2 3" xfId="35785"/>
    <cellStyle name="20% - Accent4 2 2 3 2" xfId="36443"/>
    <cellStyle name="20% - Accent4 2 2 3 2 2" xfId="36444"/>
    <cellStyle name="20% - Accent4 2 2 3 2 2 2" xfId="40376"/>
    <cellStyle name="20% - Accent4 2 2 3 2 2 3" xfId="41917"/>
    <cellStyle name="20% - Accent4 2 2 3 2 3" xfId="38362"/>
    <cellStyle name="20% - Accent4 2 2 3 2 4" xfId="39658"/>
    <cellStyle name="20% - Accent4 2 2 3 2 5" xfId="41199"/>
    <cellStyle name="20% - Accent4 2 2 3 2_consumption scenario A" xfId="37725"/>
    <cellStyle name="20% - Accent4 2 2 3 3" xfId="36445"/>
    <cellStyle name="20% - Accent4 2 2 3 3 2" xfId="40153"/>
    <cellStyle name="20% - Accent4 2 2 3 3 3" xfId="41694"/>
    <cellStyle name="20% - Accent4 2 2 3 4" xfId="38138"/>
    <cellStyle name="20% - Accent4 2 2 3 5" xfId="39435"/>
    <cellStyle name="20% - Accent4 2 2 3 6" xfId="40976"/>
    <cellStyle name="20% - Accent4 2 2 3_AEO proration factors" xfId="36446"/>
    <cellStyle name="20% - Accent4 2 2 4" xfId="35852"/>
    <cellStyle name="20% - Accent4 2 2 4 2" xfId="36447"/>
    <cellStyle name="20% - Accent4 2 2 4 2 2" xfId="40373"/>
    <cellStyle name="20% - Accent4 2 2 4 2 3" xfId="41914"/>
    <cellStyle name="20% - Accent4 2 2 4 3" xfId="38359"/>
    <cellStyle name="20% - Accent4 2 2 4 4" xfId="39655"/>
    <cellStyle name="20% - Accent4 2 2 4 5" xfId="41196"/>
    <cellStyle name="20% - Accent4 2 2 4_consumption scenario A" xfId="37489"/>
    <cellStyle name="20% - Accent4 2 2 5" xfId="36448"/>
    <cellStyle name="20% - Accent4 2 2 5 2" xfId="39981"/>
    <cellStyle name="20% - Accent4 2 2 5 3" xfId="41522"/>
    <cellStyle name="20% - Accent4 2 2 6" xfId="37966"/>
    <cellStyle name="20% - Accent4 2 2 7" xfId="39263"/>
    <cellStyle name="20% - Accent4 2 2 8" xfId="40789"/>
    <cellStyle name="20% - Accent4 2 2_AEO proration factors" xfId="36449"/>
    <cellStyle name="20% - Accent4 2 3" xfId="5897"/>
    <cellStyle name="20% - Accent4 2 3 2" xfId="35754"/>
    <cellStyle name="20% - Accent4 2 3 2 2" xfId="36450"/>
    <cellStyle name="20% - Accent4 2 3 2 2 2" xfId="36451"/>
    <cellStyle name="20% - Accent4 2 3 2 2 2 2" xfId="40378"/>
    <cellStyle name="20% - Accent4 2 3 2 2 2 3" xfId="41919"/>
    <cellStyle name="20% - Accent4 2 3 2 2 3" xfId="38364"/>
    <cellStyle name="20% - Accent4 2 3 2 2 4" xfId="39660"/>
    <cellStyle name="20% - Accent4 2 3 2 2 5" xfId="41201"/>
    <cellStyle name="20% - Accent4 2 3 2 2_consumption scenario A" xfId="37726"/>
    <cellStyle name="20% - Accent4 2 3 2 3" xfId="36452"/>
    <cellStyle name="20% - Accent4 2 3 2 3 2" xfId="40155"/>
    <cellStyle name="20% - Accent4 2 3 2 3 3" xfId="41696"/>
    <cellStyle name="20% - Accent4 2 3 2 4" xfId="38140"/>
    <cellStyle name="20% - Accent4 2 3 2 5" xfId="39437"/>
    <cellStyle name="20% - Accent4 2 3 2 6" xfId="40978"/>
    <cellStyle name="20% - Accent4 2 3 2_AEO proration factors" xfId="36453"/>
    <cellStyle name="20% - Accent4 2 3 3" xfId="35882"/>
    <cellStyle name="20% - Accent4 2 3 3 2" xfId="36454"/>
    <cellStyle name="20% - Accent4 2 3 3 2 2" xfId="40377"/>
    <cellStyle name="20% - Accent4 2 3 3 2 3" xfId="41918"/>
    <cellStyle name="20% - Accent4 2 3 3 3" xfId="38363"/>
    <cellStyle name="20% - Accent4 2 3 3 4" xfId="39659"/>
    <cellStyle name="20% - Accent4 2 3 3 5" xfId="41200"/>
    <cellStyle name="20% - Accent4 2 3 3_consumption scenario A" xfId="37490"/>
    <cellStyle name="20% - Accent4 2 3 4" xfId="36455"/>
    <cellStyle name="20% - Accent4 2 3 4 2" xfId="40011"/>
    <cellStyle name="20% - Accent4 2 3 4 3" xfId="41552"/>
    <cellStyle name="20% - Accent4 2 3 5" xfId="37996"/>
    <cellStyle name="20% - Accent4 2 3 6" xfId="39293"/>
    <cellStyle name="20% - Accent4 2 3 7" xfId="40822"/>
    <cellStyle name="20% - Accent4 2 3_AEO proration factors" xfId="36456"/>
    <cellStyle name="20% - Accent4 2 4" xfId="35591"/>
    <cellStyle name="20% - Accent4 2 4 2" xfId="35982"/>
    <cellStyle name="20% - Accent4 2 4_consumption scenario A" xfId="37491"/>
    <cellStyle name="20% - Accent4 2 5" xfId="35621"/>
    <cellStyle name="20% - Accent4 2 5 2" xfId="36457"/>
    <cellStyle name="20% - Accent4 2 5 2 2" xfId="36458"/>
    <cellStyle name="20% - Accent4 2 5 2 2 2" xfId="40379"/>
    <cellStyle name="20% - Accent4 2 5 2 2 3" xfId="41920"/>
    <cellStyle name="20% - Accent4 2 5 2 3" xfId="38365"/>
    <cellStyle name="20% - Accent4 2 5 2 4" xfId="39661"/>
    <cellStyle name="20% - Accent4 2 5 2 5" xfId="41202"/>
    <cellStyle name="20% - Accent4 2 5 2_consumption scenario A" xfId="37727"/>
    <cellStyle name="20% - Accent4 2 5 3" xfId="36459"/>
    <cellStyle name="20% - Accent4 2 5 3 2" xfId="40152"/>
    <cellStyle name="20% - Accent4 2 5 3 3" xfId="41693"/>
    <cellStyle name="20% - Accent4 2 5 4" xfId="38137"/>
    <cellStyle name="20% - Accent4 2 5 5" xfId="39434"/>
    <cellStyle name="20% - Accent4 2 5 6" xfId="40975"/>
    <cellStyle name="20% - Accent4 2 5_AEO proration factors" xfId="36460"/>
    <cellStyle name="20% - Accent4 2 6" xfId="35682"/>
    <cellStyle name="20% - Accent4 2 6 2" xfId="36461"/>
    <cellStyle name="20% - Accent4 2 6 2 2" xfId="40372"/>
    <cellStyle name="20% - Accent4 2 6 2 3" xfId="41913"/>
    <cellStyle name="20% - Accent4 2 6 3" xfId="38358"/>
    <cellStyle name="20% - Accent4 2 6 4" xfId="39654"/>
    <cellStyle name="20% - Accent4 2 6 5" xfId="41195"/>
    <cellStyle name="20% - Accent4 2 6_consumption scenario A" xfId="37492"/>
    <cellStyle name="20% - Accent4 2 7" xfId="35821"/>
    <cellStyle name="20% - Accent4 2 7 2" xfId="39950"/>
    <cellStyle name="20% - Accent4 2 7 3" xfId="41491"/>
    <cellStyle name="20% - Accent4 2 8" xfId="37935"/>
    <cellStyle name="20% - Accent4 2 9" xfId="39232"/>
    <cellStyle name="20% - Accent4 2_AEO proration factors" xfId="36462"/>
    <cellStyle name="20% - Accent4 20" xfId="36463"/>
    <cellStyle name="20% - Accent4 20 2" xfId="38681"/>
    <cellStyle name="20% - Accent4 20 3" xfId="40695"/>
    <cellStyle name="20% - Accent4 20 4" xfId="42238"/>
    <cellStyle name="20% - Accent4 20_consumption scenario A" xfId="37728"/>
    <cellStyle name="20% - Accent4 21" xfId="36464"/>
    <cellStyle name="20% - Accent4 21 2" xfId="38694"/>
    <cellStyle name="20% - Accent4 21 3" xfId="40708"/>
    <cellStyle name="20% - Accent4 21 4" xfId="42251"/>
    <cellStyle name="20% - Accent4 21_consumption scenario A" xfId="37729"/>
    <cellStyle name="20% - Accent4 22" xfId="36465"/>
    <cellStyle name="20% - Accent4 22 2" xfId="38705"/>
    <cellStyle name="20% - Accent4 22 3" xfId="40719"/>
    <cellStyle name="20% - Accent4 22 4" xfId="42262"/>
    <cellStyle name="20% - Accent4 22_consumption scenario A" xfId="37730"/>
    <cellStyle name="20% - Accent4 23" xfId="36466"/>
    <cellStyle name="20% - Accent4 23 2" xfId="39935"/>
    <cellStyle name="20% - Accent4 23 3" xfId="41476"/>
    <cellStyle name="20% - Accent4 24" xfId="37920"/>
    <cellStyle name="20% - Accent4 25" xfId="5792"/>
    <cellStyle name="20% - Accent4 26" xfId="38714"/>
    <cellStyle name="20% - Accent4 27" xfId="5295"/>
    <cellStyle name="20% - Accent4 28" xfId="39217"/>
    <cellStyle name="20% - Accent4 29" xfId="40737"/>
    <cellStyle name="20% - Accent4 3" xfId="5811"/>
    <cellStyle name="20% - Accent4 3 2" xfId="5869"/>
    <cellStyle name="20% - Accent4 3 2 2" xfId="35770"/>
    <cellStyle name="20% - Accent4 3 2 2 2" xfId="36467"/>
    <cellStyle name="20% - Accent4 3 2 2 2 2" xfId="36468"/>
    <cellStyle name="20% - Accent4 3 2 2 2 2 2" xfId="40382"/>
    <cellStyle name="20% - Accent4 3 2 2 2 2 3" xfId="41923"/>
    <cellStyle name="20% - Accent4 3 2 2 2 3" xfId="38368"/>
    <cellStyle name="20% - Accent4 3 2 2 2 4" xfId="39664"/>
    <cellStyle name="20% - Accent4 3 2 2 2 5" xfId="41205"/>
    <cellStyle name="20% - Accent4 3 2 2 2_consumption scenario A" xfId="37731"/>
    <cellStyle name="20% - Accent4 3 2 2 3" xfId="36469"/>
    <cellStyle name="20% - Accent4 3 2 2 3 2" xfId="40157"/>
    <cellStyle name="20% - Accent4 3 2 2 3 3" xfId="41698"/>
    <cellStyle name="20% - Accent4 3 2 2 4" xfId="38142"/>
    <cellStyle name="20% - Accent4 3 2 2 5" xfId="39439"/>
    <cellStyle name="20% - Accent4 3 2 2 6" xfId="40980"/>
    <cellStyle name="20% - Accent4 3 2 2_AEO proration factors" xfId="36470"/>
    <cellStyle name="20% - Accent4 3 2 3" xfId="35898"/>
    <cellStyle name="20% - Accent4 3 2 3 2" xfId="36471"/>
    <cellStyle name="20% - Accent4 3 2 3 2 2" xfId="40381"/>
    <cellStyle name="20% - Accent4 3 2 3 2 3" xfId="41922"/>
    <cellStyle name="20% - Accent4 3 2 3 3" xfId="38367"/>
    <cellStyle name="20% - Accent4 3 2 3 4" xfId="39663"/>
    <cellStyle name="20% - Accent4 3 2 3 5" xfId="41204"/>
    <cellStyle name="20% - Accent4 3 2 3_consumption scenario A" xfId="37493"/>
    <cellStyle name="20% - Accent4 3 2 4" xfId="36472"/>
    <cellStyle name="20% - Accent4 3 2 4 2" xfId="40027"/>
    <cellStyle name="20% - Accent4 3 2 4 3" xfId="41568"/>
    <cellStyle name="20% - Accent4 3 2 5" xfId="38012"/>
    <cellStyle name="20% - Accent4 3 2 6" xfId="39309"/>
    <cellStyle name="20% - Accent4 3 2 7" xfId="40838"/>
    <cellStyle name="20% - Accent4 3 2_AEO proration factors" xfId="36473"/>
    <cellStyle name="20% - Accent4 3 3" xfId="5912"/>
    <cellStyle name="20% - Accent4 3 3 2" xfId="35994"/>
    <cellStyle name="20% - Accent4 3 3_consumption scenario A" xfId="37494"/>
    <cellStyle name="20% - Accent4 3 4" xfId="35637"/>
    <cellStyle name="20% - Accent4 3 4 2" xfId="36474"/>
    <cellStyle name="20% - Accent4 3 4 2 2" xfId="36475"/>
    <cellStyle name="20% - Accent4 3 4 2 2 2" xfId="40383"/>
    <cellStyle name="20% - Accent4 3 4 2 2 3" xfId="41924"/>
    <cellStyle name="20% - Accent4 3 4 2 3" xfId="38369"/>
    <cellStyle name="20% - Accent4 3 4 2 4" xfId="39665"/>
    <cellStyle name="20% - Accent4 3 4 2 5" xfId="41206"/>
    <cellStyle name="20% - Accent4 3 4 2_consumption scenario A" xfId="37732"/>
    <cellStyle name="20% - Accent4 3 4 3" xfId="36476"/>
    <cellStyle name="20% - Accent4 3 4 3 2" xfId="40156"/>
    <cellStyle name="20% - Accent4 3 4 3 3" xfId="41697"/>
    <cellStyle name="20% - Accent4 3 4 4" xfId="38141"/>
    <cellStyle name="20% - Accent4 3 4 5" xfId="39438"/>
    <cellStyle name="20% - Accent4 3 4 6" xfId="40979"/>
    <cellStyle name="20% - Accent4 3 4_AEO proration factors" xfId="36477"/>
    <cellStyle name="20% - Accent4 3 5" xfId="35697"/>
    <cellStyle name="20% - Accent4 3 5 2" xfId="36478"/>
    <cellStyle name="20% - Accent4 3 5 2 2" xfId="40380"/>
    <cellStyle name="20% - Accent4 3 5 2 3" xfId="41921"/>
    <cellStyle name="20% - Accent4 3 5 3" xfId="38366"/>
    <cellStyle name="20% - Accent4 3 5 4" xfId="39662"/>
    <cellStyle name="20% - Accent4 3 5 5" xfId="41203"/>
    <cellStyle name="20% - Accent4 3 5_consumption scenario A" xfId="37495"/>
    <cellStyle name="20% - Accent4 3 6" xfId="35837"/>
    <cellStyle name="20% - Accent4 3 6 2" xfId="39966"/>
    <cellStyle name="20% - Accent4 3 6 3" xfId="41507"/>
    <cellStyle name="20% - Accent4 3 7" xfId="37951"/>
    <cellStyle name="20% - Accent4 3 8" xfId="39248"/>
    <cellStyle name="20% - Accent4 3 9" xfId="40771"/>
    <cellStyle name="20% - Accent4 3_AEO proration factors" xfId="36479"/>
    <cellStyle name="20% - Accent4 4" xfId="5840"/>
    <cellStyle name="20% - Accent4 4 10" xfId="42285"/>
    <cellStyle name="20% - Accent4 4 2" xfId="5926"/>
    <cellStyle name="20% - Accent4 4 2 2" xfId="36006"/>
    <cellStyle name="20% - Accent4 4 2_consumption scenario A" xfId="37496"/>
    <cellStyle name="20% - Accent4 4 3" xfId="35711"/>
    <cellStyle name="20% - Accent4 4 3 2" xfId="36480"/>
    <cellStyle name="20% - Accent4 4 3 2 2" xfId="36481"/>
    <cellStyle name="20% - Accent4 4 3 2 2 2" xfId="40385"/>
    <cellStyle name="20% - Accent4 4 3 2 2 3" xfId="41926"/>
    <cellStyle name="20% - Accent4 4 3 2 3" xfId="38371"/>
    <cellStyle name="20% - Accent4 4 3 2 4" xfId="39667"/>
    <cellStyle name="20% - Accent4 4 3 2 5" xfId="41208"/>
    <cellStyle name="20% - Accent4 4 3 2_consumption scenario A" xfId="37733"/>
    <cellStyle name="20% - Accent4 4 3 3" xfId="36482"/>
    <cellStyle name="20% - Accent4 4 3 3 2" xfId="40158"/>
    <cellStyle name="20% - Accent4 4 3 3 3" xfId="41699"/>
    <cellStyle name="20% - Accent4 4 3 4" xfId="38143"/>
    <cellStyle name="20% - Accent4 4 3 5" xfId="39440"/>
    <cellStyle name="20% - Accent4 4 3 6" xfId="40981"/>
    <cellStyle name="20% - Accent4 4 3_AEO proration factors" xfId="36483"/>
    <cellStyle name="20% - Accent4 4 4" xfId="35867"/>
    <cellStyle name="20% - Accent4 4 4 2" xfId="36484"/>
    <cellStyle name="20% - Accent4 4 4 2 2" xfId="40384"/>
    <cellStyle name="20% - Accent4 4 4 2 3" xfId="41925"/>
    <cellStyle name="20% - Accent4 4 4 3" xfId="38370"/>
    <cellStyle name="20% - Accent4 4 4 4" xfId="39666"/>
    <cellStyle name="20% - Accent4 4 4 5" xfId="41207"/>
    <cellStyle name="20% - Accent4 4 4_consumption scenario A" xfId="37497"/>
    <cellStyle name="20% - Accent4 4 5" xfId="36485"/>
    <cellStyle name="20% - Accent4 4 5 2" xfId="39996"/>
    <cellStyle name="20% - Accent4 4 5 3" xfId="41537"/>
    <cellStyle name="20% - Accent4 4 6" xfId="37981"/>
    <cellStyle name="20% - Accent4 4 7" xfId="39278"/>
    <cellStyle name="20% - Accent4 4 8" xfId="40807"/>
    <cellStyle name="20% - Accent4 4 9" xfId="40899"/>
    <cellStyle name="20% - Accent4 4_AEO proration factors" xfId="36486"/>
    <cellStyle name="20% - Accent4 5" xfId="5940"/>
    <cellStyle name="20% - Accent4 5 10" xfId="42286"/>
    <cellStyle name="20% - Accent4 5 2" xfId="35725"/>
    <cellStyle name="20% - Accent4 5 2 2" xfId="36018"/>
    <cellStyle name="20% - Accent4 5 2_consumption scenario A" xfId="37498"/>
    <cellStyle name="20% - Accent4 5 3" xfId="35928"/>
    <cellStyle name="20% - Accent4 5 3 2" xfId="36487"/>
    <cellStyle name="20% - Accent4 5 3 2 2" xfId="36488"/>
    <cellStyle name="20% - Accent4 5 3 2 2 2" xfId="40387"/>
    <cellStyle name="20% - Accent4 5 3 2 2 3" xfId="41928"/>
    <cellStyle name="20% - Accent4 5 3 2 3" xfId="38373"/>
    <cellStyle name="20% - Accent4 5 3 2 4" xfId="39669"/>
    <cellStyle name="20% - Accent4 5 3 2 5" xfId="41210"/>
    <cellStyle name="20% - Accent4 5 3 2_consumption scenario A" xfId="37734"/>
    <cellStyle name="20% - Accent4 5 3 3" xfId="36489"/>
    <cellStyle name="20% - Accent4 5 3 3 2" xfId="40159"/>
    <cellStyle name="20% - Accent4 5 3 3 3" xfId="41700"/>
    <cellStyle name="20% - Accent4 5 3 4" xfId="38144"/>
    <cellStyle name="20% - Accent4 5 3 5" xfId="39441"/>
    <cellStyle name="20% - Accent4 5 3 6" xfId="40982"/>
    <cellStyle name="20% - Accent4 5 3_AEO proration factors" xfId="36490"/>
    <cellStyle name="20% - Accent4 5 4" xfId="36491"/>
    <cellStyle name="20% - Accent4 5 4 2" xfId="36492"/>
    <cellStyle name="20% - Accent4 5 4 2 2" xfId="40386"/>
    <cellStyle name="20% - Accent4 5 4 2 3" xfId="41927"/>
    <cellStyle name="20% - Accent4 5 4 3" xfId="38372"/>
    <cellStyle name="20% - Accent4 5 4 4" xfId="39668"/>
    <cellStyle name="20% - Accent4 5 4 5" xfId="41209"/>
    <cellStyle name="20% - Accent4 5 4_consumption scenario A" xfId="37735"/>
    <cellStyle name="20% - Accent4 5 5" xfId="36493"/>
    <cellStyle name="20% - Accent4 5 5 2" xfId="40058"/>
    <cellStyle name="20% - Accent4 5 5 3" xfId="41599"/>
    <cellStyle name="20% - Accent4 5 6" xfId="38043"/>
    <cellStyle name="20% - Accent4 5 7" xfId="39340"/>
    <cellStyle name="20% - Accent4 5 8" xfId="40873"/>
    <cellStyle name="20% - Accent4 5 9" xfId="40884"/>
    <cellStyle name="20% - Accent4 5_AEO proration factors" xfId="36494"/>
    <cellStyle name="20% - Accent4 6" xfId="5883"/>
    <cellStyle name="20% - Accent4 6 2" xfId="35739"/>
    <cellStyle name="20% - Accent4 6 3" xfId="36030"/>
    <cellStyle name="20% - Accent4 6_consumption scenario A" xfId="37499"/>
    <cellStyle name="20% - Accent4 7" xfId="35577"/>
    <cellStyle name="20% - Accent4 7 2" xfId="36042"/>
    <cellStyle name="20% - Accent4 7_consumption scenario A" xfId="37500"/>
    <cellStyle name="20% - Accent4 8" xfId="35607"/>
    <cellStyle name="20% - Accent4 8 2" xfId="36055"/>
    <cellStyle name="20% - Accent4 8_consumption scenario A" xfId="37501"/>
    <cellStyle name="20% - Accent4 9" xfId="35668"/>
    <cellStyle name="20% - Accent4 9 2" xfId="36068"/>
    <cellStyle name="20% - Accent4 9_consumption scenario A" xfId="37502"/>
    <cellStyle name="20% - Accent5" xfId="2" builtinId="46" hidden="1"/>
    <cellStyle name="20% - Accent5" xfId="70" builtinId="46" customBuiltin="1"/>
    <cellStyle name="20% - Accent5 10" xfId="36082"/>
    <cellStyle name="20% - Accent5 11" xfId="36094"/>
    <cellStyle name="20% - Accent5 12" xfId="35955"/>
    <cellStyle name="20% - Accent5 13" xfId="35946"/>
    <cellStyle name="20% - Accent5 13 2" xfId="36495"/>
    <cellStyle name="20% - Accent5 13 2 2" xfId="36496"/>
    <cellStyle name="20% - Accent5 13 2 2 2" xfId="36497"/>
    <cellStyle name="20% - Accent5 13 2 2 2 2" xfId="40389"/>
    <cellStyle name="20% - Accent5 13 2 2 2 3" xfId="41930"/>
    <cellStyle name="20% - Accent5 13 2 2 3" xfId="38375"/>
    <cellStyle name="20% - Accent5 13 2 2 4" xfId="39671"/>
    <cellStyle name="20% - Accent5 13 2 2 5" xfId="41212"/>
    <cellStyle name="20% - Accent5 13 2 2_consumption scenario A" xfId="37736"/>
    <cellStyle name="20% - Accent5 13 2 3" xfId="36498"/>
    <cellStyle name="20% - Accent5 13 2 3 2" xfId="40160"/>
    <cellStyle name="20% - Accent5 13 2 3 3" xfId="41701"/>
    <cellStyle name="20% - Accent5 13 2 4" xfId="38145"/>
    <cellStyle name="20% - Accent5 13 2 5" xfId="39442"/>
    <cellStyle name="20% - Accent5 13 2 6" xfId="40983"/>
    <cellStyle name="20% - Accent5 13 2_AEO proration factors" xfId="36499"/>
    <cellStyle name="20% - Accent5 13 3" xfId="36500"/>
    <cellStyle name="20% - Accent5 13 3 2" xfId="36501"/>
    <cellStyle name="20% - Accent5 13 3 2 2" xfId="40388"/>
    <cellStyle name="20% - Accent5 13 3 2 3" xfId="41929"/>
    <cellStyle name="20% - Accent5 13 3 3" xfId="38374"/>
    <cellStyle name="20% - Accent5 13 3 4" xfId="39670"/>
    <cellStyle name="20% - Accent5 13 3 5" xfId="41211"/>
    <cellStyle name="20% - Accent5 13 3_consumption scenario A" xfId="37737"/>
    <cellStyle name="20% - Accent5 13 4" xfId="36502"/>
    <cellStyle name="20% - Accent5 13 4 2" xfId="40076"/>
    <cellStyle name="20% - Accent5 13 4 3" xfId="41617"/>
    <cellStyle name="20% - Accent5 13 5" xfId="38061"/>
    <cellStyle name="20% - Accent5 13 6" xfId="39358"/>
    <cellStyle name="20% - Accent5 13 7" xfId="40894"/>
    <cellStyle name="20% - Accent5 13_AEO proration factors" xfId="36503"/>
    <cellStyle name="20% - Accent5 14" xfId="36111"/>
    <cellStyle name="20% - Accent5 14 2" xfId="36504"/>
    <cellStyle name="20% - Accent5 14 2 2" xfId="36505"/>
    <cellStyle name="20% - Accent5 14 2 2 2" xfId="36506"/>
    <cellStyle name="20% - Accent5 14 2 2 2 2" xfId="40391"/>
    <cellStyle name="20% - Accent5 14 2 2 2 3" xfId="41932"/>
    <cellStyle name="20% - Accent5 14 2 2 3" xfId="38377"/>
    <cellStyle name="20% - Accent5 14 2 2 4" xfId="39673"/>
    <cellStyle name="20% - Accent5 14 2 2 5" xfId="41214"/>
    <cellStyle name="20% - Accent5 14 2 2_consumption scenario A" xfId="37738"/>
    <cellStyle name="20% - Accent5 14 2 3" xfId="36507"/>
    <cellStyle name="20% - Accent5 14 2 3 2" xfId="40161"/>
    <cellStyle name="20% - Accent5 14 2 3 3" xfId="41702"/>
    <cellStyle name="20% - Accent5 14 2 4" xfId="38146"/>
    <cellStyle name="20% - Accent5 14 2 5" xfId="39443"/>
    <cellStyle name="20% - Accent5 14 2 6" xfId="40984"/>
    <cellStyle name="20% - Accent5 14 2_AEO proration factors" xfId="36508"/>
    <cellStyle name="20% - Accent5 14 3" xfId="36509"/>
    <cellStyle name="20% - Accent5 14 3 2" xfId="36510"/>
    <cellStyle name="20% - Accent5 14 3 2 2" xfId="40390"/>
    <cellStyle name="20% - Accent5 14 3 2 3" xfId="41931"/>
    <cellStyle name="20% - Accent5 14 3 3" xfId="38376"/>
    <cellStyle name="20% - Accent5 14 3 4" xfId="39672"/>
    <cellStyle name="20% - Accent5 14 3 5" xfId="41213"/>
    <cellStyle name="20% - Accent5 14 3_consumption scenario A" xfId="37739"/>
    <cellStyle name="20% - Accent5 14 4" xfId="36511"/>
    <cellStyle name="20% - Accent5 14 4 2" xfId="40093"/>
    <cellStyle name="20% - Accent5 14 4 3" xfId="41634"/>
    <cellStyle name="20% - Accent5 14 5" xfId="38078"/>
    <cellStyle name="20% - Accent5 14 6" xfId="39375"/>
    <cellStyle name="20% - Accent5 14 7" xfId="40916"/>
    <cellStyle name="20% - Accent5 14_AEO proration factors" xfId="36512"/>
    <cellStyle name="20% - Accent5 15" xfId="35808"/>
    <cellStyle name="20% - Accent5 15 2" xfId="36513"/>
    <cellStyle name="20% - Accent5 15 2 2" xfId="36514"/>
    <cellStyle name="20% - Accent5 15 2 2 2" xfId="36515"/>
    <cellStyle name="20% - Accent5 15 2 2 2 2" xfId="40393"/>
    <cellStyle name="20% - Accent5 15 2 2 2 3" xfId="41934"/>
    <cellStyle name="20% - Accent5 15 2 2 3" xfId="38379"/>
    <cellStyle name="20% - Accent5 15 2 2 4" xfId="39675"/>
    <cellStyle name="20% - Accent5 15 2 2 5" xfId="41216"/>
    <cellStyle name="20% - Accent5 15 2 2_consumption scenario A" xfId="37740"/>
    <cellStyle name="20% - Accent5 15 2 3" xfId="36516"/>
    <cellStyle name="20% - Accent5 15 2 3 2" xfId="40162"/>
    <cellStyle name="20% - Accent5 15 2 3 3" xfId="41703"/>
    <cellStyle name="20% - Accent5 15 2 4" xfId="38147"/>
    <cellStyle name="20% - Accent5 15 2 5" xfId="39444"/>
    <cellStyle name="20% - Accent5 15 2 6" xfId="40985"/>
    <cellStyle name="20% - Accent5 15 2_AEO proration factors" xfId="36517"/>
    <cellStyle name="20% - Accent5 15 3" xfId="36518"/>
    <cellStyle name="20% - Accent5 15 3 2" xfId="36519"/>
    <cellStyle name="20% - Accent5 15 3 2 2" xfId="40392"/>
    <cellStyle name="20% - Accent5 15 3 2 3" xfId="41933"/>
    <cellStyle name="20% - Accent5 15 3 3" xfId="38378"/>
    <cellStyle name="20% - Accent5 15 3 4" xfId="39674"/>
    <cellStyle name="20% - Accent5 15 3 5" xfId="41215"/>
    <cellStyle name="20% - Accent5 15 3_consumption scenario A" xfId="37741"/>
    <cellStyle name="20% - Accent5 15 4" xfId="36520"/>
    <cellStyle name="20% - Accent5 15 4 2" xfId="40104"/>
    <cellStyle name="20% - Accent5 15 4 3" xfId="41645"/>
    <cellStyle name="20% - Accent5 15 5" xfId="38089"/>
    <cellStyle name="20% - Accent5 15 6" xfId="39386"/>
    <cellStyle name="20% - Accent5 15 7" xfId="40927"/>
    <cellStyle name="20% - Accent5 15_AEO proration factors" xfId="36521"/>
    <cellStyle name="20% - Accent5 16" xfId="36127"/>
    <cellStyle name="20% - Accent5 16 2" xfId="36522"/>
    <cellStyle name="20% - Accent5 16 2 2" xfId="40296"/>
    <cellStyle name="20% - Accent5 16 2 3" xfId="41837"/>
    <cellStyle name="20% - Accent5 16 3" xfId="38281"/>
    <cellStyle name="20% - Accent5 16 4" xfId="39578"/>
    <cellStyle name="20% - Accent5 16 5" xfId="41119"/>
    <cellStyle name="20% - Accent5 16_consumption scenario A" xfId="37503"/>
    <cellStyle name="20% - Accent5 17" xfId="36523"/>
    <cellStyle name="20% - Accent5 17 2" xfId="38641"/>
    <cellStyle name="20% - Accent5 17 3" xfId="40655"/>
    <cellStyle name="20% - Accent5 17 4" xfId="42196"/>
    <cellStyle name="20% - Accent5 17_consumption scenario A" xfId="37742"/>
    <cellStyle name="20% - Accent5 18" xfId="36524"/>
    <cellStyle name="20% - Accent5 18 2" xfId="38661"/>
    <cellStyle name="20% - Accent5 18 3" xfId="40675"/>
    <cellStyle name="20% - Accent5 18 4" xfId="42216"/>
    <cellStyle name="20% - Accent5 18_consumption scenario A" xfId="37743"/>
    <cellStyle name="20% - Accent5 19" xfId="36525"/>
    <cellStyle name="20% - Accent5 19 2" xfId="38673"/>
    <cellStyle name="20% - Accent5 19 3" xfId="40687"/>
    <cellStyle name="20% - Accent5 19 4" xfId="42229"/>
    <cellStyle name="20% - Accent5 19_consumption scenario A" xfId="37744"/>
    <cellStyle name="20% - Accent5 2" xfId="5827"/>
    <cellStyle name="20% - Accent5 2 10" xfId="40756"/>
    <cellStyle name="20% - Accent5 2 2" xfId="5856"/>
    <cellStyle name="20% - Accent5 2 2 2" xfId="35654"/>
    <cellStyle name="20% - Accent5 2 2 2 2" xfId="35915"/>
    <cellStyle name="20% - Accent5 2 2 2 2 2" xfId="36526"/>
    <cellStyle name="20% - Accent5 2 2 2 2 2 2" xfId="36527"/>
    <cellStyle name="20% - Accent5 2 2 2 2 2 2 2" xfId="40397"/>
    <cellStyle name="20% - Accent5 2 2 2 2 2 2 3" xfId="41938"/>
    <cellStyle name="20% - Accent5 2 2 2 2 2 3" xfId="38383"/>
    <cellStyle name="20% - Accent5 2 2 2 2 2 4" xfId="39679"/>
    <cellStyle name="20% - Accent5 2 2 2 2 2 5" xfId="41220"/>
    <cellStyle name="20% - Accent5 2 2 2 2 2_consumption scenario A" xfId="37745"/>
    <cellStyle name="20% - Accent5 2 2 2 2 3" xfId="36528"/>
    <cellStyle name="20% - Accent5 2 2 2 2 3 2" xfId="40165"/>
    <cellStyle name="20% - Accent5 2 2 2 2 3 3" xfId="41706"/>
    <cellStyle name="20% - Accent5 2 2 2 2 4" xfId="38150"/>
    <cellStyle name="20% - Accent5 2 2 2 2 5" xfId="39447"/>
    <cellStyle name="20% - Accent5 2 2 2 2 6" xfId="40988"/>
    <cellStyle name="20% - Accent5 2 2 2 2_AEO proration factors" xfId="36529"/>
    <cellStyle name="20% - Accent5 2 2 2 3" xfId="36530"/>
    <cellStyle name="20% - Accent5 2 2 2 3 2" xfId="36531"/>
    <cellStyle name="20% - Accent5 2 2 2 3 2 2" xfId="40396"/>
    <cellStyle name="20% - Accent5 2 2 2 3 2 3" xfId="41937"/>
    <cellStyle name="20% - Accent5 2 2 2 3 3" xfId="38382"/>
    <cellStyle name="20% - Accent5 2 2 2 3 4" xfId="39678"/>
    <cellStyle name="20% - Accent5 2 2 2 3 5" xfId="41219"/>
    <cellStyle name="20% - Accent5 2 2 2 3_consumption scenario A" xfId="37746"/>
    <cellStyle name="20% - Accent5 2 2 2 4" xfId="36532"/>
    <cellStyle name="20% - Accent5 2 2 2 4 2" xfId="40044"/>
    <cellStyle name="20% - Accent5 2 2 2 4 3" xfId="41585"/>
    <cellStyle name="20% - Accent5 2 2 2 5" xfId="38029"/>
    <cellStyle name="20% - Accent5 2 2 2 6" xfId="39326"/>
    <cellStyle name="20% - Accent5 2 2 2 7" xfId="40855"/>
    <cellStyle name="20% - Accent5 2 2 2_AEO proration factors" xfId="36533"/>
    <cellStyle name="20% - Accent5 2 2 3" xfId="35787"/>
    <cellStyle name="20% - Accent5 2 2 3 2" xfId="36534"/>
    <cellStyle name="20% - Accent5 2 2 3 2 2" xfId="36535"/>
    <cellStyle name="20% - Accent5 2 2 3 2 2 2" xfId="40398"/>
    <cellStyle name="20% - Accent5 2 2 3 2 2 3" xfId="41939"/>
    <cellStyle name="20% - Accent5 2 2 3 2 3" xfId="38384"/>
    <cellStyle name="20% - Accent5 2 2 3 2 4" xfId="39680"/>
    <cellStyle name="20% - Accent5 2 2 3 2 5" xfId="41221"/>
    <cellStyle name="20% - Accent5 2 2 3 2_consumption scenario A" xfId="37747"/>
    <cellStyle name="20% - Accent5 2 2 3 3" xfId="36536"/>
    <cellStyle name="20% - Accent5 2 2 3 3 2" xfId="40164"/>
    <cellStyle name="20% - Accent5 2 2 3 3 3" xfId="41705"/>
    <cellStyle name="20% - Accent5 2 2 3 4" xfId="38149"/>
    <cellStyle name="20% - Accent5 2 2 3 5" xfId="39446"/>
    <cellStyle name="20% - Accent5 2 2 3 6" xfId="40987"/>
    <cellStyle name="20% - Accent5 2 2 3_AEO proration factors" xfId="36537"/>
    <cellStyle name="20% - Accent5 2 2 4" xfId="35854"/>
    <cellStyle name="20% - Accent5 2 2 4 2" xfId="36538"/>
    <cellStyle name="20% - Accent5 2 2 4 2 2" xfId="40395"/>
    <cellStyle name="20% - Accent5 2 2 4 2 3" xfId="41936"/>
    <cellStyle name="20% - Accent5 2 2 4 3" xfId="38381"/>
    <cellStyle name="20% - Accent5 2 2 4 4" xfId="39677"/>
    <cellStyle name="20% - Accent5 2 2 4 5" xfId="41218"/>
    <cellStyle name="20% - Accent5 2 2 4_consumption scenario A" xfId="37504"/>
    <cellStyle name="20% - Accent5 2 2 5" xfId="36539"/>
    <cellStyle name="20% - Accent5 2 2 5 2" xfId="39983"/>
    <cellStyle name="20% - Accent5 2 2 5 3" xfId="41524"/>
    <cellStyle name="20% - Accent5 2 2 6" xfId="37968"/>
    <cellStyle name="20% - Accent5 2 2 7" xfId="39265"/>
    <cellStyle name="20% - Accent5 2 2 8" xfId="40791"/>
    <cellStyle name="20% - Accent5 2 2_AEO proration factors" xfId="36540"/>
    <cellStyle name="20% - Accent5 2 3" xfId="5899"/>
    <cellStyle name="20% - Accent5 2 3 2" xfId="35756"/>
    <cellStyle name="20% - Accent5 2 3 2 2" xfId="36541"/>
    <cellStyle name="20% - Accent5 2 3 2 2 2" xfId="36542"/>
    <cellStyle name="20% - Accent5 2 3 2 2 2 2" xfId="40400"/>
    <cellStyle name="20% - Accent5 2 3 2 2 2 3" xfId="41941"/>
    <cellStyle name="20% - Accent5 2 3 2 2 3" xfId="38386"/>
    <cellStyle name="20% - Accent5 2 3 2 2 4" xfId="39682"/>
    <cellStyle name="20% - Accent5 2 3 2 2 5" xfId="41223"/>
    <cellStyle name="20% - Accent5 2 3 2 2_consumption scenario A" xfId="37748"/>
    <cellStyle name="20% - Accent5 2 3 2 3" xfId="36543"/>
    <cellStyle name="20% - Accent5 2 3 2 3 2" xfId="40166"/>
    <cellStyle name="20% - Accent5 2 3 2 3 3" xfId="41707"/>
    <cellStyle name="20% - Accent5 2 3 2 4" xfId="38151"/>
    <cellStyle name="20% - Accent5 2 3 2 5" xfId="39448"/>
    <cellStyle name="20% - Accent5 2 3 2 6" xfId="40989"/>
    <cellStyle name="20% - Accent5 2 3 2_AEO proration factors" xfId="36544"/>
    <cellStyle name="20% - Accent5 2 3 3" xfId="35884"/>
    <cellStyle name="20% - Accent5 2 3 3 2" xfId="36545"/>
    <cellStyle name="20% - Accent5 2 3 3 2 2" xfId="40399"/>
    <cellStyle name="20% - Accent5 2 3 3 2 3" xfId="41940"/>
    <cellStyle name="20% - Accent5 2 3 3 3" xfId="38385"/>
    <cellStyle name="20% - Accent5 2 3 3 4" xfId="39681"/>
    <cellStyle name="20% - Accent5 2 3 3 5" xfId="41222"/>
    <cellStyle name="20% - Accent5 2 3 3_consumption scenario A" xfId="37505"/>
    <cellStyle name="20% - Accent5 2 3 4" xfId="36546"/>
    <cellStyle name="20% - Accent5 2 3 4 2" xfId="40013"/>
    <cellStyle name="20% - Accent5 2 3 4 3" xfId="41554"/>
    <cellStyle name="20% - Accent5 2 3 5" xfId="37998"/>
    <cellStyle name="20% - Accent5 2 3 6" xfId="39295"/>
    <cellStyle name="20% - Accent5 2 3 7" xfId="40824"/>
    <cellStyle name="20% - Accent5 2 3_AEO proration factors" xfId="36547"/>
    <cellStyle name="20% - Accent5 2 4" xfId="35593"/>
    <cellStyle name="20% - Accent5 2 4 2" xfId="35984"/>
    <cellStyle name="20% - Accent5 2 4_consumption scenario A" xfId="37506"/>
    <cellStyle name="20% - Accent5 2 5" xfId="35623"/>
    <cellStyle name="20% - Accent5 2 5 2" xfId="36548"/>
    <cellStyle name="20% - Accent5 2 5 2 2" xfId="36549"/>
    <cellStyle name="20% - Accent5 2 5 2 2 2" xfId="40401"/>
    <cellStyle name="20% - Accent5 2 5 2 2 3" xfId="41942"/>
    <cellStyle name="20% - Accent5 2 5 2 3" xfId="38387"/>
    <cellStyle name="20% - Accent5 2 5 2 4" xfId="39683"/>
    <cellStyle name="20% - Accent5 2 5 2 5" xfId="41224"/>
    <cellStyle name="20% - Accent5 2 5 2_consumption scenario A" xfId="37749"/>
    <cellStyle name="20% - Accent5 2 5 3" xfId="36550"/>
    <cellStyle name="20% - Accent5 2 5 3 2" xfId="40163"/>
    <cellStyle name="20% - Accent5 2 5 3 3" xfId="41704"/>
    <cellStyle name="20% - Accent5 2 5 4" xfId="38148"/>
    <cellStyle name="20% - Accent5 2 5 5" xfId="39445"/>
    <cellStyle name="20% - Accent5 2 5 6" xfId="40986"/>
    <cellStyle name="20% - Accent5 2 5_AEO proration factors" xfId="36551"/>
    <cellStyle name="20% - Accent5 2 6" xfId="35684"/>
    <cellStyle name="20% - Accent5 2 6 2" xfId="36552"/>
    <cellStyle name="20% - Accent5 2 6 2 2" xfId="40394"/>
    <cellStyle name="20% - Accent5 2 6 2 3" xfId="41935"/>
    <cellStyle name="20% - Accent5 2 6 3" xfId="38380"/>
    <cellStyle name="20% - Accent5 2 6 4" xfId="39676"/>
    <cellStyle name="20% - Accent5 2 6 5" xfId="41217"/>
    <cellStyle name="20% - Accent5 2 6_consumption scenario A" xfId="37507"/>
    <cellStyle name="20% - Accent5 2 7" xfId="35823"/>
    <cellStyle name="20% - Accent5 2 7 2" xfId="39952"/>
    <cellStyle name="20% - Accent5 2 7 3" xfId="41493"/>
    <cellStyle name="20% - Accent5 2 8" xfId="37937"/>
    <cellStyle name="20% - Accent5 2 9" xfId="39234"/>
    <cellStyle name="20% - Accent5 2_AEO proration factors" xfId="36553"/>
    <cellStyle name="20% - Accent5 20" xfId="36554"/>
    <cellStyle name="20% - Accent5 20 2" xfId="38683"/>
    <cellStyle name="20% - Accent5 20 3" xfId="40697"/>
    <cellStyle name="20% - Accent5 20 4" xfId="42240"/>
    <cellStyle name="20% - Accent5 20_consumption scenario A" xfId="37750"/>
    <cellStyle name="20% - Accent5 21" xfId="36555"/>
    <cellStyle name="20% - Accent5 21 2" xfId="38697"/>
    <cellStyle name="20% - Accent5 21 3" xfId="40711"/>
    <cellStyle name="20% - Accent5 21 4" xfId="42254"/>
    <cellStyle name="20% - Accent5 21_consumption scenario A" xfId="37751"/>
    <cellStyle name="20% - Accent5 22" xfId="36556"/>
    <cellStyle name="20% - Accent5 22 2" xfId="38707"/>
    <cellStyle name="20% - Accent5 22 3" xfId="40721"/>
    <cellStyle name="20% - Accent5 22 4" xfId="42264"/>
    <cellStyle name="20% - Accent5 22_consumption scenario A" xfId="37752"/>
    <cellStyle name="20% - Accent5 23" xfId="36557"/>
    <cellStyle name="20% - Accent5 23 2" xfId="39937"/>
    <cellStyle name="20% - Accent5 23 3" xfId="41478"/>
    <cellStyle name="20% - Accent5 24" xfId="37922"/>
    <cellStyle name="20% - Accent5 25" xfId="5793"/>
    <cellStyle name="20% - Accent5 26" xfId="38715"/>
    <cellStyle name="20% - Accent5 27" xfId="5296"/>
    <cellStyle name="20% - Accent5 28" xfId="39219"/>
    <cellStyle name="20% - Accent5 29" xfId="40739"/>
    <cellStyle name="20% - Accent5 3" xfId="5813"/>
    <cellStyle name="20% - Accent5 3 2" xfId="5871"/>
    <cellStyle name="20% - Accent5 3 2 2" xfId="35772"/>
    <cellStyle name="20% - Accent5 3 2 2 2" xfId="36558"/>
    <cellStyle name="20% - Accent5 3 2 2 2 2" xfId="36559"/>
    <cellStyle name="20% - Accent5 3 2 2 2 2 2" xfId="40404"/>
    <cellStyle name="20% - Accent5 3 2 2 2 2 3" xfId="41945"/>
    <cellStyle name="20% - Accent5 3 2 2 2 3" xfId="38390"/>
    <cellStyle name="20% - Accent5 3 2 2 2 4" xfId="39686"/>
    <cellStyle name="20% - Accent5 3 2 2 2 5" xfId="41227"/>
    <cellStyle name="20% - Accent5 3 2 2 2_consumption scenario A" xfId="37753"/>
    <cellStyle name="20% - Accent5 3 2 2 3" xfId="36560"/>
    <cellStyle name="20% - Accent5 3 2 2 3 2" xfId="40168"/>
    <cellStyle name="20% - Accent5 3 2 2 3 3" xfId="41709"/>
    <cellStyle name="20% - Accent5 3 2 2 4" xfId="38153"/>
    <cellStyle name="20% - Accent5 3 2 2 5" xfId="39450"/>
    <cellStyle name="20% - Accent5 3 2 2 6" xfId="40991"/>
    <cellStyle name="20% - Accent5 3 2 2_AEO proration factors" xfId="36561"/>
    <cellStyle name="20% - Accent5 3 2 3" xfId="35900"/>
    <cellStyle name="20% - Accent5 3 2 3 2" xfId="36562"/>
    <cellStyle name="20% - Accent5 3 2 3 2 2" xfId="40403"/>
    <cellStyle name="20% - Accent5 3 2 3 2 3" xfId="41944"/>
    <cellStyle name="20% - Accent5 3 2 3 3" xfId="38389"/>
    <cellStyle name="20% - Accent5 3 2 3 4" xfId="39685"/>
    <cellStyle name="20% - Accent5 3 2 3 5" xfId="41226"/>
    <cellStyle name="20% - Accent5 3 2 3_consumption scenario A" xfId="37508"/>
    <cellStyle name="20% - Accent5 3 2 4" xfId="36563"/>
    <cellStyle name="20% - Accent5 3 2 4 2" xfId="40029"/>
    <cellStyle name="20% - Accent5 3 2 4 3" xfId="41570"/>
    <cellStyle name="20% - Accent5 3 2 5" xfId="38014"/>
    <cellStyle name="20% - Accent5 3 2 6" xfId="39311"/>
    <cellStyle name="20% - Accent5 3 2 7" xfId="40840"/>
    <cellStyle name="20% - Accent5 3 2_AEO proration factors" xfId="36564"/>
    <cellStyle name="20% - Accent5 3 3" xfId="5914"/>
    <cellStyle name="20% - Accent5 3 3 2" xfId="35996"/>
    <cellStyle name="20% - Accent5 3 3_consumption scenario A" xfId="37509"/>
    <cellStyle name="20% - Accent5 3 4" xfId="35639"/>
    <cellStyle name="20% - Accent5 3 4 2" xfId="36565"/>
    <cellStyle name="20% - Accent5 3 4 2 2" xfId="36566"/>
    <cellStyle name="20% - Accent5 3 4 2 2 2" xfId="40405"/>
    <cellStyle name="20% - Accent5 3 4 2 2 3" xfId="41946"/>
    <cellStyle name="20% - Accent5 3 4 2 3" xfId="38391"/>
    <cellStyle name="20% - Accent5 3 4 2 4" xfId="39687"/>
    <cellStyle name="20% - Accent5 3 4 2 5" xfId="41228"/>
    <cellStyle name="20% - Accent5 3 4 2_consumption scenario A" xfId="37754"/>
    <cellStyle name="20% - Accent5 3 4 3" xfId="36567"/>
    <cellStyle name="20% - Accent5 3 4 3 2" xfId="40167"/>
    <cellStyle name="20% - Accent5 3 4 3 3" xfId="41708"/>
    <cellStyle name="20% - Accent5 3 4 4" xfId="38152"/>
    <cellStyle name="20% - Accent5 3 4 5" xfId="39449"/>
    <cellStyle name="20% - Accent5 3 4 6" xfId="40990"/>
    <cellStyle name="20% - Accent5 3 4_AEO proration factors" xfId="36568"/>
    <cellStyle name="20% - Accent5 3 5" xfId="35699"/>
    <cellStyle name="20% - Accent5 3 5 2" xfId="36569"/>
    <cellStyle name="20% - Accent5 3 5 2 2" xfId="40402"/>
    <cellStyle name="20% - Accent5 3 5 2 3" xfId="41943"/>
    <cellStyle name="20% - Accent5 3 5 3" xfId="38388"/>
    <cellStyle name="20% - Accent5 3 5 4" xfId="39684"/>
    <cellStyle name="20% - Accent5 3 5 5" xfId="41225"/>
    <cellStyle name="20% - Accent5 3 5_consumption scenario A" xfId="37510"/>
    <cellStyle name="20% - Accent5 3 6" xfId="35839"/>
    <cellStyle name="20% - Accent5 3 6 2" xfId="39968"/>
    <cellStyle name="20% - Accent5 3 6 3" xfId="41509"/>
    <cellStyle name="20% - Accent5 3 7" xfId="37953"/>
    <cellStyle name="20% - Accent5 3 8" xfId="39250"/>
    <cellStyle name="20% - Accent5 3 9" xfId="40773"/>
    <cellStyle name="20% - Accent5 3_AEO proration factors" xfId="36570"/>
    <cellStyle name="20% - Accent5 4" xfId="5842"/>
    <cellStyle name="20% - Accent5 4 10" xfId="42276"/>
    <cellStyle name="20% - Accent5 4 2" xfId="5928"/>
    <cellStyle name="20% - Accent5 4 2 2" xfId="36008"/>
    <cellStyle name="20% - Accent5 4 2_consumption scenario A" xfId="37511"/>
    <cellStyle name="20% - Accent5 4 3" xfId="35713"/>
    <cellStyle name="20% - Accent5 4 3 2" xfId="36571"/>
    <cellStyle name="20% - Accent5 4 3 2 2" xfId="36572"/>
    <cellStyle name="20% - Accent5 4 3 2 2 2" xfId="40407"/>
    <cellStyle name="20% - Accent5 4 3 2 2 3" xfId="41948"/>
    <cellStyle name="20% - Accent5 4 3 2 3" xfId="38393"/>
    <cellStyle name="20% - Accent5 4 3 2 4" xfId="39689"/>
    <cellStyle name="20% - Accent5 4 3 2 5" xfId="41230"/>
    <cellStyle name="20% - Accent5 4 3 2_consumption scenario A" xfId="37755"/>
    <cellStyle name="20% - Accent5 4 3 3" xfId="36573"/>
    <cellStyle name="20% - Accent5 4 3 3 2" xfId="40169"/>
    <cellStyle name="20% - Accent5 4 3 3 3" xfId="41710"/>
    <cellStyle name="20% - Accent5 4 3 4" xfId="38154"/>
    <cellStyle name="20% - Accent5 4 3 5" xfId="39451"/>
    <cellStyle name="20% - Accent5 4 3 6" xfId="40992"/>
    <cellStyle name="20% - Accent5 4 3_AEO proration factors" xfId="36574"/>
    <cellStyle name="20% - Accent5 4 4" xfId="35869"/>
    <cellStyle name="20% - Accent5 4 4 2" xfId="36575"/>
    <cellStyle name="20% - Accent5 4 4 2 2" xfId="40406"/>
    <cellStyle name="20% - Accent5 4 4 2 3" xfId="41947"/>
    <cellStyle name="20% - Accent5 4 4 3" xfId="38392"/>
    <cellStyle name="20% - Accent5 4 4 4" xfId="39688"/>
    <cellStyle name="20% - Accent5 4 4 5" xfId="41229"/>
    <cellStyle name="20% - Accent5 4 4_consumption scenario A" xfId="37512"/>
    <cellStyle name="20% - Accent5 4 5" xfId="36576"/>
    <cellStyle name="20% - Accent5 4 5 2" xfId="39998"/>
    <cellStyle name="20% - Accent5 4 5 3" xfId="41539"/>
    <cellStyle name="20% - Accent5 4 6" xfId="37983"/>
    <cellStyle name="20% - Accent5 4 7" xfId="39280"/>
    <cellStyle name="20% - Accent5 4 8" xfId="40809"/>
    <cellStyle name="20% - Accent5 4 9" xfId="40760"/>
    <cellStyle name="20% - Accent5 4_AEO proration factors" xfId="36577"/>
    <cellStyle name="20% - Accent5 5" xfId="5942"/>
    <cellStyle name="20% - Accent5 5 10" xfId="42279"/>
    <cellStyle name="20% - Accent5 5 2" xfId="35727"/>
    <cellStyle name="20% - Accent5 5 2 2" xfId="36020"/>
    <cellStyle name="20% - Accent5 5 2_consumption scenario A" xfId="37513"/>
    <cellStyle name="20% - Accent5 5 3" xfId="35930"/>
    <cellStyle name="20% - Accent5 5 3 2" xfId="36578"/>
    <cellStyle name="20% - Accent5 5 3 2 2" xfId="36579"/>
    <cellStyle name="20% - Accent5 5 3 2 2 2" xfId="40409"/>
    <cellStyle name="20% - Accent5 5 3 2 2 3" xfId="41950"/>
    <cellStyle name="20% - Accent5 5 3 2 3" xfId="38395"/>
    <cellStyle name="20% - Accent5 5 3 2 4" xfId="39691"/>
    <cellStyle name="20% - Accent5 5 3 2 5" xfId="41232"/>
    <cellStyle name="20% - Accent5 5 3 2_consumption scenario A" xfId="37756"/>
    <cellStyle name="20% - Accent5 5 3 3" xfId="36580"/>
    <cellStyle name="20% - Accent5 5 3 3 2" xfId="40170"/>
    <cellStyle name="20% - Accent5 5 3 3 3" xfId="41711"/>
    <cellStyle name="20% - Accent5 5 3 4" xfId="38155"/>
    <cellStyle name="20% - Accent5 5 3 5" xfId="39452"/>
    <cellStyle name="20% - Accent5 5 3 6" xfId="40993"/>
    <cellStyle name="20% - Accent5 5 3_AEO proration factors" xfId="36581"/>
    <cellStyle name="20% - Accent5 5 4" xfId="36582"/>
    <cellStyle name="20% - Accent5 5 4 2" xfId="36583"/>
    <cellStyle name="20% - Accent5 5 4 2 2" xfId="40408"/>
    <cellStyle name="20% - Accent5 5 4 2 3" xfId="41949"/>
    <cellStyle name="20% - Accent5 5 4 3" xfId="38394"/>
    <cellStyle name="20% - Accent5 5 4 4" xfId="39690"/>
    <cellStyle name="20% - Accent5 5 4 5" xfId="41231"/>
    <cellStyle name="20% - Accent5 5 4_consumption scenario A" xfId="37757"/>
    <cellStyle name="20% - Accent5 5 5" xfId="36584"/>
    <cellStyle name="20% - Accent5 5 5 2" xfId="40060"/>
    <cellStyle name="20% - Accent5 5 5 3" xfId="41601"/>
    <cellStyle name="20% - Accent5 5 6" xfId="38045"/>
    <cellStyle name="20% - Accent5 5 7" xfId="39342"/>
    <cellStyle name="20% - Accent5 5 8" xfId="40875"/>
    <cellStyle name="20% - Accent5 5 9" xfId="40879"/>
    <cellStyle name="20% - Accent5 5_AEO proration factors" xfId="36585"/>
    <cellStyle name="20% - Accent5 6" xfId="5885"/>
    <cellStyle name="20% - Accent5 6 2" xfId="35741"/>
    <cellStyle name="20% - Accent5 6 3" xfId="36032"/>
    <cellStyle name="20% - Accent5 6_consumption scenario A" xfId="37514"/>
    <cellStyle name="20% - Accent5 7" xfId="35579"/>
    <cellStyle name="20% - Accent5 7 2" xfId="36044"/>
    <cellStyle name="20% - Accent5 7_consumption scenario A" xfId="37515"/>
    <cellStyle name="20% - Accent5 8" xfId="35609"/>
    <cellStyle name="20% - Accent5 8 2" xfId="36057"/>
    <cellStyle name="20% - Accent5 8_consumption scenario A" xfId="37516"/>
    <cellStyle name="20% - Accent5 9" xfId="35670"/>
    <cellStyle name="20% - Accent5 9 2" xfId="36070"/>
    <cellStyle name="20% - Accent5 9_consumption scenario A" xfId="37517"/>
    <cellStyle name="20% - Accent6" xfId="3" builtinId="50" hidden="1"/>
    <cellStyle name="20% - Accent6" xfId="71" builtinId="50" customBuiltin="1"/>
    <cellStyle name="20% - Accent6 10" xfId="36084"/>
    <cellStyle name="20% - Accent6 11" xfId="36096"/>
    <cellStyle name="20% - Accent6 12" xfId="35956"/>
    <cellStyle name="20% - Accent6 13" xfId="35948"/>
    <cellStyle name="20% - Accent6 13 2" xfId="36586"/>
    <cellStyle name="20% - Accent6 13 2 2" xfId="36587"/>
    <cellStyle name="20% - Accent6 13 2 2 2" xfId="36588"/>
    <cellStyle name="20% - Accent6 13 2 2 2 2" xfId="40411"/>
    <cellStyle name="20% - Accent6 13 2 2 2 3" xfId="41952"/>
    <cellStyle name="20% - Accent6 13 2 2 3" xfId="38397"/>
    <cellStyle name="20% - Accent6 13 2 2 4" xfId="39693"/>
    <cellStyle name="20% - Accent6 13 2 2 5" xfId="41234"/>
    <cellStyle name="20% - Accent6 13 2 2_consumption scenario A" xfId="37758"/>
    <cellStyle name="20% - Accent6 13 2 3" xfId="36589"/>
    <cellStyle name="20% - Accent6 13 2 3 2" xfId="40171"/>
    <cellStyle name="20% - Accent6 13 2 3 3" xfId="41712"/>
    <cellStyle name="20% - Accent6 13 2 4" xfId="38156"/>
    <cellStyle name="20% - Accent6 13 2 5" xfId="39453"/>
    <cellStyle name="20% - Accent6 13 2 6" xfId="40994"/>
    <cellStyle name="20% - Accent6 13 2_AEO proration factors" xfId="36590"/>
    <cellStyle name="20% - Accent6 13 3" xfId="36591"/>
    <cellStyle name="20% - Accent6 13 3 2" xfId="36592"/>
    <cellStyle name="20% - Accent6 13 3 2 2" xfId="40410"/>
    <cellStyle name="20% - Accent6 13 3 2 3" xfId="41951"/>
    <cellStyle name="20% - Accent6 13 3 3" xfId="38396"/>
    <cellStyle name="20% - Accent6 13 3 4" xfId="39692"/>
    <cellStyle name="20% - Accent6 13 3 5" xfId="41233"/>
    <cellStyle name="20% - Accent6 13 3_consumption scenario A" xfId="37759"/>
    <cellStyle name="20% - Accent6 13 4" xfId="36593"/>
    <cellStyle name="20% - Accent6 13 4 2" xfId="40078"/>
    <cellStyle name="20% - Accent6 13 4 3" xfId="41619"/>
    <cellStyle name="20% - Accent6 13 5" xfId="38063"/>
    <cellStyle name="20% - Accent6 13 6" xfId="39360"/>
    <cellStyle name="20% - Accent6 13 7" xfId="40896"/>
    <cellStyle name="20% - Accent6 13_AEO proration factors" xfId="36594"/>
    <cellStyle name="20% - Accent6 14" xfId="36113"/>
    <cellStyle name="20% - Accent6 14 2" xfId="36595"/>
    <cellStyle name="20% - Accent6 14 2 2" xfId="36596"/>
    <cellStyle name="20% - Accent6 14 2 2 2" xfId="36597"/>
    <cellStyle name="20% - Accent6 14 2 2 2 2" xfId="40413"/>
    <cellStyle name="20% - Accent6 14 2 2 2 3" xfId="41954"/>
    <cellStyle name="20% - Accent6 14 2 2 3" xfId="38399"/>
    <cellStyle name="20% - Accent6 14 2 2 4" xfId="39695"/>
    <cellStyle name="20% - Accent6 14 2 2 5" xfId="41236"/>
    <cellStyle name="20% - Accent6 14 2 2_consumption scenario A" xfId="37760"/>
    <cellStyle name="20% - Accent6 14 2 3" xfId="36598"/>
    <cellStyle name="20% - Accent6 14 2 3 2" xfId="40172"/>
    <cellStyle name="20% - Accent6 14 2 3 3" xfId="41713"/>
    <cellStyle name="20% - Accent6 14 2 4" xfId="38157"/>
    <cellStyle name="20% - Accent6 14 2 5" xfId="39454"/>
    <cellStyle name="20% - Accent6 14 2 6" xfId="40995"/>
    <cellStyle name="20% - Accent6 14 2_AEO proration factors" xfId="36599"/>
    <cellStyle name="20% - Accent6 14 3" xfId="36600"/>
    <cellStyle name="20% - Accent6 14 3 2" xfId="36601"/>
    <cellStyle name="20% - Accent6 14 3 2 2" xfId="40412"/>
    <cellStyle name="20% - Accent6 14 3 2 3" xfId="41953"/>
    <cellStyle name="20% - Accent6 14 3 3" xfId="38398"/>
    <cellStyle name="20% - Accent6 14 3 4" xfId="39694"/>
    <cellStyle name="20% - Accent6 14 3 5" xfId="41235"/>
    <cellStyle name="20% - Accent6 14 3_consumption scenario A" xfId="37761"/>
    <cellStyle name="20% - Accent6 14 4" xfId="36602"/>
    <cellStyle name="20% - Accent6 14 4 2" xfId="40095"/>
    <cellStyle name="20% - Accent6 14 4 3" xfId="41636"/>
    <cellStyle name="20% - Accent6 14 5" xfId="38080"/>
    <cellStyle name="20% - Accent6 14 6" xfId="39377"/>
    <cellStyle name="20% - Accent6 14 7" xfId="40918"/>
    <cellStyle name="20% - Accent6 14_AEO proration factors" xfId="36603"/>
    <cellStyle name="20% - Accent6 15" xfId="35810"/>
    <cellStyle name="20% - Accent6 15 2" xfId="36604"/>
    <cellStyle name="20% - Accent6 15 2 2" xfId="36605"/>
    <cellStyle name="20% - Accent6 15 2 2 2" xfId="36606"/>
    <cellStyle name="20% - Accent6 15 2 2 2 2" xfId="40415"/>
    <cellStyle name="20% - Accent6 15 2 2 2 3" xfId="41956"/>
    <cellStyle name="20% - Accent6 15 2 2 3" xfId="38401"/>
    <cellStyle name="20% - Accent6 15 2 2 4" xfId="39697"/>
    <cellStyle name="20% - Accent6 15 2 2 5" xfId="41238"/>
    <cellStyle name="20% - Accent6 15 2 2_consumption scenario A" xfId="37762"/>
    <cellStyle name="20% - Accent6 15 2 3" xfId="36607"/>
    <cellStyle name="20% - Accent6 15 2 3 2" xfId="40173"/>
    <cellStyle name="20% - Accent6 15 2 3 3" xfId="41714"/>
    <cellStyle name="20% - Accent6 15 2 4" xfId="38158"/>
    <cellStyle name="20% - Accent6 15 2 5" xfId="39455"/>
    <cellStyle name="20% - Accent6 15 2 6" xfId="40996"/>
    <cellStyle name="20% - Accent6 15 2_AEO proration factors" xfId="36608"/>
    <cellStyle name="20% - Accent6 15 3" xfId="36609"/>
    <cellStyle name="20% - Accent6 15 3 2" xfId="36610"/>
    <cellStyle name="20% - Accent6 15 3 2 2" xfId="40414"/>
    <cellStyle name="20% - Accent6 15 3 2 3" xfId="41955"/>
    <cellStyle name="20% - Accent6 15 3 3" xfId="38400"/>
    <cellStyle name="20% - Accent6 15 3 4" xfId="39696"/>
    <cellStyle name="20% - Accent6 15 3 5" xfId="41237"/>
    <cellStyle name="20% - Accent6 15 3_consumption scenario A" xfId="37763"/>
    <cellStyle name="20% - Accent6 15 4" xfId="36611"/>
    <cellStyle name="20% - Accent6 15 4 2" xfId="40105"/>
    <cellStyle name="20% - Accent6 15 4 3" xfId="41646"/>
    <cellStyle name="20% - Accent6 15 5" xfId="38090"/>
    <cellStyle name="20% - Accent6 15 6" xfId="39387"/>
    <cellStyle name="20% - Accent6 15 7" xfId="40928"/>
    <cellStyle name="20% - Accent6 15_AEO proration factors" xfId="36612"/>
    <cellStyle name="20% - Accent6 16" xfId="36129"/>
    <cellStyle name="20% - Accent6 16 2" xfId="36613"/>
    <cellStyle name="20% - Accent6 16 2 2" xfId="40298"/>
    <cellStyle name="20% - Accent6 16 2 3" xfId="41839"/>
    <cellStyle name="20% - Accent6 16 3" xfId="38283"/>
    <cellStyle name="20% - Accent6 16 4" xfId="39580"/>
    <cellStyle name="20% - Accent6 16 5" xfId="41121"/>
    <cellStyle name="20% - Accent6 16_consumption scenario A" xfId="37518"/>
    <cellStyle name="20% - Accent6 17" xfId="36614"/>
    <cellStyle name="20% - Accent6 17 2" xfId="38643"/>
    <cellStyle name="20% - Accent6 17 3" xfId="40657"/>
    <cellStyle name="20% - Accent6 17 4" xfId="42198"/>
    <cellStyle name="20% - Accent6 17_consumption scenario A" xfId="37764"/>
    <cellStyle name="20% - Accent6 18" xfId="36615"/>
    <cellStyle name="20% - Accent6 18 2" xfId="38663"/>
    <cellStyle name="20% - Accent6 18 3" xfId="40677"/>
    <cellStyle name="20% - Accent6 18 4" xfId="42219"/>
    <cellStyle name="20% - Accent6 18_consumption scenario A" xfId="37765"/>
    <cellStyle name="20% - Accent6 19" xfId="36616"/>
    <cellStyle name="20% - Accent6 19 2" xfId="38675"/>
    <cellStyle name="20% - Accent6 19 3" xfId="40689"/>
    <cellStyle name="20% - Accent6 19 4" xfId="42231"/>
    <cellStyle name="20% - Accent6 19_consumption scenario A" xfId="37766"/>
    <cellStyle name="20% - Accent6 2" xfId="5829"/>
    <cellStyle name="20% - Accent6 2 10" xfId="40758"/>
    <cellStyle name="20% - Accent6 2 2" xfId="5858"/>
    <cellStyle name="20% - Accent6 2 2 2" xfId="35656"/>
    <cellStyle name="20% - Accent6 2 2 2 2" xfId="35917"/>
    <cellStyle name="20% - Accent6 2 2 2 2 2" xfId="36617"/>
    <cellStyle name="20% - Accent6 2 2 2 2 2 2" xfId="36618"/>
    <cellStyle name="20% - Accent6 2 2 2 2 2 2 2" xfId="40419"/>
    <cellStyle name="20% - Accent6 2 2 2 2 2 2 3" xfId="41960"/>
    <cellStyle name="20% - Accent6 2 2 2 2 2 3" xfId="38405"/>
    <cellStyle name="20% - Accent6 2 2 2 2 2 4" xfId="39701"/>
    <cellStyle name="20% - Accent6 2 2 2 2 2 5" xfId="41242"/>
    <cellStyle name="20% - Accent6 2 2 2 2 2_consumption scenario A" xfId="37767"/>
    <cellStyle name="20% - Accent6 2 2 2 2 3" xfId="36619"/>
    <cellStyle name="20% - Accent6 2 2 2 2 3 2" xfId="40176"/>
    <cellStyle name="20% - Accent6 2 2 2 2 3 3" xfId="41717"/>
    <cellStyle name="20% - Accent6 2 2 2 2 4" xfId="38161"/>
    <cellStyle name="20% - Accent6 2 2 2 2 5" xfId="39458"/>
    <cellStyle name="20% - Accent6 2 2 2 2 6" xfId="40999"/>
    <cellStyle name="20% - Accent6 2 2 2 2_AEO proration factors" xfId="36620"/>
    <cellStyle name="20% - Accent6 2 2 2 3" xfId="36621"/>
    <cellStyle name="20% - Accent6 2 2 2 3 2" xfId="36622"/>
    <cellStyle name="20% - Accent6 2 2 2 3 2 2" xfId="40418"/>
    <cellStyle name="20% - Accent6 2 2 2 3 2 3" xfId="41959"/>
    <cellStyle name="20% - Accent6 2 2 2 3 3" xfId="38404"/>
    <cellStyle name="20% - Accent6 2 2 2 3 4" xfId="39700"/>
    <cellStyle name="20% - Accent6 2 2 2 3 5" xfId="41241"/>
    <cellStyle name="20% - Accent6 2 2 2 3_consumption scenario A" xfId="37768"/>
    <cellStyle name="20% - Accent6 2 2 2 4" xfId="36623"/>
    <cellStyle name="20% - Accent6 2 2 2 4 2" xfId="40046"/>
    <cellStyle name="20% - Accent6 2 2 2 4 3" xfId="41587"/>
    <cellStyle name="20% - Accent6 2 2 2 5" xfId="38031"/>
    <cellStyle name="20% - Accent6 2 2 2 6" xfId="39328"/>
    <cellStyle name="20% - Accent6 2 2 2 7" xfId="40857"/>
    <cellStyle name="20% - Accent6 2 2 2_AEO proration factors" xfId="36624"/>
    <cellStyle name="20% - Accent6 2 2 3" xfId="35789"/>
    <cellStyle name="20% - Accent6 2 2 3 2" xfId="36625"/>
    <cellStyle name="20% - Accent6 2 2 3 2 2" xfId="36626"/>
    <cellStyle name="20% - Accent6 2 2 3 2 2 2" xfId="40420"/>
    <cellStyle name="20% - Accent6 2 2 3 2 2 3" xfId="41961"/>
    <cellStyle name="20% - Accent6 2 2 3 2 3" xfId="38406"/>
    <cellStyle name="20% - Accent6 2 2 3 2 4" xfId="39702"/>
    <cellStyle name="20% - Accent6 2 2 3 2 5" xfId="41243"/>
    <cellStyle name="20% - Accent6 2 2 3 2_consumption scenario A" xfId="37769"/>
    <cellStyle name="20% - Accent6 2 2 3 3" xfId="36627"/>
    <cellStyle name="20% - Accent6 2 2 3 3 2" xfId="40175"/>
    <cellStyle name="20% - Accent6 2 2 3 3 3" xfId="41716"/>
    <cellStyle name="20% - Accent6 2 2 3 4" xfId="38160"/>
    <cellStyle name="20% - Accent6 2 2 3 5" xfId="39457"/>
    <cellStyle name="20% - Accent6 2 2 3 6" xfId="40998"/>
    <cellStyle name="20% - Accent6 2 2 3_AEO proration factors" xfId="36628"/>
    <cellStyle name="20% - Accent6 2 2 4" xfId="35856"/>
    <cellStyle name="20% - Accent6 2 2 4 2" xfId="36629"/>
    <cellStyle name="20% - Accent6 2 2 4 2 2" xfId="40417"/>
    <cellStyle name="20% - Accent6 2 2 4 2 3" xfId="41958"/>
    <cellStyle name="20% - Accent6 2 2 4 3" xfId="38403"/>
    <cellStyle name="20% - Accent6 2 2 4 4" xfId="39699"/>
    <cellStyle name="20% - Accent6 2 2 4 5" xfId="41240"/>
    <cellStyle name="20% - Accent6 2 2 4_consumption scenario A" xfId="37519"/>
    <cellStyle name="20% - Accent6 2 2 5" xfId="36630"/>
    <cellStyle name="20% - Accent6 2 2 5 2" xfId="39985"/>
    <cellStyle name="20% - Accent6 2 2 5 3" xfId="41526"/>
    <cellStyle name="20% - Accent6 2 2 6" xfId="37970"/>
    <cellStyle name="20% - Accent6 2 2 7" xfId="39267"/>
    <cellStyle name="20% - Accent6 2 2 8" xfId="40793"/>
    <cellStyle name="20% - Accent6 2 2_AEO proration factors" xfId="36631"/>
    <cellStyle name="20% - Accent6 2 3" xfId="5901"/>
    <cellStyle name="20% - Accent6 2 3 2" xfId="35758"/>
    <cellStyle name="20% - Accent6 2 3 2 2" xfId="36632"/>
    <cellStyle name="20% - Accent6 2 3 2 2 2" xfId="36633"/>
    <cellStyle name="20% - Accent6 2 3 2 2 2 2" xfId="40422"/>
    <cellStyle name="20% - Accent6 2 3 2 2 2 3" xfId="41963"/>
    <cellStyle name="20% - Accent6 2 3 2 2 3" xfId="38408"/>
    <cellStyle name="20% - Accent6 2 3 2 2 4" xfId="39704"/>
    <cellStyle name="20% - Accent6 2 3 2 2 5" xfId="41245"/>
    <cellStyle name="20% - Accent6 2 3 2 2_consumption scenario A" xfId="37770"/>
    <cellStyle name="20% - Accent6 2 3 2 3" xfId="36634"/>
    <cellStyle name="20% - Accent6 2 3 2 3 2" xfId="40177"/>
    <cellStyle name="20% - Accent6 2 3 2 3 3" xfId="41718"/>
    <cellStyle name="20% - Accent6 2 3 2 4" xfId="38162"/>
    <cellStyle name="20% - Accent6 2 3 2 5" xfId="39459"/>
    <cellStyle name="20% - Accent6 2 3 2 6" xfId="41000"/>
    <cellStyle name="20% - Accent6 2 3 2_AEO proration factors" xfId="36635"/>
    <cellStyle name="20% - Accent6 2 3 3" xfId="35886"/>
    <cellStyle name="20% - Accent6 2 3 3 2" xfId="36636"/>
    <cellStyle name="20% - Accent6 2 3 3 2 2" xfId="40421"/>
    <cellStyle name="20% - Accent6 2 3 3 2 3" xfId="41962"/>
    <cellStyle name="20% - Accent6 2 3 3 3" xfId="38407"/>
    <cellStyle name="20% - Accent6 2 3 3 4" xfId="39703"/>
    <cellStyle name="20% - Accent6 2 3 3 5" xfId="41244"/>
    <cellStyle name="20% - Accent6 2 3 3_consumption scenario A" xfId="37520"/>
    <cellStyle name="20% - Accent6 2 3 4" xfId="36637"/>
    <cellStyle name="20% - Accent6 2 3 4 2" xfId="40015"/>
    <cellStyle name="20% - Accent6 2 3 4 3" xfId="41556"/>
    <cellStyle name="20% - Accent6 2 3 5" xfId="38000"/>
    <cellStyle name="20% - Accent6 2 3 6" xfId="39297"/>
    <cellStyle name="20% - Accent6 2 3 7" xfId="40826"/>
    <cellStyle name="20% - Accent6 2 3_AEO proration factors" xfId="36638"/>
    <cellStyle name="20% - Accent6 2 4" xfId="35595"/>
    <cellStyle name="20% - Accent6 2 4 2" xfId="35986"/>
    <cellStyle name="20% - Accent6 2 4_consumption scenario A" xfId="37521"/>
    <cellStyle name="20% - Accent6 2 5" xfId="35625"/>
    <cellStyle name="20% - Accent6 2 5 2" xfId="36639"/>
    <cellStyle name="20% - Accent6 2 5 2 2" xfId="36640"/>
    <cellStyle name="20% - Accent6 2 5 2 2 2" xfId="40423"/>
    <cellStyle name="20% - Accent6 2 5 2 2 3" xfId="41964"/>
    <cellStyle name="20% - Accent6 2 5 2 3" xfId="38409"/>
    <cellStyle name="20% - Accent6 2 5 2 4" xfId="39705"/>
    <cellStyle name="20% - Accent6 2 5 2 5" xfId="41246"/>
    <cellStyle name="20% - Accent6 2 5 2_consumption scenario A" xfId="37771"/>
    <cellStyle name="20% - Accent6 2 5 3" xfId="36641"/>
    <cellStyle name="20% - Accent6 2 5 3 2" xfId="40174"/>
    <cellStyle name="20% - Accent6 2 5 3 3" xfId="41715"/>
    <cellStyle name="20% - Accent6 2 5 4" xfId="38159"/>
    <cellStyle name="20% - Accent6 2 5 5" xfId="39456"/>
    <cellStyle name="20% - Accent6 2 5 6" xfId="40997"/>
    <cellStyle name="20% - Accent6 2 5_AEO proration factors" xfId="36642"/>
    <cellStyle name="20% - Accent6 2 6" xfId="35686"/>
    <cellStyle name="20% - Accent6 2 6 2" xfId="36643"/>
    <cellStyle name="20% - Accent6 2 6 2 2" xfId="40416"/>
    <cellStyle name="20% - Accent6 2 6 2 3" xfId="41957"/>
    <cellStyle name="20% - Accent6 2 6 3" xfId="38402"/>
    <cellStyle name="20% - Accent6 2 6 4" xfId="39698"/>
    <cellStyle name="20% - Accent6 2 6 5" xfId="41239"/>
    <cellStyle name="20% - Accent6 2 6_consumption scenario A" xfId="37522"/>
    <cellStyle name="20% - Accent6 2 7" xfId="35825"/>
    <cellStyle name="20% - Accent6 2 7 2" xfId="39954"/>
    <cellStyle name="20% - Accent6 2 7 3" xfId="41495"/>
    <cellStyle name="20% - Accent6 2 8" xfId="37939"/>
    <cellStyle name="20% - Accent6 2 9" xfId="39236"/>
    <cellStyle name="20% - Accent6 2_AEO proration factors" xfId="36644"/>
    <cellStyle name="20% - Accent6 20" xfId="36645"/>
    <cellStyle name="20% - Accent6 20 2" xfId="38685"/>
    <cellStyle name="20% - Accent6 20 3" xfId="40699"/>
    <cellStyle name="20% - Accent6 20 4" xfId="42242"/>
    <cellStyle name="20% - Accent6 20_consumption scenario A" xfId="37772"/>
    <cellStyle name="20% - Accent6 21" xfId="36646"/>
    <cellStyle name="20% - Accent6 21 2" xfId="38700"/>
    <cellStyle name="20% - Accent6 21 3" xfId="40714"/>
    <cellStyle name="20% - Accent6 21 4" xfId="42257"/>
    <cellStyle name="20% - Accent6 21_consumption scenario A" xfId="37773"/>
    <cellStyle name="20% - Accent6 22" xfId="36647"/>
    <cellStyle name="20% - Accent6 22 2" xfId="38709"/>
    <cellStyle name="20% - Accent6 22 3" xfId="40723"/>
    <cellStyle name="20% - Accent6 22 4" xfId="42266"/>
    <cellStyle name="20% - Accent6 22_consumption scenario A" xfId="37774"/>
    <cellStyle name="20% - Accent6 23" xfId="36648"/>
    <cellStyle name="20% - Accent6 23 2" xfId="39939"/>
    <cellStyle name="20% - Accent6 23 3" xfId="41480"/>
    <cellStyle name="20% - Accent6 24" xfId="37924"/>
    <cellStyle name="20% - Accent6 25" xfId="5794"/>
    <cellStyle name="20% - Accent6 26" xfId="38716"/>
    <cellStyle name="20% - Accent6 27" xfId="5297"/>
    <cellStyle name="20% - Accent6 28" xfId="39221"/>
    <cellStyle name="20% - Accent6 29" xfId="40741"/>
    <cellStyle name="20% - Accent6 3" xfId="5815"/>
    <cellStyle name="20% - Accent6 3 2" xfId="5873"/>
    <cellStyle name="20% - Accent6 3 2 2" xfId="35774"/>
    <cellStyle name="20% - Accent6 3 2 2 2" xfId="36649"/>
    <cellStyle name="20% - Accent6 3 2 2 2 2" xfId="36650"/>
    <cellStyle name="20% - Accent6 3 2 2 2 2 2" xfId="40426"/>
    <cellStyle name="20% - Accent6 3 2 2 2 2 3" xfId="41967"/>
    <cellStyle name="20% - Accent6 3 2 2 2 3" xfId="38412"/>
    <cellStyle name="20% - Accent6 3 2 2 2 4" xfId="39708"/>
    <cellStyle name="20% - Accent6 3 2 2 2 5" xfId="41249"/>
    <cellStyle name="20% - Accent6 3 2 2 2_consumption scenario A" xfId="37775"/>
    <cellStyle name="20% - Accent6 3 2 2 3" xfId="36651"/>
    <cellStyle name="20% - Accent6 3 2 2 3 2" xfId="40179"/>
    <cellStyle name="20% - Accent6 3 2 2 3 3" xfId="41720"/>
    <cellStyle name="20% - Accent6 3 2 2 4" xfId="38164"/>
    <cellStyle name="20% - Accent6 3 2 2 5" xfId="39461"/>
    <cellStyle name="20% - Accent6 3 2 2 6" xfId="41002"/>
    <cellStyle name="20% - Accent6 3 2 2_AEO proration factors" xfId="36652"/>
    <cellStyle name="20% - Accent6 3 2 3" xfId="35902"/>
    <cellStyle name="20% - Accent6 3 2 3 2" xfId="36653"/>
    <cellStyle name="20% - Accent6 3 2 3 2 2" xfId="40425"/>
    <cellStyle name="20% - Accent6 3 2 3 2 3" xfId="41966"/>
    <cellStyle name="20% - Accent6 3 2 3 3" xfId="38411"/>
    <cellStyle name="20% - Accent6 3 2 3 4" xfId="39707"/>
    <cellStyle name="20% - Accent6 3 2 3 5" xfId="41248"/>
    <cellStyle name="20% - Accent6 3 2 3_consumption scenario A" xfId="37523"/>
    <cellStyle name="20% - Accent6 3 2 4" xfId="36654"/>
    <cellStyle name="20% - Accent6 3 2 4 2" xfId="40031"/>
    <cellStyle name="20% - Accent6 3 2 4 3" xfId="41572"/>
    <cellStyle name="20% - Accent6 3 2 5" xfId="38016"/>
    <cellStyle name="20% - Accent6 3 2 6" xfId="39313"/>
    <cellStyle name="20% - Accent6 3 2 7" xfId="40842"/>
    <cellStyle name="20% - Accent6 3 2_AEO proration factors" xfId="36655"/>
    <cellStyle name="20% - Accent6 3 3" xfId="5916"/>
    <cellStyle name="20% - Accent6 3 3 2" xfId="35998"/>
    <cellStyle name="20% - Accent6 3 3_consumption scenario A" xfId="37524"/>
    <cellStyle name="20% - Accent6 3 4" xfId="35641"/>
    <cellStyle name="20% - Accent6 3 4 2" xfId="36656"/>
    <cellStyle name="20% - Accent6 3 4 2 2" xfId="36657"/>
    <cellStyle name="20% - Accent6 3 4 2 2 2" xfId="40427"/>
    <cellStyle name="20% - Accent6 3 4 2 2 3" xfId="41968"/>
    <cellStyle name="20% - Accent6 3 4 2 3" xfId="38413"/>
    <cellStyle name="20% - Accent6 3 4 2 4" xfId="39709"/>
    <cellStyle name="20% - Accent6 3 4 2 5" xfId="41250"/>
    <cellStyle name="20% - Accent6 3 4 2_consumption scenario A" xfId="37776"/>
    <cellStyle name="20% - Accent6 3 4 3" xfId="36658"/>
    <cellStyle name="20% - Accent6 3 4 3 2" xfId="40178"/>
    <cellStyle name="20% - Accent6 3 4 3 3" xfId="41719"/>
    <cellStyle name="20% - Accent6 3 4 4" xfId="38163"/>
    <cellStyle name="20% - Accent6 3 4 5" xfId="39460"/>
    <cellStyle name="20% - Accent6 3 4 6" xfId="41001"/>
    <cellStyle name="20% - Accent6 3 4_AEO proration factors" xfId="36659"/>
    <cellStyle name="20% - Accent6 3 5" xfId="35701"/>
    <cellStyle name="20% - Accent6 3 5 2" xfId="36660"/>
    <cellStyle name="20% - Accent6 3 5 2 2" xfId="40424"/>
    <cellStyle name="20% - Accent6 3 5 2 3" xfId="41965"/>
    <cellStyle name="20% - Accent6 3 5 3" xfId="38410"/>
    <cellStyle name="20% - Accent6 3 5 4" xfId="39706"/>
    <cellStyle name="20% - Accent6 3 5 5" xfId="41247"/>
    <cellStyle name="20% - Accent6 3 5_consumption scenario A" xfId="37525"/>
    <cellStyle name="20% - Accent6 3 6" xfId="35841"/>
    <cellStyle name="20% - Accent6 3 6 2" xfId="39970"/>
    <cellStyle name="20% - Accent6 3 6 3" xfId="41511"/>
    <cellStyle name="20% - Accent6 3 7" xfId="37955"/>
    <cellStyle name="20% - Accent6 3 8" xfId="39252"/>
    <cellStyle name="20% - Accent6 3 9" xfId="40775"/>
    <cellStyle name="20% - Accent6 3_AEO proration factors" xfId="36661"/>
    <cellStyle name="20% - Accent6 4" xfId="5844"/>
    <cellStyle name="20% - Accent6 4 10" xfId="42268"/>
    <cellStyle name="20% - Accent6 4 2" xfId="5930"/>
    <cellStyle name="20% - Accent6 4 2 2" xfId="36010"/>
    <cellStyle name="20% - Accent6 4 2_consumption scenario A" xfId="37526"/>
    <cellStyle name="20% - Accent6 4 3" xfId="35715"/>
    <cellStyle name="20% - Accent6 4 3 2" xfId="36662"/>
    <cellStyle name="20% - Accent6 4 3 2 2" xfId="36663"/>
    <cellStyle name="20% - Accent6 4 3 2 2 2" xfId="40429"/>
    <cellStyle name="20% - Accent6 4 3 2 2 3" xfId="41970"/>
    <cellStyle name="20% - Accent6 4 3 2 3" xfId="38415"/>
    <cellStyle name="20% - Accent6 4 3 2 4" xfId="39711"/>
    <cellStyle name="20% - Accent6 4 3 2 5" xfId="41252"/>
    <cellStyle name="20% - Accent6 4 3 2_consumption scenario A" xfId="37777"/>
    <cellStyle name="20% - Accent6 4 3 3" xfId="36664"/>
    <cellStyle name="20% - Accent6 4 3 3 2" xfId="40180"/>
    <cellStyle name="20% - Accent6 4 3 3 3" xfId="41721"/>
    <cellStyle name="20% - Accent6 4 3 4" xfId="38165"/>
    <cellStyle name="20% - Accent6 4 3 5" xfId="39462"/>
    <cellStyle name="20% - Accent6 4 3 6" xfId="41003"/>
    <cellStyle name="20% - Accent6 4 3_AEO proration factors" xfId="36665"/>
    <cellStyle name="20% - Accent6 4 4" xfId="35871"/>
    <cellStyle name="20% - Accent6 4 4 2" xfId="36666"/>
    <cellStyle name="20% - Accent6 4 4 2 2" xfId="40428"/>
    <cellStyle name="20% - Accent6 4 4 2 3" xfId="41969"/>
    <cellStyle name="20% - Accent6 4 4 3" xfId="38414"/>
    <cellStyle name="20% - Accent6 4 4 4" xfId="39710"/>
    <cellStyle name="20% - Accent6 4 4 5" xfId="41251"/>
    <cellStyle name="20% - Accent6 4 4_consumption scenario A" xfId="37527"/>
    <cellStyle name="20% - Accent6 4 5" xfId="36667"/>
    <cellStyle name="20% - Accent6 4 5 2" xfId="40000"/>
    <cellStyle name="20% - Accent6 4 5 3" xfId="41541"/>
    <cellStyle name="20% - Accent6 4 6" xfId="37985"/>
    <cellStyle name="20% - Accent6 4 7" xfId="39282"/>
    <cellStyle name="20% - Accent6 4 8" xfId="40811"/>
    <cellStyle name="20% - Accent6 4 9" xfId="40744"/>
    <cellStyle name="20% - Accent6 4_AEO proration factors" xfId="36668"/>
    <cellStyle name="20% - Accent6 5" xfId="5944"/>
    <cellStyle name="20% - Accent6 5 10" xfId="42280"/>
    <cellStyle name="20% - Accent6 5 2" xfId="35729"/>
    <cellStyle name="20% - Accent6 5 2 2" xfId="36022"/>
    <cellStyle name="20% - Accent6 5 2_consumption scenario A" xfId="37528"/>
    <cellStyle name="20% - Accent6 5 3" xfId="35932"/>
    <cellStyle name="20% - Accent6 5 3 2" xfId="36669"/>
    <cellStyle name="20% - Accent6 5 3 2 2" xfId="36670"/>
    <cellStyle name="20% - Accent6 5 3 2 2 2" xfId="40431"/>
    <cellStyle name="20% - Accent6 5 3 2 2 3" xfId="41972"/>
    <cellStyle name="20% - Accent6 5 3 2 3" xfId="38417"/>
    <cellStyle name="20% - Accent6 5 3 2 4" xfId="39713"/>
    <cellStyle name="20% - Accent6 5 3 2 5" xfId="41254"/>
    <cellStyle name="20% - Accent6 5 3 2_consumption scenario A" xfId="37778"/>
    <cellStyle name="20% - Accent6 5 3 3" xfId="36671"/>
    <cellStyle name="20% - Accent6 5 3 3 2" xfId="40181"/>
    <cellStyle name="20% - Accent6 5 3 3 3" xfId="41722"/>
    <cellStyle name="20% - Accent6 5 3 4" xfId="38166"/>
    <cellStyle name="20% - Accent6 5 3 5" xfId="39463"/>
    <cellStyle name="20% - Accent6 5 3 6" xfId="41004"/>
    <cellStyle name="20% - Accent6 5 3_AEO proration factors" xfId="36672"/>
    <cellStyle name="20% - Accent6 5 4" xfId="36673"/>
    <cellStyle name="20% - Accent6 5 4 2" xfId="36674"/>
    <cellStyle name="20% - Accent6 5 4 2 2" xfId="40430"/>
    <cellStyle name="20% - Accent6 5 4 2 3" xfId="41971"/>
    <cellStyle name="20% - Accent6 5 4 3" xfId="38416"/>
    <cellStyle name="20% - Accent6 5 4 4" xfId="39712"/>
    <cellStyle name="20% - Accent6 5 4 5" xfId="41253"/>
    <cellStyle name="20% - Accent6 5 4_consumption scenario A" xfId="37779"/>
    <cellStyle name="20% - Accent6 5 5" xfId="36675"/>
    <cellStyle name="20% - Accent6 5 5 2" xfId="40062"/>
    <cellStyle name="20% - Accent6 5 5 3" xfId="41603"/>
    <cellStyle name="20% - Accent6 5 6" xfId="38047"/>
    <cellStyle name="20% - Accent6 5 7" xfId="39344"/>
    <cellStyle name="20% - Accent6 5 8" xfId="40877"/>
    <cellStyle name="20% - Accent6 5 9" xfId="40862"/>
    <cellStyle name="20% - Accent6 5_AEO proration factors" xfId="36676"/>
    <cellStyle name="20% - Accent6 6" xfId="5887"/>
    <cellStyle name="20% - Accent6 6 2" xfId="35743"/>
    <cellStyle name="20% - Accent6 6 3" xfId="36034"/>
    <cellStyle name="20% - Accent6 6_consumption scenario A" xfId="37529"/>
    <cellStyle name="20% - Accent6 7" xfId="35581"/>
    <cellStyle name="20% - Accent6 7 2" xfId="36046"/>
    <cellStyle name="20% - Accent6 7_consumption scenario A" xfId="37530"/>
    <cellStyle name="20% - Accent6 8" xfId="35611"/>
    <cellStyle name="20% - Accent6 8 2" xfId="36059"/>
    <cellStyle name="20% - Accent6 8_consumption scenario A" xfId="37531"/>
    <cellStyle name="20% - Accent6 9" xfId="35672"/>
    <cellStyle name="20% - Accent6 9 2" xfId="36072"/>
    <cellStyle name="20% - Accent6 9_consumption scenario A" xfId="37532"/>
    <cellStyle name="40% - Accent1" xfId="29" builtinId="31" hidden="1" customBuiltin="1"/>
    <cellStyle name="40% - Accent1" xfId="72" builtinId="31" customBuiltin="1"/>
    <cellStyle name="40% - Accent1 10" xfId="36075"/>
    <cellStyle name="40% - Accent1 11" xfId="36087"/>
    <cellStyle name="40% - Accent1 12" xfId="35957"/>
    <cellStyle name="40% - Accent1 13" xfId="35939"/>
    <cellStyle name="40% - Accent1 13 2" xfId="36677"/>
    <cellStyle name="40% - Accent1 13 2 2" xfId="36678"/>
    <cellStyle name="40% - Accent1 13 2 2 2" xfId="36679"/>
    <cellStyle name="40% - Accent1 13 2 2 2 2" xfId="40433"/>
    <cellStyle name="40% - Accent1 13 2 2 2 3" xfId="41974"/>
    <cellStyle name="40% - Accent1 13 2 2 3" xfId="38419"/>
    <cellStyle name="40% - Accent1 13 2 2 4" xfId="39715"/>
    <cellStyle name="40% - Accent1 13 2 2 5" xfId="41256"/>
    <cellStyle name="40% - Accent1 13 2 2_consumption scenario A" xfId="37780"/>
    <cellStyle name="40% - Accent1 13 2 3" xfId="36680"/>
    <cellStyle name="40% - Accent1 13 2 3 2" xfId="40182"/>
    <cellStyle name="40% - Accent1 13 2 3 3" xfId="41723"/>
    <cellStyle name="40% - Accent1 13 2 4" xfId="38167"/>
    <cellStyle name="40% - Accent1 13 2 5" xfId="39464"/>
    <cellStyle name="40% - Accent1 13 2 6" xfId="41005"/>
    <cellStyle name="40% - Accent1 13 2_AEO proration factors" xfId="36681"/>
    <cellStyle name="40% - Accent1 13 3" xfId="36682"/>
    <cellStyle name="40% - Accent1 13 3 2" xfId="36683"/>
    <cellStyle name="40% - Accent1 13 3 2 2" xfId="40432"/>
    <cellStyle name="40% - Accent1 13 3 2 3" xfId="41973"/>
    <cellStyle name="40% - Accent1 13 3 3" xfId="38418"/>
    <cellStyle name="40% - Accent1 13 3 4" xfId="39714"/>
    <cellStyle name="40% - Accent1 13 3 5" xfId="41255"/>
    <cellStyle name="40% - Accent1 13 3_consumption scenario A" xfId="37781"/>
    <cellStyle name="40% - Accent1 13 4" xfId="36684"/>
    <cellStyle name="40% - Accent1 13 4 2" xfId="40069"/>
    <cellStyle name="40% - Accent1 13 4 3" xfId="41610"/>
    <cellStyle name="40% - Accent1 13 5" xfId="38054"/>
    <cellStyle name="40% - Accent1 13 6" xfId="39351"/>
    <cellStyle name="40% - Accent1 13 7" xfId="40887"/>
    <cellStyle name="40% - Accent1 13_AEO proration factors" xfId="36685"/>
    <cellStyle name="40% - Accent1 14" xfId="36104"/>
    <cellStyle name="40% - Accent1 14 2" xfId="36686"/>
    <cellStyle name="40% - Accent1 14 2 2" xfId="36687"/>
    <cellStyle name="40% - Accent1 14 2 2 2" xfId="36688"/>
    <cellStyle name="40% - Accent1 14 2 2 2 2" xfId="40435"/>
    <cellStyle name="40% - Accent1 14 2 2 2 3" xfId="41976"/>
    <cellStyle name="40% - Accent1 14 2 2 3" xfId="38421"/>
    <cellStyle name="40% - Accent1 14 2 2 4" xfId="39717"/>
    <cellStyle name="40% - Accent1 14 2 2 5" xfId="41258"/>
    <cellStyle name="40% - Accent1 14 2 2_consumption scenario A" xfId="37782"/>
    <cellStyle name="40% - Accent1 14 2 3" xfId="36689"/>
    <cellStyle name="40% - Accent1 14 2 3 2" xfId="40183"/>
    <cellStyle name="40% - Accent1 14 2 3 3" xfId="41724"/>
    <cellStyle name="40% - Accent1 14 2 4" xfId="38168"/>
    <cellStyle name="40% - Accent1 14 2 5" xfId="39465"/>
    <cellStyle name="40% - Accent1 14 2 6" xfId="41006"/>
    <cellStyle name="40% - Accent1 14 2_AEO proration factors" xfId="36690"/>
    <cellStyle name="40% - Accent1 14 3" xfId="36691"/>
    <cellStyle name="40% - Accent1 14 3 2" xfId="36692"/>
    <cellStyle name="40% - Accent1 14 3 2 2" xfId="40434"/>
    <cellStyle name="40% - Accent1 14 3 2 3" xfId="41975"/>
    <cellStyle name="40% - Accent1 14 3 3" xfId="38420"/>
    <cellStyle name="40% - Accent1 14 3 4" xfId="39716"/>
    <cellStyle name="40% - Accent1 14 3 5" xfId="41257"/>
    <cellStyle name="40% - Accent1 14 3_consumption scenario A" xfId="37783"/>
    <cellStyle name="40% - Accent1 14 4" xfId="36693"/>
    <cellStyle name="40% - Accent1 14 4 2" xfId="40086"/>
    <cellStyle name="40% - Accent1 14 4 3" xfId="41627"/>
    <cellStyle name="40% - Accent1 14 5" xfId="38071"/>
    <cellStyle name="40% - Accent1 14 6" xfId="39368"/>
    <cellStyle name="40% - Accent1 14 7" xfId="40909"/>
    <cellStyle name="40% - Accent1 14_AEO proration factors" xfId="36694"/>
    <cellStyle name="40% - Accent1 15" xfId="35801"/>
    <cellStyle name="40% - Accent1 15 2" xfId="36695"/>
    <cellStyle name="40% - Accent1 15 2 2" xfId="36696"/>
    <cellStyle name="40% - Accent1 15 2 2 2" xfId="36697"/>
    <cellStyle name="40% - Accent1 15 2 2 2 2" xfId="40437"/>
    <cellStyle name="40% - Accent1 15 2 2 2 3" xfId="41978"/>
    <cellStyle name="40% - Accent1 15 2 2 3" xfId="38423"/>
    <cellStyle name="40% - Accent1 15 2 2 4" xfId="39719"/>
    <cellStyle name="40% - Accent1 15 2 2 5" xfId="41260"/>
    <cellStyle name="40% - Accent1 15 2 2_consumption scenario A" xfId="37784"/>
    <cellStyle name="40% - Accent1 15 2 3" xfId="36698"/>
    <cellStyle name="40% - Accent1 15 2 3 2" xfId="40184"/>
    <cellStyle name="40% - Accent1 15 2 3 3" xfId="41725"/>
    <cellStyle name="40% - Accent1 15 2 4" xfId="38169"/>
    <cellStyle name="40% - Accent1 15 2 5" xfId="39466"/>
    <cellStyle name="40% - Accent1 15 2 6" xfId="41007"/>
    <cellStyle name="40% - Accent1 15 2_AEO proration factors" xfId="36699"/>
    <cellStyle name="40% - Accent1 15 3" xfId="36700"/>
    <cellStyle name="40% - Accent1 15 3 2" xfId="36701"/>
    <cellStyle name="40% - Accent1 15 3 2 2" xfId="40436"/>
    <cellStyle name="40% - Accent1 15 3 2 3" xfId="41977"/>
    <cellStyle name="40% - Accent1 15 3 3" xfId="38422"/>
    <cellStyle name="40% - Accent1 15 3 4" xfId="39718"/>
    <cellStyle name="40% - Accent1 15 3 5" xfId="41259"/>
    <cellStyle name="40% - Accent1 15 3_consumption scenario A" xfId="37785"/>
    <cellStyle name="40% - Accent1 15 4" xfId="36702"/>
    <cellStyle name="40% - Accent1 15 4 2" xfId="40106"/>
    <cellStyle name="40% - Accent1 15 4 3" xfId="41647"/>
    <cellStyle name="40% - Accent1 15 5" xfId="38091"/>
    <cellStyle name="40% - Accent1 15 6" xfId="39388"/>
    <cellStyle name="40% - Accent1 15 7" xfId="40929"/>
    <cellStyle name="40% - Accent1 15_AEO proration factors" xfId="36703"/>
    <cellStyle name="40% - Accent1 16" xfId="36120"/>
    <cellStyle name="40% - Accent1 16 2" xfId="36704"/>
    <cellStyle name="40% - Accent1 16 2 2" xfId="40289"/>
    <cellStyle name="40% - Accent1 16 2 3" xfId="41830"/>
    <cellStyle name="40% - Accent1 16 3" xfId="38274"/>
    <cellStyle name="40% - Accent1 16 4" xfId="39571"/>
    <cellStyle name="40% - Accent1 16 5" xfId="41112"/>
    <cellStyle name="40% - Accent1 16_consumption scenario A" xfId="37533"/>
    <cellStyle name="40% - Accent1 17" xfId="36705"/>
    <cellStyle name="40% - Accent1 17 2" xfId="38634"/>
    <cellStyle name="40% - Accent1 17 3" xfId="40648"/>
    <cellStyle name="40% - Accent1 17 4" xfId="42189"/>
    <cellStyle name="40% - Accent1 17_consumption scenario A" xfId="37786"/>
    <cellStyle name="40% - Accent1 18" xfId="36706"/>
    <cellStyle name="40% - Accent1 18 2" xfId="38650"/>
    <cellStyle name="40% - Accent1 18 3" xfId="40664"/>
    <cellStyle name="40% - Accent1 18 4" xfId="42205"/>
    <cellStyle name="40% - Accent1 18_consumption scenario A" xfId="37787"/>
    <cellStyle name="40% - Accent1 19" xfId="36707"/>
    <cellStyle name="40% - Accent1 19 2" xfId="38657"/>
    <cellStyle name="40% - Accent1 19 3" xfId="40671"/>
    <cellStyle name="40% - Accent1 19 4" xfId="42212"/>
    <cellStyle name="40% - Accent1 19_consumption scenario A" xfId="37788"/>
    <cellStyle name="40% - Accent1 2" xfId="5820"/>
    <cellStyle name="40% - Accent1 2 10" xfId="40749"/>
    <cellStyle name="40% - Accent1 2 2" xfId="5849"/>
    <cellStyle name="40% - Accent1 2 2 2" xfId="35647"/>
    <cellStyle name="40% - Accent1 2 2 2 2" xfId="35908"/>
    <cellStyle name="40% - Accent1 2 2 2 2 2" xfId="36708"/>
    <cellStyle name="40% - Accent1 2 2 2 2 2 2" xfId="36709"/>
    <cellStyle name="40% - Accent1 2 2 2 2 2 2 2" xfId="40441"/>
    <cellStyle name="40% - Accent1 2 2 2 2 2 2 3" xfId="41982"/>
    <cellStyle name="40% - Accent1 2 2 2 2 2 3" xfId="38427"/>
    <cellStyle name="40% - Accent1 2 2 2 2 2 4" xfId="39723"/>
    <cellStyle name="40% - Accent1 2 2 2 2 2 5" xfId="41264"/>
    <cellStyle name="40% - Accent1 2 2 2 2 2_consumption scenario A" xfId="37789"/>
    <cellStyle name="40% - Accent1 2 2 2 2 3" xfId="36710"/>
    <cellStyle name="40% - Accent1 2 2 2 2 3 2" xfId="40187"/>
    <cellStyle name="40% - Accent1 2 2 2 2 3 3" xfId="41728"/>
    <cellStyle name="40% - Accent1 2 2 2 2 4" xfId="38172"/>
    <cellStyle name="40% - Accent1 2 2 2 2 5" xfId="39469"/>
    <cellStyle name="40% - Accent1 2 2 2 2 6" xfId="41010"/>
    <cellStyle name="40% - Accent1 2 2 2 2_AEO proration factors" xfId="36711"/>
    <cellStyle name="40% - Accent1 2 2 2 3" xfId="36712"/>
    <cellStyle name="40% - Accent1 2 2 2 3 2" xfId="36713"/>
    <cellStyle name="40% - Accent1 2 2 2 3 2 2" xfId="40440"/>
    <cellStyle name="40% - Accent1 2 2 2 3 2 3" xfId="41981"/>
    <cellStyle name="40% - Accent1 2 2 2 3 3" xfId="38426"/>
    <cellStyle name="40% - Accent1 2 2 2 3 4" xfId="39722"/>
    <cellStyle name="40% - Accent1 2 2 2 3 5" xfId="41263"/>
    <cellStyle name="40% - Accent1 2 2 2 3_consumption scenario A" xfId="37790"/>
    <cellStyle name="40% - Accent1 2 2 2 4" xfId="36714"/>
    <cellStyle name="40% - Accent1 2 2 2 4 2" xfId="40037"/>
    <cellStyle name="40% - Accent1 2 2 2 4 3" xfId="41578"/>
    <cellStyle name="40% - Accent1 2 2 2 5" xfId="38022"/>
    <cellStyle name="40% - Accent1 2 2 2 6" xfId="39319"/>
    <cellStyle name="40% - Accent1 2 2 2 7" xfId="40848"/>
    <cellStyle name="40% - Accent1 2 2 2_AEO proration factors" xfId="36715"/>
    <cellStyle name="40% - Accent1 2 2 3" xfId="35780"/>
    <cellStyle name="40% - Accent1 2 2 3 2" xfId="36716"/>
    <cellStyle name="40% - Accent1 2 2 3 2 2" xfId="36717"/>
    <cellStyle name="40% - Accent1 2 2 3 2 2 2" xfId="40442"/>
    <cellStyle name="40% - Accent1 2 2 3 2 2 3" xfId="41983"/>
    <cellStyle name="40% - Accent1 2 2 3 2 3" xfId="38428"/>
    <cellStyle name="40% - Accent1 2 2 3 2 4" xfId="39724"/>
    <cellStyle name="40% - Accent1 2 2 3 2 5" xfId="41265"/>
    <cellStyle name="40% - Accent1 2 2 3 2_consumption scenario A" xfId="37791"/>
    <cellStyle name="40% - Accent1 2 2 3 3" xfId="36718"/>
    <cellStyle name="40% - Accent1 2 2 3 3 2" xfId="40186"/>
    <cellStyle name="40% - Accent1 2 2 3 3 3" xfId="41727"/>
    <cellStyle name="40% - Accent1 2 2 3 4" xfId="38171"/>
    <cellStyle name="40% - Accent1 2 2 3 5" xfId="39468"/>
    <cellStyle name="40% - Accent1 2 2 3 6" xfId="41009"/>
    <cellStyle name="40% - Accent1 2 2 3_AEO proration factors" xfId="36719"/>
    <cellStyle name="40% - Accent1 2 2 4" xfId="35847"/>
    <cellStyle name="40% - Accent1 2 2 4 2" xfId="36720"/>
    <cellStyle name="40% - Accent1 2 2 4 2 2" xfId="40439"/>
    <cellStyle name="40% - Accent1 2 2 4 2 3" xfId="41980"/>
    <cellStyle name="40% - Accent1 2 2 4 3" xfId="38425"/>
    <cellStyle name="40% - Accent1 2 2 4 4" xfId="39721"/>
    <cellStyle name="40% - Accent1 2 2 4 5" xfId="41262"/>
    <cellStyle name="40% - Accent1 2 2 4_consumption scenario A" xfId="37534"/>
    <cellStyle name="40% - Accent1 2 2 5" xfId="36721"/>
    <cellStyle name="40% - Accent1 2 2 5 2" xfId="39976"/>
    <cellStyle name="40% - Accent1 2 2 5 3" xfId="41517"/>
    <cellStyle name="40% - Accent1 2 2 6" xfId="37961"/>
    <cellStyle name="40% - Accent1 2 2 7" xfId="39258"/>
    <cellStyle name="40% - Accent1 2 2 8" xfId="40784"/>
    <cellStyle name="40% - Accent1 2 2_AEO proration factors" xfId="36722"/>
    <cellStyle name="40% - Accent1 2 3" xfId="5892"/>
    <cellStyle name="40% - Accent1 2 3 2" xfId="35749"/>
    <cellStyle name="40% - Accent1 2 3 2 2" xfId="36723"/>
    <cellStyle name="40% - Accent1 2 3 2 2 2" xfId="36724"/>
    <cellStyle name="40% - Accent1 2 3 2 2 2 2" xfId="40444"/>
    <cellStyle name="40% - Accent1 2 3 2 2 2 3" xfId="41985"/>
    <cellStyle name="40% - Accent1 2 3 2 2 3" xfId="38430"/>
    <cellStyle name="40% - Accent1 2 3 2 2 4" xfId="39726"/>
    <cellStyle name="40% - Accent1 2 3 2 2 5" xfId="41267"/>
    <cellStyle name="40% - Accent1 2 3 2 2_consumption scenario A" xfId="37792"/>
    <cellStyle name="40% - Accent1 2 3 2 3" xfId="36725"/>
    <cellStyle name="40% - Accent1 2 3 2 3 2" xfId="40188"/>
    <cellStyle name="40% - Accent1 2 3 2 3 3" xfId="41729"/>
    <cellStyle name="40% - Accent1 2 3 2 4" xfId="38173"/>
    <cellStyle name="40% - Accent1 2 3 2 5" xfId="39470"/>
    <cellStyle name="40% - Accent1 2 3 2 6" xfId="41011"/>
    <cellStyle name="40% - Accent1 2 3 2_AEO proration factors" xfId="36726"/>
    <cellStyle name="40% - Accent1 2 3 3" xfId="35877"/>
    <cellStyle name="40% - Accent1 2 3 3 2" xfId="36727"/>
    <cellStyle name="40% - Accent1 2 3 3 2 2" xfId="40443"/>
    <cellStyle name="40% - Accent1 2 3 3 2 3" xfId="41984"/>
    <cellStyle name="40% - Accent1 2 3 3 3" xfId="38429"/>
    <cellStyle name="40% - Accent1 2 3 3 4" xfId="39725"/>
    <cellStyle name="40% - Accent1 2 3 3 5" xfId="41266"/>
    <cellStyle name="40% - Accent1 2 3 3_consumption scenario A" xfId="37535"/>
    <cellStyle name="40% - Accent1 2 3 4" xfId="36728"/>
    <cellStyle name="40% - Accent1 2 3 4 2" xfId="40006"/>
    <cellStyle name="40% - Accent1 2 3 4 3" xfId="41547"/>
    <cellStyle name="40% - Accent1 2 3 5" xfId="37991"/>
    <cellStyle name="40% - Accent1 2 3 6" xfId="39288"/>
    <cellStyle name="40% - Accent1 2 3 7" xfId="40817"/>
    <cellStyle name="40% - Accent1 2 3_AEO proration factors" xfId="36729"/>
    <cellStyle name="40% - Accent1 2 4" xfId="35586"/>
    <cellStyle name="40% - Accent1 2 4 2" xfId="35977"/>
    <cellStyle name="40% - Accent1 2 4_consumption scenario A" xfId="37536"/>
    <cellStyle name="40% - Accent1 2 5" xfId="35616"/>
    <cellStyle name="40% - Accent1 2 5 2" xfId="36730"/>
    <cellStyle name="40% - Accent1 2 5 2 2" xfId="36731"/>
    <cellStyle name="40% - Accent1 2 5 2 2 2" xfId="40445"/>
    <cellStyle name="40% - Accent1 2 5 2 2 3" xfId="41986"/>
    <cellStyle name="40% - Accent1 2 5 2 3" xfId="38431"/>
    <cellStyle name="40% - Accent1 2 5 2 4" xfId="39727"/>
    <cellStyle name="40% - Accent1 2 5 2 5" xfId="41268"/>
    <cellStyle name="40% - Accent1 2 5 2_consumption scenario A" xfId="37793"/>
    <cellStyle name="40% - Accent1 2 5 3" xfId="36732"/>
    <cellStyle name="40% - Accent1 2 5 3 2" xfId="40185"/>
    <cellStyle name="40% - Accent1 2 5 3 3" xfId="41726"/>
    <cellStyle name="40% - Accent1 2 5 4" xfId="38170"/>
    <cellStyle name="40% - Accent1 2 5 5" xfId="39467"/>
    <cellStyle name="40% - Accent1 2 5 6" xfId="41008"/>
    <cellStyle name="40% - Accent1 2 5_AEO proration factors" xfId="36733"/>
    <cellStyle name="40% - Accent1 2 6" xfId="35677"/>
    <cellStyle name="40% - Accent1 2 6 2" xfId="36734"/>
    <cellStyle name="40% - Accent1 2 6 2 2" xfId="40438"/>
    <cellStyle name="40% - Accent1 2 6 2 3" xfId="41979"/>
    <cellStyle name="40% - Accent1 2 6 3" xfId="38424"/>
    <cellStyle name="40% - Accent1 2 6 4" xfId="39720"/>
    <cellStyle name="40% - Accent1 2 6 5" xfId="41261"/>
    <cellStyle name="40% - Accent1 2 6_consumption scenario A" xfId="37537"/>
    <cellStyle name="40% - Accent1 2 7" xfId="35816"/>
    <cellStyle name="40% - Accent1 2 7 2" xfId="39945"/>
    <cellStyle name="40% - Accent1 2 7 3" xfId="41486"/>
    <cellStyle name="40% - Accent1 2 8" xfId="37930"/>
    <cellStyle name="40% - Accent1 2 9" xfId="39227"/>
    <cellStyle name="40% - Accent1 2_AEO proration factors" xfId="36735"/>
    <cellStyle name="40% - Accent1 20" xfId="36736"/>
    <cellStyle name="40% - Accent1 20 2" xfId="38669"/>
    <cellStyle name="40% - Accent1 20 3" xfId="40683"/>
    <cellStyle name="40% - Accent1 20 4" xfId="42225"/>
    <cellStyle name="40% - Accent1 20_consumption scenario A" xfId="37794"/>
    <cellStyle name="40% - Accent1 21" xfId="36737"/>
    <cellStyle name="40% - Accent1 21 2" xfId="38688"/>
    <cellStyle name="40% - Accent1 21 3" xfId="40702"/>
    <cellStyle name="40% - Accent1 21 4" xfId="42245"/>
    <cellStyle name="40% - Accent1 21_consumption scenario A" xfId="37795"/>
    <cellStyle name="40% - Accent1 22" xfId="36738"/>
    <cellStyle name="40% - Accent1 22 2" xfId="38696"/>
    <cellStyle name="40% - Accent1 22 3" xfId="40710"/>
    <cellStyle name="40% - Accent1 22 4" xfId="42253"/>
    <cellStyle name="40% - Accent1 22_consumption scenario A" xfId="37796"/>
    <cellStyle name="40% - Accent1 23" xfId="36739"/>
    <cellStyle name="40% - Accent1 23 2" xfId="39930"/>
    <cellStyle name="40% - Accent1 23 3" xfId="41471"/>
    <cellStyle name="40% - Accent1 24" xfId="37915"/>
    <cellStyle name="40% - Accent1 25" xfId="5795"/>
    <cellStyle name="40% - Accent1 26" xfId="38717"/>
    <cellStyle name="40% - Accent1 27" xfId="5298"/>
    <cellStyle name="40% - Accent1 28" xfId="39212"/>
    <cellStyle name="40% - Accent1 29" xfId="40732"/>
    <cellStyle name="40% - Accent1 3" xfId="5806"/>
    <cellStyle name="40% - Accent1 3 2" xfId="5864"/>
    <cellStyle name="40% - Accent1 3 2 2" xfId="35765"/>
    <cellStyle name="40% - Accent1 3 2 2 2" xfId="36740"/>
    <cellStyle name="40% - Accent1 3 2 2 2 2" xfId="36741"/>
    <cellStyle name="40% - Accent1 3 2 2 2 2 2" xfId="40448"/>
    <cellStyle name="40% - Accent1 3 2 2 2 2 3" xfId="41989"/>
    <cellStyle name="40% - Accent1 3 2 2 2 3" xfId="38434"/>
    <cellStyle name="40% - Accent1 3 2 2 2 4" xfId="39730"/>
    <cellStyle name="40% - Accent1 3 2 2 2 5" xfId="41271"/>
    <cellStyle name="40% - Accent1 3 2 2 2_consumption scenario A" xfId="37797"/>
    <cellStyle name="40% - Accent1 3 2 2 3" xfId="36742"/>
    <cellStyle name="40% - Accent1 3 2 2 3 2" xfId="40190"/>
    <cellStyle name="40% - Accent1 3 2 2 3 3" xfId="41731"/>
    <cellStyle name="40% - Accent1 3 2 2 4" xfId="38175"/>
    <cellStyle name="40% - Accent1 3 2 2 5" xfId="39472"/>
    <cellStyle name="40% - Accent1 3 2 2 6" xfId="41013"/>
    <cellStyle name="40% - Accent1 3 2 2_AEO proration factors" xfId="36743"/>
    <cellStyle name="40% - Accent1 3 2 3" xfId="35893"/>
    <cellStyle name="40% - Accent1 3 2 3 2" xfId="36744"/>
    <cellStyle name="40% - Accent1 3 2 3 2 2" xfId="40447"/>
    <cellStyle name="40% - Accent1 3 2 3 2 3" xfId="41988"/>
    <cellStyle name="40% - Accent1 3 2 3 3" xfId="38433"/>
    <cellStyle name="40% - Accent1 3 2 3 4" xfId="39729"/>
    <cellStyle name="40% - Accent1 3 2 3 5" xfId="41270"/>
    <cellStyle name="40% - Accent1 3 2 3_consumption scenario A" xfId="37538"/>
    <cellStyle name="40% - Accent1 3 2 4" xfId="36745"/>
    <cellStyle name="40% - Accent1 3 2 4 2" xfId="40022"/>
    <cellStyle name="40% - Accent1 3 2 4 3" xfId="41563"/>
    <cellStyle name="40% - Accent1 3 2 5" xfId="38007"/>
    <cellStyle name="40% - Accent1 3 2 6" xfId="39304"/>
    <cellStyle name="40% - Accent1 3 2 7" xfId="40833"/>
    <cellStyle name="40% - Accent1 3 2_AEO proration factors" xfId="36746"/>
    <cellStyle name="40% - Accent1 3 3" xfId="5907"/>
    <cellStyle name="40% - Accent1 3 3 2" xfId="35989"/>
    <cellStyle name="40% - Accent1 3 3_consumption scenario A" xfId="37539"/>
    <cellStyle name="40% - Accent1 3 4" xfId="35632"/>
    <cellStyle name="40% - Accent1 3 4 2" xfId="36747"/>
    <cellStyle name="40% - Accent1 3 4 2 2" xfId="36748"/>
    <cellStyle name="40% - Accent1 3 4 2 2 2" xfId="40449"/>
    <cellStyle name="40% - Accent1 3 4 2 2 3" xfId="41990"/>
    <cellStyle name="40% - Accent1 3 4 2 3" xfId="38435"/>
    <cellStyle name="40% - Accent1 3 4 2 4" xfId="39731"/>
    <cellStyle name="40% - Accent1 3 4 2 5" xfId="41272"/>
    <cellStyle name="40% - Accent1 3 4 2_consumption scenario A" xfId="37798"/>
    <cellStyle name="40% - Accent1 3 4 3" xfId="36749"/>
    <cellStyle name="40% - Accent1 3 4 3 2" xfId="40189"/>
    <cellStyle name="40% - Accent1 3 4 3 3" xfId="41730"/>
    <cellStyle name="40% - Accent1 3 4 4" xfId="38174"/>
    <cellStyle name="40% - Accent1 3 4 5" xfId="39471"/>
    <cellStyle name="40% - Accent1 3 4 6" xfId="41012"/>
    <cellStyle name="40% - Accent1 3 4_AEO proration factors" xfId="36750"/>
    <cellStyle name="40% - Accent1 3 5" xfId="35692"/>
    <cellStyle name="40% - Accent1 3 5 2" xfId="36751"/>
    <cellStyle name="40% - Accent1 3 5 2 2" xfId="40446"/>
    <cellStyle name="40% - Accent1 3 5 2 3" xfId="41987"/>
    <cellStyle name="40% - Accent1 3 5 3" xfId="38432"/>
    <cellStyle name="40% - Accent1 3 5 4" xfId="39728"/>
    <cellStyle name="40% - Accent1 3 5 5" xfId="41269"/>
    <cellStyle name="40% - Accent1 3 5_consumption scenario A" xfId="37540"/>
    <cellStyle name="40% - Accent1 3 6" xfId="35832"/>
    <cellStyle name="40% - Accent1 3 6 2" xfId="39961"/>
    <cellStyle name="40% - Accent1 3 6 3" xfId="41502"/>
    <cellStyle name="40% - Accent1 3 7" xfId="37946"/>
    <cellStyle name="40% - Accent1 3 8" xfId="39243"/>
    <cellStyle name="40% - Accent1 3 9" xfId="40766"/>
    <cellStyle name="40% - Accent1 3_AEO proration factors" xfId="36752"/>
    <cellStyle name="40% - Accent1 4" xfId="5835"/>
    <cellStyle name="40% - Accent1 4 10" xfId="42272"/>
    <cellStyle name="40% - Accent1 4 2" xfId="5921"/>
    <cellStyle name="40% - Accent1 4 2 2" xfId="36001"/>
    <cellStyle name="40% - Accent1 4 2_consumption scenario A" xfId="37541"/>
    <cellStyle name="40% - Accent1 4 3" xfId="35706"/>
    <cellStyle name="40% - Accent1 4 3 2" xfId="36753"/>
    <cellStyle name="40% - Accent1 4 3 2 2" xfId="36754"/>
    <cellStyle name="40% - Accent1 4 3 2 2 2" xfId="40451"/>
    <cellStyle name="40% - Accent1 4 3 2 2 3" xfId="41992"/>
    <cellStyle name="40% - Accent1 4 3 2 3" xfId="38437"/>
    <cellStyle name="40% - Accent1 4 3 2 4" xfId="39733"/>
    <cellStyle name="40% - Accent1 4 3 2 5" xfId="41274"/>
    <cellStyle name="40% - Accent1 4 3 2_consumption scenario A" xfId="37799"/>
    <cellStyle name="40% - Accent1 4 3 3" xfId="36755"/>
    <cellStyle name="40% - Accent1 4 3 3 2" xfId="40191"/>
    <cellStyle name="40% - Accent1 4 3 3 3" xfId="41732"/>
    <cellStyle name="40% - Accent1 4 3 4" xfId="38176"/>
    <cellStyle name="40% - Accent1 4 3 5" xfId="39473"/>
    <cellStyle name="40% - Accent1 4 3 6" xfId="41014"/>
    <cellStyle name="40% - Accent1 4 3_AEO proration factors" xfId="36756"/>
    <cellStyle name="40% - Accent1 4 4" xfId="35862"/>
    <cellStyle name="40% - Accent1 4 4 2" xfId="36757"/>
    <cellStyle name="40% - Accent1 4 4 2 2" xfId="40450"/>
    <cellStyle name="40% - Accent1 4 4 2 3" xfId="41991"/>
    <cellStyle name="40% - Accent1 4 4 3" xfId="38436"/>
    <cellStyle name="40% - Accent1 4 4 4" xfId="39732"/>
    <cellStyle name="40% - Accent1 4 4 5" xfId="41273"/>
    <cellStyle name="40% - Accent1 4 4_consumption scenario A" xfId="37542"/>
    <cellStyle name="40% - Accent1 4 5" xfId="36758"/>
    <cellStyle name="40% - Accent1 4 5 2" xfId="39991"/>
    <cellStyle name="40% - Accent1 4 5 3" xfId="41532"/>
    <cellStyle name="40% - Accent1 4 6" xfId="37976"/>
    <cellStyle name="40% - Accent1 4 7" xfId="39273"/>
    <cellStyle name="40% - Accent1 4 8" xfId="40802"/>
    <cellStyle name="40% - Accent1 4 9" xfId="40796"/>
    <cellStyle name="40% - Accent1 4_AEO proration factors" xfId="36759"/>
    <cellStyle name="40% - Accent1 5" xfId="5935"/>
    <cellStyle name="40% - Accent1 5 10" xfId="42274"/>
    <cellStyle name="40% - Accent1 5 2" xfId="35720"/>
    <cellStyle name="40% - Accent1 5 2 2" xfId="36013"/>
    <cellStyle name="40% - Accent1 5 2_consumption scenario A" xfId="37543"/>
    <cellStyle name="40% - Accent1 5 3" xfId="35923"/>
    <cellStyle name="40% - Accent1 5 3 2" xfId="36760"/>
    <cellStyle name="40% - Accent1 5 3 2 2" xfId="36761"/>
    <cellStyle name="40% - Accent1 5 3 2 2 2" xfId="40453"/>
    <cellStyle name="40% - Accent1 5 3 2 2 3" xfId="41994"/>
    <cellStyle name="40% - Accent1 5 3 2 3" xfId="38439"/>
    <cellStyle name="40% - Accent1 5 3 2 4" xfId="39735"/>
    <cellStyle name="40% - Accent1 5 3 2 5" xfId="41276"/>
    <cellStyle name="40% - Accent1 5 3 2_consumption scenario A" xfId="37800"/>
    <cellStyle name="40% - Accent1 5 3 3" xfId="36762"/>
    <cellStyle name="40% - Accent1 5 3 3 2" xfId="40192"/>
    <cellStyle name="40% - Accent1 5 3 3 3" xfId="41733"/>
    <cellStyle name="40% - Accent1 5 3 4" xfId="38177"/>
    <cellStyle name="40% - Accent1 5 3 5" xfId="39474"/>
    <cellStyle name="40% - Accent1 5 3 6" xfId="41015"/>
    <cellStyle name="40% - Accent1 5 3_AEO proration factors" xfId="36763"/>
    <cellStyle name="40% - Accent1 5 4" xfId="36764"/>
    <cellStyle name="40% - Accent1 5 4 2" xfId="36765"/>
    <cellStyle name="40% - Accent1 5 4 2 2" xfId="40452"/>
    <cellStyle name="40% - Accent1 5 4 2 3" xfId="41993"/>
    <cellStyle name="40% - Accent1 5 4 3" xfId="38438"/>
    <cellStyle name="40% - Accent1 5 4 4" xfId="39734"/>
    <cellStyle name="40% - Accent1 5 4 5" xfId="41275"/>
    <cellStyle name="40% - Accent1 5 4_consumption scenario A" xfId="37801"/>
    <cellStyle name="40% - Accent1 5 5" xfId="36766"/>
    <cellStyle name="40% - Accent1 5 5 2" xfId="40053"/>
    <cellStyle name="40% - Accent1 5 5 3" xfId="41594"/>
    <cellStyle name="40% - Accent1 5 6" xfId="38038"/>
    <cellStyle name="40% - Accent1 5 7" xfId="39335"/>
    <cellStyle name="40% - Accent1 5 8" xfId="40868"/>
    <cellStyle name="40% - Accent1 5 9" xfId="40900"/>
    <cellStyle name="40% - Accent1 5_AEO proration factors" xfId="36767"/>
    <cellStyle name="40% - Accent1 6" xfId="5878"/>
    <cellStyle name="40% - Accent1 6 2" xfId="35734"/>
    <cellStyle name="40% - Accent1 6 3" xfId="36025"/>
    <cellStyle name="40% - Accent1 6_consumption scenario A" xfId="37544"/>
    <cellStyle name="40% - Accent1 7" xfId="35572"/>
    <cellStyle name="40% - Accent1 7 2" xfId="36037"/>
    <cellStyle name="40% - Accent1 7_consumption scenario A" xfId="37545"/>
    <cellStyle name="40% - Accent1 8" xfId="35602"/>
    <cellStyle name="40% - Accent1 8 2" xfId="36050"/>
    <cellStyle name="40% - Accent1 8_consumption scenario A" xfId="37546"/>
    <cellStyle name="40% - Accent1 9" xfId="35663"/>
    <cellStyle name="40% - Accent1 9 2" xfId="36063"/>
    <cellStyle name="40% - Accent1 9_consumption scenario A" xfId="37547"/>
    <cellStyle name="40% - Accent2" xfId="33" builtinId="35" hidden="1" customBuiltin="1"/>
    <cellStyle name="40% - Accent2" xfId="73" builtinId="35" customBuiltin="1"/>
    <cellStyle name="40% - Accent2 10" xfId="36077"/>
    <cellStyle name="40% - Accent2 11" xfId="36089"/>
    <cellStyle name="40% - Accent2 12" xfId="35958"/>
    <cellStyle name="40% - Accent2 13" xfId="35941"/>
    <cellStyle name="40% - Accent2 13 2" xfId="36768"/>
    <cellStyle name="40% - Accent2 13 2 2" xfId="36769"/>
    <cellStyle name="40% - Accent2 13 2 2 2" xfId="36770"/>
    <cellStyle name="40% - Accent2 13 2 2 2 2" xfId="40455"/>
    <cellStyle name="40% - Accent2 13 2 2 2 3" xfId="41996"/>
    <cellStyle name="40% - Accent2 13 2 2 3" xfId="38441"/>
    <cellStyle name="40% - Accent2 13 2 2 4" xfId="39737"/>
    <cellStyle name="40% - Accent2 13 2 2 5" xfId="41278"/>
    <cellStyle name="40% - Accent2 13 2 2_consumption scenario A" xfId="37802"/>
    <cellStyle name="40% - Accent2 13 2 3" xfId="36771"/>
    <cellStyle name="40% - Accent2 13 2 3 2" xfId="40193"/>
    <cellStyle name="40% - Accent2 13 2 3 3" xfId="41734"/>
    <cellStyle name="40% - Accent2 13 2 4" xfId="38178"/>
    <cellStyle name="40% - Accent2 13 2 5" xfId="39475"/>
    <cellStyle name="40% - Accent2 13 2 6" xfId="41016"/>
    <cellStyle name="40% - Accent2 13 2_AEO proration factors" xfId="36772"/>
    <cellStyle name="40% - Accent2 13 3" xfId="36773"/>
    <cellStyle name="40% - Accent2 13 3 2" xfId="36774"/>
    <cellStyle name="40% - Accent2 13 3 2 2" xfId="40454"/>
    <cellStyle name="40% - Accent2 13 3 2 3" xfId="41995"/>
    <cellStyle name="40% - Accent2 13 3 3" xfId="38440"/>
    <cellStyle name="40% - Accent2 13 3 4" xfId="39736"/>
    <cellStyle name="40% - Accent2 13 3 5" xfId="41277"/>
    <cellStyle name="40% - Accent2 13 3_consumption scenario A" xfId="37803"/>
    <cellStyle name="40% - Accent2 13 4" xfId="36775"/>
    <cellStyle name="40% - Accent2 13 4 2" xfId="40071"/>
    <cellStyle name="40% - Accent2 13 4 3" xfId="41612"/>
    <cellStyle name="40% - Accent2 13 5" xfId="38056"/>
    <cellStyle name="40% - Accent2 13 6" xfId="39353"/>
    <cellStyle name="40% - Accent2 13 7" xfId="40889"/>
    <cellStyle name="40% - Accent2 13_AEO proration factors" xfId="36776"/>
    <cellStyle name="40% - Accent2 14" xfId="36106"/>
    <cellStyle name="40% - Accent2 14 2" xfId="36777"/>
    <cellStyle name="40% - Accent2 14 2 2" xfId="36778"/>
    <cellStyle name="40% - Accent2 14 2 2 2" xfId="36779"/>
    <cellStyle name="40% - Accent2 14 2 2 2 2" xfId="40457"/>
    <cellStyle name="40% - Accent2 14 2 2 2 3" xfId="41998"/>
    <cellStyle name="40% - Accent2 14 2 2 3" xfId="38443"/>
    <cellStyle name="40% - Accent2 14 2 2 4" xfId="39739"/>
    <cellStyle name="40% - Accent2 14 2 2 5" xfId="41280"/>
    <cellStyle name="40% - Accent2 14 2 2_consumption scenario A" xfId="37804"/>
    <cellStyle name="40% - Accent2 14 2 3" xfId="36780"/>
    <cellStyle name="40% - Accent2 14 2 3 2" xfId="40194"/>
    <cellStyle name="40% - Accent2 14 2 3 3" xfId="41735"/>
    <cellStyle name="40% - Accent2 14 2 4" xfId="38179"/>
    <cellStyle name="40% - Accent2 14 2 5" xfId="39476"/>
    <cellStyle name="40% - Accent2 14 2 6" xfId="41017"/>
    <cellStyle name="40% - Accent2 14 2_AEO proration factors" xfId="36781"/>
    <cellStyle name="40% - Accent2 14 3" xfId="36782"/>
    <cellStyle name="40% - Accent2 14 3 2" xfId="36783"/>
    <cellStyle name="40% - Accent2 14 3 2 2" xfId="40456"/>
    <cellStyle name="40% - Accent2 14 3 2 3" xfId="41997"/>
    <cellStyle name="40% - Accent2 14 3 3" xfId="38442"/>
    <cellStyle name="40% - Accent2 14 3 4" xfId="39738"/>
    <cellStyle name="40% - Accent2 14 3 5" xfId="41279"/>
    <cellStyle name="40% - Accent2 14 3_consumption scenario A" xfId="37805"/>
    <cellStyle name="40% - Accent2 14 4" xfId="36784"/>
    <cellStyle name="40% - Accent2 14 4 2" xfId="40088"/>
    <cellStyle name="40% - Accent2 14 4 3" xfId="41629"/>
    <cellStyle name="40% - Accent2 14 5" xfId="38073"/>
    <cellStyle name="40% - Accent2 14 6" xfId="39370"/>
    <cellStyle name="40% - Accent2 14 7" xfId="40911"/>
    <cellStyle name="40% - Accent2 14_AEO proration factors" xfId="36785"/>
    <cellStyle name="40% - Accent2 15" xfId="35803"/>
    <cellStyle name="40% - Accent2 15 2" xfId="36786"/>
    <cellStyle name="40% - Accent2 15 2 2" xfId="36787"/>
    <cellStyle name="40% - Accent2 15 2 2 2" xfId="36788"/>
    <cellStyle name="40% - Accent2 15 2 2 2 2" xfId="40459"/>
    <cellStyle name="40% - Accent2 15 2 2 2 3" xfId="42000"/>
    <cellStyle name="40% - Accent2 15 2 2 3" xfId="38445"/>
    <cellStyle name="40% - Accent2 15 2 2 4" xfId="39741"/>
    <cellStyle name="40% - Accent2 15 2 2 5" xfId="41282"/>
    <cellStyle name="40% - Accent2 15 2 2_consumption scenario A" xfId="37806"/>
    <cellStyle name="40% - Accent2 15 2 3" xfId="36789"/>
    <cellStyle name="40% - Accent2 15 2 3 2" xfId="40195"/>
    <cellStyle name="40% - Accent2 15 2 3 3" xfId="41736"/>
    <cellStyle name="40% - Accent2 15 2 4" xfId="38180"/>
    <cellStyle name="40% - Accent2 15 2 5" xfId="39477"/>
    <cellStyle name="40% - Accent2 15 2 6" xfId="41018"/>
    <cellStyle name="40% - Accent2 15 2_AEO proration factors" xfId="36790"/>
    <cellStyle name="40% - Accent2 15 3" xfId="36791"/>
    <cellStyle name="40% - Accent2 15 3 2" xfId="36792"/>
    <cellStyle name="40% - Accent2 15 3 2 2" xfId="40458"/>
    <cellStyle name="40% - Accent2 15 3 2 3" xfId="41999"/>
    <cellStyle name="40% - Accent2 15 3 3" xfId="38444"/>
    <cellStyle name="40% - Accent2 15 3 4" xfId="39740"/>
    <cellStyle name="40% - Accent2 15 3 5" xfId="41281"/>
    <cellStyle name="40% - Accent2 15 3_consumption scenario A" xfId="37807"/>
    <cellStyle name="40% - Accent2 15 4" xfId="36793"/>
    <cellStyle name="40% - Accent2 15 4 2" xfId="40107"/>
    <cellStyle name="40% - Accent2 15 4 3" xfId="41648"/>
    <cellStyle name="40% - Accent2 15 5" xfId="38092"/>
    <cellStyle name="40% - Accent2 15 6" xfId="39389"/>
    <cellStyle name="40% - Accent2 15 7" xfId="40930"/>
    <cellStyle name="40% - Accent2 15_AEO proration factors" xfId="36794"/>
    <cellStyle name="40% - Accent2 16" xfId="36122"/>
    <cellStyle name="40% - Accent2 16 2" xfId="36795"/>
    <cellStyle name="40% - Accent2 16 2 2" xfId="40291"/>
    <cellStyle name="40% - Accent2 16 2 3" xfId="41832"/>
    <cellStyle name="40% - Accent2 16 3" xfId="38276"/>
    <cellStyle name="40% - Accent2 16 4" xfId="39573"/>
    <cellStyle name="40% - Accent2 16 5" xfId="41114"/>
    <cellStyle name="40% - Accent2 16_consumption scenario A" xfId="37548"/>
    <cellStyle name="40% - Accent2 17" xfId="36796"/>
    <cellStyle name="40% - Accent2 17 2" xfId="38636"/>
    <cellStyle name="40% - Accent2 17 3" xfId="40650"/>
    <cellStyle name="40% - Accent2 17 4" xfId="42191"/>
    <cellStyle name="40% - Accent2 17_consumption scenario A" xfId="37808"/>
    <cellStyle name="40% - Accent2 18" xfId="36797"/>
    <cellStyle name="40% - Accent2 18 2" xfId="38653"/>
    <cellStyle name="40% - Accent2 18 3" xfId="40667"/>
    <cellStyle name="40% - Accent2 18 4" xfId="42208"/>
    <cellStyle name="40% - Accent2 18_consumption scenario A" xfId="37809"/>
    <cellStyle name="40% - Accent2 19" xfId="36798"/>
    <cellStyle name="40% - Accent2 19 2" xfId="38666"/>
    <cellStyle name="40% - Accent2 19 3" xfId="40680"/>
    <cellStyle name="40% - Accent2 19 4" xfId="42222"/>
    <cellStyle name="40% - Accent2 19_consumption scenario A" xfId="37810"/>
    <cellStyle name="40% - Accent2 2" xfId="5822"/>
    <cellStyle name="40% - Accent2 2 10" xfId="40751"/>
    <cellStyle name="40% - Accent2 2 2" xfId="5851"/>
    <cellStyle name="40% - Accent2 2 2 2" xfId="35649"/>
    <cellStyle name="40% - Accent2 2 2 2 2" xfId="35910"/>
    <cellStyle name="40% - Accent2 2 2 2 2 2" xfId="36799"/>
    <cellStyle name="40% - Accent2 2 2 2 2 2 2" xfId="36800"/>
    <cellStyle name="40% - Accent2 2 2 2 2 2 2 2" xfId="40463"/>
    <cellStyle name="40% - Accent2 2 2 2 2 2 2 3" xfId="42004"/>
    <cellStyle name="40% - Accent2 2 2 2 2 2 3" xfId="38449"/>
    <cellStyle name="40% - Accent2 2 2 2 2 2 4" xfId="39745"/>
    <cellStyle name="40% - Accent2 2 2 2 2 2 5" xfId="41286"/>
    <cellStyle name="40% - Accent2 2 2 2 2 2_consumption scenario A" xfId="37811"/>
    <cellStyle name="40% - Accent2 2 2 2 2 3" xfId="36801"/>
    <cellStyle name="40% - Accent2 2 2 2 2 3 2" xfId="40198"/>
    <cellStyle name="40% - Accent2 2 2 2 2 3 3" xfId="41739"/>
    <cellStyle name="40% - Accent2 2 2 2 2 4" xfId="38183"/>
    <cellStyle name="40% - Accent2 2 2 2 2 5" xfId="39480"/>
    <cellStyle name="40% - Accent2 2 2 2 2 6" xfId="41021"/>
    <cellStyle name="40% - Accent2 2 2 2 2_AEO proration factors" xfId="36802"/>
    <cellStyle name="40% - Accent2 2 2 2 3" xfId="36803"/>
    <cellStyle name="40% - Accent2 2 2 2 3 2" xfId="36804"/>
    <cellStyle name="40% - Accent2 2 2 2 3 2 2" xfId="40462"/>
    <cellStyle name="40% - Accent2 2 2 2 3 2 3" xfId="42003"/>
    <cellStyle name="40% - Accent2 2 2 2 3 3" xfId="38448"/>
    <cellStyle name="40% - Accent2 2 2 2 3 4" xfId="39744"/>
    <cellStyle name="40% - Accent2 2 2 2 3 5" xfId="41285"/>
    <cellStyle name="40% - Accent2 2 2 2 3_consumption scenario A" xfId="37812"/>
    <cellStyle name="40% - Accent2 2 2 2 4" xfId="36805"/>
    <cellStyle name="40% - Accent2 2 2 2 4 2" xfId="40039"/>
    <cellStyle name="40% - Accent2 2 2 2 4 3" xfId="41580"/>
    <cellStyle name="40% - Accent2 2 2 2 5" xfId="38024"/>
    <cellStyle name="40% - Accent2 2 2 2 6" xfId="39321"/>
    <cellStyle name="40% - Accent2 2 2 2 7" xfId="40850"/>
    <cellStyle name="40% - Accent2 2 2 2_AEO proration factors" xfId="36806"/>
    <cellStyle name="40% - Accent2 2 2 3" xfId="35782"/>
    <cellStyle name="40% - Accent2 2 2 3 2" xfId="36807"/>
    <cellStyle name="40% - Accent2 2 2 3 2 2" xfId="36808"/>
    <cellStyle name="40% - Accent2 2 2 3 2 2 2" xfId="40464"/>
    <cellStyle name="40% - Accent2 2 2 3 2 2 3" xfId="42005"/>
    <cellStyle name="40% - Accent2 2 2 3 2 3" xfId="38450"/>
    <cellStyle name="40% - Accent2 2 2 3 2 4" xfId="39746"/>
    <cellStyle name="40% - Accent2 2 2 3 2 5" xfId="41287"/>
    <cellStyle name="40% - Accent2 2 2 3 2_consumption scenario A" xfId="37813"/>
    <cellStyle name="40% - Accent2 2 2 3 3" xfId="36809"/>
    <cellStyle name="40% - Accent2 2 2 3 3 2" xfId="40197"/>
    <cellStyle name="40% - Accent2 2 2 3 3 3" xfId="41738"/>
    <cellStyle name="40% - Accent2 2 2 3 4" xfId="38182"/>
    <cellStyle name="40% - Accent2 2 2 3 5" xfId="39479"/>
    <cellStyle name="40% - Accent2 2 2 3 6" xfId="41020"/>
    <cellStyle name="40% - Accent2 2 2 3_AEO proration factors" xfId="36810"/>
    <cellStyle name="40% - Accent2 2 2 4" xfId="35849"/>
    <cellStyle name="40% - Accent2 2 2 4 2" xfId="36811"/>
    <cellStyle name="40% - Accent2 2 2 4 2 2" xfId="40461"/>
    <cellStyle name="40% - Accent2 2 2 4 2 3" xfId="42002"/>
    <cellStyle name="40% - Accent2 2 2 4 3" xfId="38447"/>
    <cellStyle name="40% - Accent2 2 2 4 4" xfId="39743"/>
    <cellStyle name="40% - Accent2 2 2 4 5" xfId="41284"/>
    <cellStyle name="40% - Accent2 2 2 4_consumption scenario A" xfId="37549"/>
    <cellStyle name="40% - Accent2 2 2 5" xfId="36812"/>
    <cellStyle name="40% - Accent2 2 2 5 2" xfId="39978"/>
    <cellStyle name="40% - Accent2 2 2 5 3" xfId="41519"/>
    <cellStyle name="40% - Accent2 2 2 6" xfId="37963"/>
    <cellStyle name="40% - Accent2 2 2 7" xfId="39260"/>
    <cellStyle name="40% - Accent2 2 2 8" xfId="40786"/>
    <cellStyle name="40% - Accent2 2 2_AEO proration factors" xfId="36813"/>
    <cellStyle name="40% - Accent2 2 3" xfId="5894"/>
    <cellStyle name="40% - Accent2 2 3 2" xfId="35751"/>
    <cellStyle name="40% - Accent2 2 3 2 2" xfId="36814"/>
    <cellStyle name="40% - Accent2 2 3 2 2 2" xfId="36815"/>
    <cellStyle name="40% - Accent2 2 3 2 2 2 2" xfId="40466"/>
    <cellStyle name="40% - Accent2 2 3 2 2 2 3" xfId="42007"/>
    <cellStyle name="40% - Accent2 2 3 2 2 3" xfId="38452"/>
    <cellStyle name="40% - Accent2 2 3 2 2 4" xfId="39748"/>
    <cellStyle name="40% - Accent2 2 3 2 2 5" xfId="41289"/>
    <cellStyle name="40% - Accent2 2 3 2 2_consumption scenario A" xfId="37814"/>
    <cellStyle name="40% - Accent2 2 3 2 3" xfId="36816"/>
    <cellStyle name="40% - Accent2 2 3 2 3 2" xfId="40199"/>
    <cellStyle name="40% - Accent2 2 3 2 3 3" xfId="41740"/>
    <cellStyle name="40% - Accent2 2 3 2 4" xfId="38184"/>
    <cellStyle name="40% - Accent2 2 3 2 5" xfId="39481"/>
    <cellStyle name="40% - Accent2 2 3 2 6" xfId="41022"/>
    <cellStyle name="40% - Accent2 2 3 2_AEO proration factors" xfId="36817"/>
    <cellStyle name="40% - Accent2 2 3 3" xfId="35879"/>
    <cellStyle name="40% - Accent2 2 3 3 2" xfId="36818"/>
    <cellStyle name="40% - Accent2 2 3 3 2 2" xfId="40465"/>
    <cellStyle name="40% - Accent2 2 3 3 2 3" xfId="42006"/>
    <cellStyle name="40% - Accent2 2 3 3 3" xfId="38451"/>
    <cellStyle name="40% - Accent2 2 3 3 4" xfId="39747"/>
    <cellStyle name="40% - Accent2 2 3 3 5" xfId="41288"/>
    <cellStyle name="40% - Accent2 2 3 3_consumption scenario A" xfId="37550"/>
    <cellStyle name="40% - Accent2 2 3 4" xfId="36819"/>
    <cellStyle name="40% - Accent2 2 3 4 2" xfId="40008"/>
    <cellStyle name="40% - Accent2 2 3 4 3" xfId="41549"/>
    <cellStyle name="40% - Accent2 2 3 5" xfId="37993"/>
    <cellStyle name="40% - Accent2 2 3 6" xfId="39290"/>
    <cellStyle name="40% - Accent2 2 3 7" xfId="40819"/>
    <cellStyle name="40% - Accent2 2 3_AEO proration factors" xfId="36820"/>
    <cellStyle name="40% - Accent2 2 4" xfId="35588"/>
    <cellStyle name="40% - Accent2 2 4 2" xfId="35979"/>
    <cellStyle name="40% - Accent2 2 4_consumption scenario A" xfId="37551"/>
    <cellStyle name="40% - Accent2 2 5" xfId="35618"/>
    <cellStyle name="40% - Accent2 2 5 2" xfId="36821"/>
    <cellStyle name="40% - Accent2 2 5 2 2" xfId="36822"/>
    <cellStyle name="40% - Accent2 2 5 2 2 2" xfId="40467"/>
    <cellStyle name="40% - Accent2 2 5 2 2 3" xfId="42008"/>
    <cellStyle name="40% - Accent2 2 5 2 3" xfId="38453"/>
    <cellStyle name="40% - Accent2 2 5 2 4" xfId="39749"/>
    <cellStyle name="40% - Accent2 2 5 2 5" xfId="41290"/>
    <cellStyle name="40% - Accent2 2 5 2_consumption scenario A" xfId="37815"/>
    <cellStyle name="40% - Accent2 2 5 3" xfId="36823"/>
    <cellStyle name="40% - Accent2 2 5 3 2" xfId="40196"/>
    <cellStyle name="40% - Accent2 2 5 3 3" xfId="41737"/>
    <cellStyle name="40% - Accent2 2 5 4" xfId="38181"/>
    <cellStyle name="40% - Accent2 2 5 5" xfId="39478"/>
    <cellStyle name="40% - Accent2 2 5 6" xfId="41019"/>
    <cellStyle name="40% - Accent2 2 5_AEO proration factors" xfId="36824"/>
    <cellStyle name="40% - Accent2 2 6" xfId="35679"/>
    <cellStyle name="40% - Accent2 2 6 2" xfId="36825"/>
    <cellStyle name="40% - Accent2 2 6 2 2" xfId="40460"/>
    <cellStyle name="40% - Accent2 2 6 2 3" xfId="42001"/>
    <cellStyle name="40% - Accent2 2 6 3" xfId="38446"/>
    <cellStyle name="40% - Accent2 2 6 4" xfId="39742"/>
    <cellStyle name="40% - Accent2 2 6 5" xfId="41283"/>
    <cellStyle name="40% - Accent2 2 6_consumption scenario A" xfId="37552"/>
    <cellStyle name="40% - Accent2 2 7" xfId="35818"/>
    <cellStyle name="40% - Accent2 2 7 2" xfId="39947"/>
    <cellStyle name="40% - Accent2 2 7 3" xfId="41488"/>
    <cellStyle name="40% - Accent2 2 8" xfId="37932"/>
    <cellStyle name="40% - Accent2 2 9" xfId="39229"/>
    <cellStyle name="40% - Accent2 2_AEO proration factors" xfId="36826"/>
    <cellStyle name="40% - Accent2 20" xfId="36827"/>
    <cellStyle name="40% - Accent2 20 2" xfId="38678"/>
    <cellStyle name="40% - Accent2 20 3" xfId="40692"/>
    <cellStyle name="40% - Accent2 20 4" xfId="42234"/>
    <cellStyle name="40% - Accent2 20_consumption scenario A" xfId="37816"/>
    <cellStyle name="40% - Accent2 21" xfId="36828"/>
    <cellStyle name="40% - Accent2 21 2" xfId="38691"/>
    <cellStyle name="40% - Accent2 21 3" xfId="40705"/>
    <cellStyle name="40% - Accent2 21 4" xfId="42248"/>
    <cellStyle name="40% - Accent2 21_consumption scenario A" xfId="37817"/>
    <cellStyle name="40% - Accent2 22" xfId="36829"/>
    <cellStyle name="40% - Accent2 22 2" xfId="38702"/>
    <cellStyle name="40% - Accent2 22 3" xfId="40716"/>
    <cellStyle name="40% - Accent2 22 4" xfId="42259"/>
    <cellStyle name="40% - Accent2 22_consumption scenario A" xfId="37818"/>
    <cellStyle name="40% - Accent2 23" xfId="36830"/>
    <cellStyle name="40% - Accent2 23 2" xfId="39932"/>
    <cellStyle name="40% - Accent2 23 3" xfId="41473"/>
    <cellStyle name="40% - Accent2 24" xfId="37917"/>
    <cellStyle name="40% - Accent2 25" xfId="5796"/>
    <cellStyle name="40% - Accent2 26" xfId="38718"/>
    <cellStyle name="40% - Accent2 27" xfId="5299"/>
    <cellStyle name="40% - Accent2 28" xfId="39214"/>
    <cellStyle name="40% - Accent2 29" xfId="40734"/>
    <cellStyle name="40% - Accent2 3" xfId="5808"/>
    <cellStyle name="40% - Accent2 3 2" xfId="5866"/>
    <cellStyle name="40% - Accent2 3 2 2" xfId="35767"/>
    <cellStyle name="40% - Accent2 3 2 2 2" xfId="36831"/>
    <cellStyle name="40% - Accent2 3 2 2 2 2" xfId="36832"/>
    <cellStyle name="40% - Accent2 3 2 2 2 2 2" xfId="40470"/>
    <cellStyle name="40% - Accent2 3 2 2 2 2 3" xfId="42011"/>
    <cellStyle name="40% - Accent2 3 2 2 2 3" xfId="38456"/>
    <cellStyle name="40% - Accent2 3 2 2 2 4" xfId="39752"/>
    <cellStyle name="40% - Accent2 3 2 2 2 5" xfId="41293"/>
    <cellStyle name="40% - Accent2 3 2 2 2_consumption scenario A" xfId="37819"/>
    <cellStyle name="40% - Accent2 3 2 2 3" xfId="36833"/>
    <cellStyle name="40% - Accent2 3 2 2 3 2" xfId="40201"/>
    <cellStyle name="40% - Accent2 3 2 2 3 3" xfId="41742"/>
    <cellStyle name="40% - Accent2 3 2 2 4" xfId="38186"/>
    <cellStyle name="40% - Accent2 3 2 2 5" xfId="39483"/>
    <cellStyle name="40% - Accent2 3 2 2 6" xfId="41024"/>
    <cellStyle name="40% - Accent2 3 2 2_AEO proration factors" xfId="36834"/>
    <cellStyle name="40% - Accent2 3 2 3" xfId="35895"/>
    <cellStyle name="40% - Accent2 3 2 3 2" xfId="36835"/>
    <cellStyle name="40% - Accent2 3 2 3 2 2" xfId="40469"/>
    <cellStyle name="40% - Accent2 3 2 3 2 3" xfId="42010"/>
    <cellStyle name="40% - Accent2 3 2 3 3" xfId="38455"/>
    <cellStyle name="40% - Accent2 3 2 3 4" xfId="39751"/>
    <cellStyle name="40% - Accent2 3 2 3 5" xfId="41292"/>
    <cellStyle name="40% - Accent2 3 2 3_consumption scenario A" xfId="37553"/>
    <cellStyle name="40% - Accent2 3 2 4" xfId="36836"/>
    <cellStyle name="40% - Accent2 3 2 4 2" xfId="40024"/>
    <cellStyle name="40% - Accent2 3 2 4 3" xfId="41565"/>
    <cellStyle name="40% - Accent2 3 2 5" xfId="38009"/>
    <cellStyle name="40% - Accent2 3 2 6" xfId="39306"/>
    <cellStyle name="40% - Accent2 3 2 7" xfId="40835"/>
    <cellStyle name="40% - Accent2 3 2_AEO proration factors" xfId="36837"/>
    <cellStyle name="40% - Accent2 3 3" xfId="5909"/>
    <cellStyle name="40% - Accent2 3 3 2" xfId="35991"/>
    <cellStyle name="40% - Accent2 3 3_consumption scenario A" xfId="37554"/>
    <cellStyle name="40% - Accent2 3 4" xfId="35634"/>
    <cellStyle name="40% - Accent2 3 4 2" xfId="36838"/>
    <cellStyle name="40% - Accent2 3 4 2 2" xfId="36839"/>
    <cellStyle name="40% - Accent2 3 4 2 2 2" xfId="40471"/>
    <cellStyle name="40% - Accent2 3 4 2 2 3" xfId="42012"/>
    <cellStyle name="40% - Accent2 3 4 2 3" xfId="38457"/>
    <cellStyle name="40% - Accent2 3 4 2 4" xfId="39753"/>
    <cellStyle name="40% - Accent2 3 4 2 5" xfId="41294"/>
    <cellStyle name="40% - Accent2 3 4 2_consumption scenario A" xfId="37820"/>
    <cellStyle name="40% - Accent2 3 4 3" xfId="36840"/>
    <cellStyle name="40% - Accent2 3 4 3 2" xfId="40200"/>
    <cellStyle name="40% - Accent2 3 4 3 3" xfId="41741"/>
    <cellStyle name="40% - Accent2 3 4 4" xfId="38185"/>
    <cellStyle name="40% - Accent2 3 4 5" xfId="39482"/>
    <cellStyle name="40% - Accent2 3 4 6" xfId="41023"/>
    <cellStyle name="40% - Accent2 3 4_AEO proration factors" xfId="36841"/>
    <cellStyle name="40% - Accent2 3 5" xfId="35694"/>
    <cellStyle name="40% - Accent2 3 5 2" xfId="36842"/>
    <cellStyle name="40% - Accent2 3 5 2 2" xfId="40468"/>
    <cellStyle name="40% - Accent2 3 5 2 3" xfId="42009"/>
    <cellStyle name="40% - Accent2 3 5 3" xfId="38454"/>
    <cellStyle name="40% - Accent2 3 5 4" xfId="39750"/>
    <cellStyle name="40% - Accent2 3 5 5" xfId="41291"/>
    <cellStyle name="40% - Accent2 3 5_consumption scenario A" xfId="37555"/>
    <cellStyle name="40% - Accent2 3 6" xfId="35834"/>
    <cellStyle name="40% - Accent2 3 6 2" xfId="39963"/>
    <cellStyle name="40% - Accent2 3 6 3" xfId="41504"/>
    <cellStyle name="40% - Accent2 3 7" xfId="37948"/>
    <cellStyle name="40% - Accent2 3 8" xfId="39245"/>
    <cellStyle name="40% - Accent2 3 9" xfId="40768"/>
    <cellStyle name="40% - Accent2 3_AEO proration factors" xfId="36843"/>
    <cellStyle name="40% - Accent2 4" xfId="5837"/>
    <cellStyle name="40% - Accent2 4 10" xfId="42283"/>
    <cellStyle name="40% - Accent2 4 2" xfId="5923"/>
    <cellStyle name="40% - Accent2 4 2 2" xfId="36003"/>
    <cellStyle name="40% - Accent2 4 2_consumption scenario A" xfId="37556"/>
    <cellStyle name="40% - Accent2 4 3" xfId="35708"/>
    <cellStyle name="40% - Accent2 4 3 2" xfId="36844"/>
    <cellStyle name="40% - Accent2 4 3 2 2" xfId="36845"/>
    <cellStyle name="40% - Accent2 4 3 2 2 2" xfId="40473"/>
    <cellStyle name="40% - Accent2 4 3 2 2 3" xfId="42014"/>
    <cellStyle name="40% - Accent2 4 3 2 3" xfId="38459"/>
    <cellStyle name="40% - Accent2 4 3 2 4" xfId="39755"/>
    <cellStyle name="40% - Accent2 4 3 2 5" xfId="41296"/>
    <cellStyle name="40% - Accent2 4 3 2_consumption scenario A" xfId="37821"/>
    <cellStyle name="40% - Accent2 4 3 3" xfId="36846"/>
    <cellStyle name="40% - Accent2 4 3 3 2" xfId="40202"/>
    <cellStyle name="40% - Accent2 4 3 3 3" xfId="41743"/>
    <cellStyle name="40% - Accent2 4 3 4" xfId="38187"/>
    <cellStyle name="40% - Accent2 4 3 5" xfId="39484"/>
    <cellStyle name="40% - Accent2 4 3 6" xfId="41025"/>
    <cellStyle name="40% - Accent2 4 3_AEO proration factors" xfId="36847"/>
    <cellStyle name="40% - Accent2 4 4" xfId="35864"/>
    <cellStyle name="40% - Accent2 4 4 2" xfId="36848"/>
    <cellStyle name="40% - Accent2 4 4 2 2" xfId="40472"/>
    <cellStyle name="40% - Accent2 4 4 2 3" xfId="42013"/>
    <cellStyle name="40% - Accent2 4 4 3" xfId="38458"/>
    <cellStyle name="40% - Accent2 4 4 4" xfId="39754"/>
    <cellStyle name="40% - Accent2 4 4 5" xfId="41295"/>
    <cellStyle name="40% - Accent2 4 4_consumption scenario A" xfId="37557"/>
    <cellStyle name="40% - Accent2 4 5" xfId="36849"/>
    <cellStyle name="40% - Accent2 4 5 2" xfId="39993"/>
    <cellStyle name="40% - Accent2 4 5 3" xfId="41534"/>
    <cellStyle name="40% - Accent2 4 6" xfId="37978"/>
    <cellStyle name="40% - Accent2 4 7" xfId="39275"/>
    <cellStyle name="40% - Accent2 4 8" xfId="40804"/>
    <cellStyle name="40% - Accent2 4 9" xfId="40798"/>
    <cellStyle name="40% - Accent2 4_AEO proration factors" xfId="36850"/>
    <cellStyle name="40% - Accent2 5" xfId="5937"/>
    <cellStyle name="40% - Accent2 5 10" xfId="42278"/>
    <cellStyle name="40% - Accent2 5 2" xfId="35722"/>
    <cellStyle name="40% - Accent2 5 2 2" xfId="36015"/>
    <cellStyle name="40% - Accent2 5 2_consumption scenario A" xfId="37558"/>
    <cellStyle name="40% - Accent2 5 3" xfId="35925"/>
    <cellStyle name="40% - Accent2 5 3 2" xfId="36851"/>
    <cellStyle name="40% - Accent2 5 3 2 2" xfId="36852"/>
    <cellStyle name="40% - Accent2 5 3 2 2 2" xfId="40475"/>
    <cellStyle name="40% - Accent2 5 3 2 2 3" xfId="42016"/>
    <cellStyle name="40% - Accent2 5 3 2 3" xfId="38461"/>
    <cellStyle name="40% - Accent2 5 3 2 4" xfId="39757"/>
    <cellStyle name="40% - Accent2 5 3 2 5" xfId="41298"/>
    <cellStyle name="40% - Accent2 5 3 2_consumption scenario A" xfId="37822"/>
    <cellStyle name="40% - Accent2 5 3 3" xfId="36853"/>
    <cellStyle name="40% - Accent2 5 3 3 2" xfId="40203"/>
    <cellStyle name="40% - Accent2 5 3 3 3" xfId="41744"/>
    <cellStyle name="40% - Accent2 5 3 4" xfId="38188"/>
    <cellStyle name="40% - Accent2 5 3 5" xfId="39485"/>
    <cellStyle name="40% - Accent2 5 3 6" xfId="41026"/>
    <cellStyle name="40% - Accent2 5 3_AEO proration factors" xfId="36854"/>
    <cellStyle name="40% - Accent2 5 4" xfId="36855"/>
    <cellStyle name="40% - Accent2 5 4 2" xfId="36856"/>
    <cellStyle name="40% - Accent2 5 4 2 2" xfId="40474"/>
    <cellStyle name="40% - Accent2 5 4 2 3" xfId="42015"/>
    <cellStyle name="40% - Accent2 5 4 3" xfId="38460"/>
    <cellStyle name="40% - Accent2 5 4 4" xfId="39756"/>
    <cellStyle name="40% - Accent2 5 4 5" xfId="41297"/>
    <cellStyle name="40% - Accent2 5 4_consumption scenario A" xfId="37823"/>
    <cellStyle name="40% - Accent2 5 5" xfId="36857"/>
    <cellStyle name="40% - Accent2 5 5 2" xfId="40055"/>
    <cellStyle name="40% - Accent2 5 5 3" xfId="41596"/>
    <cellStyle name="40% - Accent2 5 6" xfId="38040"/>
    <cellStyle name="40% - Accent2 5 7" xfId="39337"/>
    <cellStyle name="40% - Accent2 5 8" xfId="40870"/>
    <cellStyle name="40% - Accent2 5 9" xfId="40898"/>
    <cellStyle name="40% - Accent2 5_AEO proration factors" xfId="36858"/>
    <cellStyle name="40% - Accent2 6" xfId="5880"/>
    <cellStyle name="40% - Accent2 6 2" xfId="35736"/>
    <cellStyle name="40% - Accent2 6 3" xfId="36027"/>
    <cellStyle name="40% - Accent2 6_consumption scenario A" xfId="37559"/>
    <cellStyle name="40% - Accent2 7" xfId="35574"/>
    <cellStyle name="40% - Accent2 7 2" xfId="36039"/>
    <cellStyle name="40% - Accent2 7_consumption scenario A" xfId="37560"/>
    <cellStyle name="40% - Accent2 8" xfId="35604"/>
    <cellStyle name="40% - Accent2 8 2" xfId="36052"/>
    <cellStyle name="40% - Accent2 8_consumption scenario A" xfId="37561"/>
    <cellStyle name="40% - Accent2 9" xfId="35665"/>
    <cellStyle name="40% - Accent2 9 2" xfId="36065"/>
    <cellStyle name="40% - Accent2 9_consumption scenario A" xfId="37562"/>
    <cellStyle name="40% - Accent3" xfId="36" builtinId="39" hidden="1" customBuiltin="1"/>
    <cellStyle name="40% - Accent3" xfId="74" builtinId="39" customBuiltin="1"/>
    <cellStyle name="40% - Accent3 10" xfId="36079"/>
    <cellStyle name="40% - Accent3 11" xfId="36091"/>
    <cellStyle name="40% - Accent3 12" xfId="35959"/>
    <cellStyle name="40% - Accent3 13" xfId="35943"/>
    <cellStyle name="40% - Accent3 13 2" xfId="36859"/>
    <cellStyle name="40% - Accent3 13 2 2" xfId="36860"/>
    <cellStyle name="40% - Accent3 13 2 2 2" xfId="36861"/>
    <cellStyle name="40% - Accent3 13 2 2 2 2" xfId="40477"/>
    <cellStyle name="40% - Accent3 13 2 2 2 3" xfId="42018"/>
    <cellStyle name="40% - Accent3 13 2 2 3" xfId="38463"/>
    <cellStyle name="40% - Accent3 13 2 2 4" xfId="39759"/>
    <cellStyle name="40% - Accent3 13 2 2 5" xfId="41300"/>
    <cellStyle name="40% - Accent3 13 2 2_consumption scenario A" xfId="37824"/>
    <cellStyle name="40% - Accent3 13 2 3" xfId="36862"/>
    <cellStyle name="40% - Accent3 13 2 3 2" xfId="40204"/>
    <cellStyle name="40% - Accent3 13 2 3 3" xfId="41745"/>
    <cellStyle name="40% - Accent3 13 2 4" xfId="38189"/>
    <cellStyle name="40% - Accent3 13 2 5" xfId="39486"/>
    <cellStyle name="40% - Accent3 13 2 6" xfId="41027"/>
    <cellStyle name="40% - Accent3 13 2_AEO proration factors" xfId="36863"/>
    <cellStyle name="40% - Accent3 13 3" xfId="36864"/>
    <cellStyle name="40% - Accent3 13 3 2" xfId="36865"/>
    <cellStyle name="40% - Accent3 13 3 2 2" xfId="40476"/>
    <cellStyle name="40% - Accent3 13 3 2 3" xfId="42017"/>
    <cellStyle name="40% - Accent3 13 3 3" xfId="38462"/>
    <cellStyle name="40% - Accent3 13 3 4" xfId="39758"/>
    <cellStyle name="40% - Accent3 13 3 5" xfId="41299"/>
    <cellStyle name="40% - Accent3 13 3_consumption scenario A" xfId="37825"/>
    <cellStyle name="40% - Accent3 13 4" xfId="36866"/>
    <cellStyle name="40% - Accent3 13 4 2" xfId="40073"/>
    <cellStyle name="40% - Accent3 13 4 3" xfId="41614"/>
    <cellStyle name="40% - Accent3 13 5" xfId="38058"/>
    <cellStyle name="40% - Accent3 13 6" xfId="39355"/>
    <cellStyle name="40% - Accent3 13 7" xfId="40891"/>
    <cellStyle name="40% - Accent3 13_AEO proration factors" xfId="36867"/>
    <cellStyle name="40% - Accent3 14" xfId="36108"/>
    <cellStyle name="40% - Accent3 14 2" xfId="36868"/>
    <cellStyle name="40% - Accent3 14 2 2" xfId="36869"/>
    <cellStyle name="40% - Accent3 14 2 2 2" xfId="36870"/>
    <cellStyle name="40% - Accent3 14 2 2 2 2" xfId="40479"/>
    <cellStyle name="40% - Accent3 14 2 2 2 3" xfId="42020"/>
    <cellStyle name="40% - Accent3 14 2 2 3" xfId="38465"/>
    <cellStyle name="40% - Accent3 14 2 2 4" xfId="39761"/>
    <cellStyle name="40% - Accent3 14 2 2 5" xfId="41302"/>
    <cellStyle name="40% - Accent3 14 2 2_consumption scenario A" xfId="37826"/>
    <cellStyle name="40% - Accent3 14 2 3" xfId="36871"/>
    <cellStyle name="40% - Accent3 14 2 3 2" xfId="40205"/>
    <cellStyle name="40% - Accent3 14 2 3 3" xfId="41746"/>
    <cellStyle name="40% - Accent3 14 2 4" xfId="38190"/>
    <cellStyle name="40% - Accent3 14 2 5" xfId="39487"/>
    <cellStyle name="40% - Accent3 14 2 6" xfId="41028"/>
    <cellStyle name="40% - Accent3 14 2_AEO proration factors" xfId="36872"/>
    <cellStyle name="40% - Accent3 14 3" xfId="36873"/>
    <cellStyle name="40% - Accent3 14 3 2" xfId="36874"/>
    <cellStyle name="40% - Accent3 14 3 2 2" xfId="40478"/>
    <cellStyle name="40% - Accent3 14 3 2 3" xfId="42019"/>
    <cellStyle name="40% - Accent3 14 3 3" xfId="38464"/>
    <cellStyle name="40% - Accent3 14 3 4" xfId="39760"/>
    <cellStyle name="40% - Accent3 14 3 5" xfId="41301"/>
    <cellStyle name="40% - Accent3 14 3_consumption scenario A" xfId="37827"/>
    <cellStyle name="40% - Accent3 14 4" xfId="36875"/>
    <cellStyle name="40% - Accent3 14 4 2" xfId="40090"/>
    <cellStyle name="40% - Accent3 14 4 3" xfId="41631"/>
    <cellStyle name="40% - Accent3 14 5" xfId="38075"/>
    <cellStyle name="40% - Accent3 14 6" xfId="39372"/>
    <cellStyle name="40% - Accent3 14 7" xfId="40913"/>
    <cellStyle name="40% - Accent3 14_AEO proration factors" xfId="36876"/>
    <cellStyle name="40% - Accent3 15" xfId="35805"/>
    <cellStyle name="40% - Accent3 15 2" xfId="36877"/>
    <cellStyle name="40% - Accent3 15 2 2" xfId="36878"/>
    <cellStyle name="40% - Accent3 15 2 2 2" xfId="36879"/>
    <cellStyle name="40% - Accent3 15 2 2 2 2" xfId="40481"/>
    <cellStyle name="40% - Accent3 15 2 2 2 3" xfId="42022"/>
    <cellStyle name="40% - Accent3 15 2 2 3" xfId="38467"/>
    <cellStyle name="40% - Accent3 15 2 2 4" xfId="39763"/>
    <cellStyle name="40% - Accent3 15 2 2 5" xfId="41304"/>
    <cellStyle name="40% - Accent3 15 2 2_consumption scenario A" xfId="37828"/>
    <cellStyle name="40% - Accent3 15 2 3" xfId="36880"/>
    <cellStyle name="40% - Accent3 15 2 3 2" xfId="40206"/>
    <cellStyle name="40% - Accent3 15 2 3 3" xfId="41747"/>
    <cellStyle name="40% - Accent3 15 2 4" xfId="38191"/>
    <cellStyle name="40% - Accent3 15 2 5" xfId="39488"/>
    <cellStyle name="40% - Accent3 15 2 6" xfId="41029"/>
    <cellStyle name="40% - Accent3 15 2_AEO proration factors" xfId="36881"/>
    <cellStyle name="40% - Accent3 15 3" xfId="36882"/>
    <cellStyle name="40% - Accent3 15 3 2" xfId="36883"/>
    <cellStyle name="40% - Accent3 15 3 2 2" xfId="40480"/>
    <cellStyle name="40% - Accent3 15 3 2 3" xfId="42021"/>
    <cellStyle name="40% - Accent3 15 3 3" xfId="38466"/>
    <cellStyle name="40% - Accent3 15 3 4" xfId="39762"/>
    <cellStyle name="40% - Accent3 15 3 5" xfId="41303"/>
    <cellStyle name="40% - Accent3 15 3_consumption scenario A" xfId="37829"/>
    <cellStyle name="40% - Accent3 15 4" xfId="36884"/>
    <cellStyle name="40% - Accent3 15 4 2" xfId="40108"/>
    <cellStyle name="40% - Accent3 15 4 3" xfId="41649"/>
    <cellStyle name="40% - Accent3 15 5" xfId="38093"/>
    <cellStyle name="40% - Accent3 15 6" xfId="39390"/>
    <cellStyle name="40% - Accent3 15 7" xfId="40931"/>
    <cellStyle name="40% - Accent3 15_AEO proration factors" xfId="36885"/>
    <cellStyle name="40% - Accent3 16" xfId="36124"/>
    <cellStyle name="40% - Accent3 16 2" xfId="36886"/>
    <cellStyle name="40% - Accent3 16 2 2" xfId="40293"/>
    <cellStyle name="40% - Accent3 16 2 3" xfId="41834"/>
    <cellStyle name="40% - Accent3 16 3" xfId="38278"/>
    <cellStyle name="40% - Accent3 16 4" xfId="39575"/>
    <cellStyle name="40% - Accent3 16 5" xfId="41116"/>
    <cellStyle name="40% - Accent3 16_consumption scenario A" xfId="37563"/>
    <cellStyle name="40% - Accent3 17" xfId="36887"/>
    <cellStyle name="40% - Accent3 17 2" xfId="38638"/>
    <cellStyle name="40% - Accent3 17 3" xfId="40652"/>
    <cellStyle name="40% - Accent3 17 4" xfId="42193"/>
    <cellStyle name="40% - Accent3 17_consumption scenario A" xfId="37830"/>
    <cellStyle name="40% - Accent3 18" xfId="36888"/>
    <cellStyle name="40% - Accent3 18 2" xfId="38656"/>
    <cellStyle name="40% - Accent3 18 3" xfId="40670"/>
    <cellStyle name="40% - Accent3 18 4" xfId="42211"/>
    <cellStyle name="40% - Accent3 18_consumption scenario A" xfId="37831"/>
    <cellStyle name="40% - Accent3 19" xfId="36889"/>
    <cellStyle name="40% - Accent3 19 2" xfId="38668"/>
    <cellStyle name="40% - Accent3 19 3" xfId="40682"/>
    <cellStyle name="40% - Accent3 19 4" xfId="42224"/>
    <cellStyle name="40% - Accent3 19_consumption scenario A" xfId="37832"/>
    <cellStyle name="40% - Accent3 2" xfId="5824"/>
    <cellStyle name="40% - Accent3 2 10" xfId="40753"/>
    <cellStyle name="40% - Accent3 2 2" xfId="5853"/>
    <cellStyle name="40% - Accent3 2 2 2" xfId="35651"/>
    <cellStyle name="40% - Accent3 2 2 2 2" xfId="35912"/>
    <cellStyle name="40% - Accent3 2 2 2 2 2" xfId="36890"/>
    <cellStyle name="40% - Accent3 2 2 2 2 2 2" xfId="36891"/>
    <cellStyle name="40% - Accent3 2 2 2 2 2 2 2" xfId="40485"/>
    <cellStyle name="40% - Accent3 2 2 2 2 2 2 3" xfId="42026"/>
    <cellStyle name="40% - Accent3 2 2 2 2 2 3" xfId="38471"/>
    <cellStyle name="40% - Accent3 2 2 2 2 2 4" xfId="39767"/>
    <cellStyle name="40% - Accent3 2 2 2 2 2 5" xfId="41308"/>
    <cellStyle name="40% - Accent3 2 2 2 2 2_consumption scenario A" xfId="37833"/>
    <cellStyle name="40% - Accent3 2 2 2 2 3" xfId="36892"/>
    <cellStyle name="40% - Accent3 2 2 2 2 3 2" xfId="40209"/>
    <cellStyle name="40% - Accent3 2 2 2 2 3 3" xfId="41750"/>
    <cellStyle name="40% - Accent3 2 2 2 2 4" xfId="38194"/>
    <cellStyle name="40% - Accent3 2 2 2 2 5" xfId="39491"/>
    <cellStyle name="40% - Accent3 2 2 2 2 6" xfId="41032"/>
    <cellStyle name="40% - Accent3 2 2 2 2_AEO proration factors" xfId="36893"/>
    <cellStyle name="40% - Accent3 2 2 2 3" xfId="36894"/>
    <cellStyle name="40% - Accent3 2 2 2 3 2" xfId="36895"/>
    <cellStyle name="40% - Accent3 2 2 2 3 2 2" xfId="40484"/>
    <cellStyle name="40% - Accent3 2 2 2 3 2 3" xfId="42025"/>
    <cellStyle name="40% - Accent3 2 2 2 3 3" xfId="38470"/>
    <cellStyle name="40% - Accent3 2 2 2 3 4" xfId="39766"/>
    <cellStyle name="40% - Accent3 2 2 2 3 5" xfId="41307"/>
    <cellStyle name="40% - Accent3 2 2 2 3_consumption scenario A" xfId="37834"/>
    <cellStyle name="40% - Accent3 2 2 2 4" xfId="36896"/>
    <cellStyle name="40% - Accent3 2 2 2 4 2" xfId="40041"/>
    <cellStyle name="40% - Accent3 2 2 2 4 3" xfId="41582"/>
    <cellStyle name="40% - Accent3 2 2 2 5" xfId="38026"/>
    <cellStyle name="40% - Accent3 2 2 2 6" xfId="39323"/>
    <cellStyle name="40% - Accent3 2 2 2 7" xfId="40852"/>
    <cellStyle name="40% - Accent3 2 2 2_AEO proration factors" xfId="36897"/>
    <cellStyle name="40% - Accent3 2 2 3" xfId="35784"/>
    <cellStyle name="40% - Accent3 2 2 3 2" xfId="36898"/>
    <cellStyle name="40% - Accent3 2 2 3 2 2" xfId="36899"/>
    <cellStyle name="40% - Accent3 2 2 3 2 2 2" xfId="40486"/>
    <cellStyle name="40% - Accent3 2 2 3 2 2 3" xfId="42027"/>
    <cellStyle name="40% - Accent3 2 2 3 2 3" xfId="38472"/>
    <cellStyle name="40% - Accent3 2 2 3 2 4" xfId="39768"/>
    <cellStyle name="40% - Accent3 2 2 3 2 5" xfId="41309"/>
    <cellStyle name="40% - Accent3 2 2 3 2_consumption scenario A" xfId="37835"/>
    <cellStyle name="40% - Accent3 2 2 3 3" xfId="36900"/>
    <cellStyle name="40% - Accent3 2 2 3 3 2" xfId="40208"/>
    <cellStyle name="40% - Accent3 2 2 3 3 3" xfId="41749"/>
    <cellStyle name="40% - Accent3 2 2 3 4" xfId="38193"/>
    <cellStyle name="40% - Accent3 2 2 3 5" xfId="39490"/>
    <cellStyle name="40% - Accent3 2 2 3 6" xfId="41031"/>
    <cellStyle name="40% - Accent3 2 2 3_AEO proration factors" xfId="36901"/>
    <cellStyle name="40% - Accent3 2 2 4" xfId="35851"/>
    <cellStyle name="40% - Accent3 2 2 4 2" xfId="36902"/>
    <cellStyle name="40% - Accent3 2 2 4 2 2" xfId="40483"/>
    <cellStyle name="40% - Accent3 2 2 4 2 3" xfId="42024"/>
    <cellStyle name="40% - Accent3 2 2 4 3" xfId="38469"/>
    <cellStyle name="40% - Accent3 2 2 4 4" xfId="39765"/>
    <cellStyle name="40% - Accent3 2 2 4 5" xfId="41306"/>
    <cellStyle name="40% - Accent3 2 2 4_consumption scenario A" xfId="37564"/>
    <cellStyle name="40% - Accent3 2 2 5" xfId="36903"/>
    <cellStyle name="40% - Accent3 2 2 5 2" xfId="39980"/>
    <cellStyle name="40% - Accent3 2 2 5 3" xfId="41521"/>
    <cellStyle name="40% - Accent3 2 2 6" xfId="37965"/>
    <cellStyle name="40% - Accent3 2 2 7" xfId="39262"/>
    <cellStyle name="40% - Accent3 2 2 8" xfId="40788"/>
    <cellStyle name="40% - Accent3 2 2_AEO proration factors" xfId="36904"/>
    <cellStyle name="40% - Accent3 2 3" xfId="5896"/>
    <cellStyle name="40% - Accent3 2 3 2" xfId="35753"/>
    <cellStyle name="40% - Accent3 2 3 2 2" xfId="36905"/>
    <cellStyle name="40% - Accent3 2 3 2 2 2" xfId="36906"/>
    <cellStyle name="40% - Accent3 2 3 2 2 2 2" xfId="40488"/>
    <cellStyle name="40% - Accent3 2 3 2 2 2 3" xfId="42029"/>
    <cellStyle name="40% - Accent3 2 3 2 2 3" xfId="38474"/>
    <cellStyle name="40% - Accent3 2 3 2 2 4" xfId="39770"/>
    <cellStyle name="40% - Accent3 2 3 2 2 5" xfId="41311"/>
    <cellStyle name="40% - Accent3 2 3 2 2_consumption scenario A" xfId="37836"/>
    <cellStyle name="40% - Accent3 2 3 2 3" xfId="36907"/>
    <cellStyle name="40% - Accent3 2 3 2 3 2" xfId="40210"/>
    <cellStyle name="40% - Accent3 2 3 2 3 3" xfId="41751"/>
    <cellStyle name="40% - Accent3 2 3 2 4" xfId="38195"/>
    <cellStyle name="40% - Accent3 2 3 2 5" xfId="39492"/>
    <cellStyle name="40% - Accent3 2 3 2 6" xfId="41033"/>
    <cellStyle name="40% - Accent3 2 3 2_AEO proration factors" xfId="36908"/>
    <cellStyle name="40% - Accent3 2 3 3" xfId="35881"/>
    <cellStyle name="40% - Accent3 2 3 3 2" xfId="36909"/>
    <cellStyle name="40% - Accent3 2 3 3 2 2" xfId="40487"/>
    <cellStyle name="40% - Accent3 2 3 3 2 3" xfId="42028"/>
    <cellStyle name="40% - Accent3 2 3 3 3" xfId="38473"/>
    <cellStyle name="40% - Accent3 2 3 3 4" xfId="39769"/>
    <cellStyle name="40% - Accent3 2 3 3 5" xfId="41310"/>
    <cellStyle name="40% - Accent3 2 3 3_consumption scenario A" xfId="37565"/>
    <cellStyle name="40% - Accent3 2 3 4" xfId="36910"/>
    <cellStyle name="40% - Accent3 2 3 4 2" xfId="40010"/>
    <cellStyle name="40% - Accent3 2 3 4 3" xfId="41551"/>
    <cellStyle name="40% - Accent3 2 3 5" xfId="37995"/>
    <cellStyle name="40% - Accent3 2 3 6" xfId="39292"/>
    <cellStyle name="40% - Accent3 2 3 7" xfId="40821"/>
    <cellStyle name="40% - Accent3 2 3_AEO proration factors" xfId="36911"/>
    <cellStyle name="40% - Accent3 2 4" xfId="35590"/>
    <cellStyle name="40% - Accent3 2 4 2" xfId="35981"/>
    <cellStyle name="40% - Accent3 2 4_consumption scenario A" xfId="37566"/>
    <cellStyle name="40% - Accent3 2 5" xfId="35620"/>
    <cellStyle name="40% - Accent3 2 5 2" xfId="36912"/>
    <cellStyle name="40% - Accent3 2 5 2 2" xfId="36913"/>
    <cellStyle name="40% - Accent3 2 5 2 2 2" xfId="40489"/>
    <cellStyle name="40% - Accent3 2 5 2 2 3" xfId="42030"/>
    <cellStyle name="40% - Accent3 2 5 2 3" xfId="38475"/>
    <cellStyle name="40% - Accent3 2 5 2 4" xfId="39771"/>
    <cellStyle name="40% - Accent3 2 5 2 5" xfId="41312"/>
    <cellStyle name="40% - Accent3 2 5 2_consumption scenario A" xfId="37837"/>
    <cellStyle name="40% - Accent3 2 5 3" xfId="36914"/>
    <cellStyle name="40% - Accent3 2 5 3 2" xfId="40207"/>
    <cellStyle name="40% - Accent3 2 5 3 3" xfId="41748"/>
    <cellStyle name="40% - Accent3 2 5 4" xfId="38192"/>
    <cellStyle name="40% - Accent3 2 5 5" xfId="39489"/>
    <cellStyle name="40% - Accent3 2 5 6" xfId="41030"/>
    <cellStyle name="40% - Accent3 2 5_AEO proration factors" xfId="36915"/>
    <cellStyle name="40% - Accent3 2 6" xfId="35681"/>
    <cellStyle name="40% - Accent3 2 6 2" xfId="36916"/>
    <cellStyle name="40% - Accent3 2 6 2 2" xfId="40482"/>
    <cellStyle name="40% - Accent3 2 6 2 3" xfId="42023"/>
    <cellStyle name="40% - Accent3 2 6 3" xfId="38468"/>
    <cellStyle name="40% - Accent3 2 6 4" xfId="39764"/>
    <cellStyle name="40% - Accent3 2 6 5" xfId="41305"/>
    <cellStyle name="40% - Accent3 2 6_consumption scenario A" xfId="37567"/>
    <cellStyle name="40% - Accent3 2 7" xfId="35820"/>
    <cellStyle name="40% - Accent3 2 7 2" xfId="39949"/>
    <cellStyle name="40% - Accent3 2 7 3" xfId="41490"/>
    <cellStyle name="40% - Accent3 2 8" xfId="37934"/>
    <cellStyle name="40% - Accent3 2 9" xfId="39231"/>
    <cellStyle name="40% - Accent3 2_AEO proration factors" xfId="36917"/>
    <cellStyle name="40% - Accent3 20" xfId="36918"/>
    <cellStyle name="40% - Accent3 20 2" xfId="38680"/>
    <cellStyle name="40% - Accent3 20 3" xfId="40694"/>
    <cellStyle name="40% - Accent3 20 4" xfId="42236"/>
    <cellStyle name="40% - Accent3 20_consumption scenario A" xfId="37838"/>
    <cellStyle name="40% - Accent3 21" xfId="36919"/>
    <cellStyle name="40% - Accent3 21 2" xfId="38693"/>
    <cellStyle name="40% - Accent3 21 3" xfId="40707"/>
    <cellStyle name="40% - Accent3 21 4" xfId="42250"/>
    <cellStyle name="40% - Accent3 21_consumption scenario A" xfId="37839"/>
    <cellStyle name="40% - Accent3 22" xfId="36920"/>
    <cellStyle name="40% - Accent3 22 2" xfId="38704"/>
    <cellStyle name="40% - Accent3 22 3" xfId="40718"/>
    <cellStyle name="40% - Accent3 22 4" xfId="42261"/>
    <cellStyle name="40% - Accent3 22_consumption scenario A" xfId="37840"/>
    <cellStyle name="40% - Accent3 23" xfId="36921"/>
    <cellStyle name="40% - Accent3 23 2" xfId="39934"/>
    <cellStyle name="40% - Accent3 23 3" xfId="41475"/>
    <cellStyle name="40% - Accent3 24" xfId="37919"/>
    <cellStyle name="40% - Accent3 25" xfId="5797"/>
    <cellStyle name="40% - Accent3 26" xfId="38719"/>
    <cellStyle name="40% - Accent3 27" xfId="5300"/>
    <cellStyle name="40% - Accent3 28" xfId="39216"/>
    <cellStyle name="40% - Accent3 29" xfId="40736"/>
    <cellStyle name="40% - Accent3 3" xfId="5810"/>
    <cellStyle name="40% - Accent3 3 2" xfId="5868"/>
    <cellStyle name="40% - Accent3 3 2 2" xfId="35769"/>
    <cellStyle name="40% - Accent3 3 2 2 2" xfId="36922"/>
    <cellStyle name="40% - Accent3 3 2 2 2 2" xfId="36923"/>
    <cellStyle name="40% - Accent3 3 2 2 2 2 2" xfId="40492"/>
    <cellStyle name="40% - Accent3 3 2 2 2 2 3" xfId="42033"/>
    <cellStyle name="40% - Accent3 3 2 2 2 3" xfId="38478"/>
    <cellStyle name="40% - Accent3 3 2 2 2 4" xfId="39774"/>
    <cellStyle name="40% - Accent3 3 2 2 2 5" xfId="41315"/>
    <cellStyle name="40% - Accent3 3 2 2 2_consumption scenario A" xfId="37841"/>
    <cellStyle name="40% - Accent3 3 2 2 3" xfId="36924"/>
    <cellStyle name="40% - Accent3 3 2 2 3 2" xfId="40212"/>
    <cellStyle name="40% - Accent3 3 2 2 3 3" xfId="41753"/>
    <cellStyle name="40% - Accent3 3 2 2 4" xfId="38197"/>
    <cellStyle name="40% - Accent3 3 2 2 5" xfId="39494"/>
    <cellStyle name="40% - Accent3 3 2 2 6" xfId="41035"/>
    <cellStyle name="40% - Accent3 3 2 2_AEO proration factors" xfId="36925"/>
    <cellStyle name="40% - Accent3 3 2 3" xfId="35897"/>
    <cellStyle name="40% - Accent3 3 2 3 2" xfId="36926"/>
    <cellStyle name="40% - Accent3 3 2 3 2 2" xfId="40491"/>
    <cellStyle name="40% - Accent3 3 2 3 2 3" xfId="42032"/>
    <cellStyle name="40% - Accent3 3 2 3 3" xfId="38477"/>
    <cellStyle name="40% - Accent3 3 2 3 4" xfId="39773"/>
    <cellStyle name="40% - Accent3 3 2 3 5" xfId="41314"/>
    <cellStyle name="40% - Accent3 3 2 3_consumption scenario A" xfId="37568"/>
    <cellStyle name="40% - Accent3 3 2 4" xfId="36927"/>
    <cellStyle name="40% - Accent3 3 2 4 2" xfId="40026"/>
    <cellStyle name="40% - Accent3 3 2 4 3" xfId="41567"/>
    <cellStyle name="40% - Accent3 3 2 5" xfId="38011"/>
    <cellStyle name="40% - Accent3 3 2 6" xfId="39308"/>
    <cellStyle name="40% - Accent3 3 2 7" xfId="40837"/>
    <cellStyle name="40% - Accent3 3 2_AEO proration factors" xfId="36928"/>
    <cellStyle name="40% - Accent3 3 3" xfId="5911"/>
    <cellStyle name="40% - Accent3 3 3 2" xfId="35993"/>
    <cellStyle name="40% - Accent3 3 3_consumption scenario A" xfId="37569"/>
    <cellStyle name="40% - Accent3 3 4" xfId="35636"/>
    <cellStyle name="40% - Accent3 3 4 2" xfId="36929"/>
    <cellStyle name="40% - Accent3 3 4 2 2" xfId="36930"/>
    <cellStyle name="40% - Accent3 3 4 2 2 2" xfId="40493"/>
    <cellStyle name="40% - Accent3 3 4 2 2 3" xfId="42034"/>
    <cellStyle name="40% - Accent3 3 4 2 3" xfId="38479"/>
    <cellStyle name="40% - Accent3 3 4 2 4" xfId="39775"/>
    <cellStyle name="40% - Accent3 3 4 2 5" xfId="41316"/>
    <cellStyle name="40% - Accent3 3 4 2_consumption scenario A" xfId="37842"/>
    <cellStyle name="40% - Accent3 3 4 3" xfId="36931"/>
    <cellStyle name="40% - Accent3 3 4 3 2" xfId="40211"/>
    <cellStyle name="40% - Accent3 3 4 3 3" xfId="41752"/>
    <cellStyle name="40% - Accent3 3 4 4" xfId="38196"/>
    <cellStyle name="40% - Accent3 3 4 5" xfId="39493"/>
    <cellStyle name="40% - Accent3 3 4 6" xfId="41034"/>
    <cellStyle name="40% - Accent3 3 4_AEO proration factors" xfId="36932"/>
    <cellStyle name="40% - Accent3 3 5" xfId="35696"/>
    <cellStyle name="40% - Accent3 3 5 2" xfId="36933"/>
    <cellStyle name="40% - Accent3 3 5 2 2" xfId="40490"/>
    <cellStyle name="40% - Accent3 3 5 2 3" xfId="42031"/>
    <cellStyle name="40% - Accent3 3 5 3" xfId="38476"/>
    <cellStyle name="40% - Accent3 3 5 4" xfId="39772"/>
    <cellStyle name="40% - Accent3 3 5 5" xfId="41313"/>
    <cellStyle name="40% - Accent3 3 5_consumption scenario A" xfId="37570"/>
    <cellStyle name="40% - Accent3 3 6" xfId="35836"/>
    <cellStyle name="40% - Accent3 3 6 2" xfId="39965"/>
    <cellStyle name="40% - Accent3 3 6 3" xfId="41506"/>
    <cellStyle name="40% - Accent3 3 7" xfId="37950"/>
    <cellStyle name="40% - Accent3 3 8" xfId="39247"/>
    <cellStyle name="40% - Accent3 3 9" xfId="40770"/>
    <cellStyle name="40% - Accent3 3_AEO proration factors" xfId="36934"/>
    <cellStyle name="40% - Accent3 4" xfId="5839"/>
    <cellStyle name="40% - Accent3 4 10" xfId="42275"/>
    <cellStyle name="40% - Accent3 4 2" xfId="5925"/>
    <cellStyle name="40% - Accent3 4 2 2" xfId="36005"/>
    <cellStyle name="40% - Accent3 4 2_consumption scenario A" xfId="37571"/>
    <cellStyle name="40% - Accent3 4 3" xfId="35710"/>
    <cellStyle name="40% - Accent3 4 3 2" xfId="36935"/>
    <cellStyle name="40% - Accent3 4 3 2 2" xfId="36936"/>
    <cellStyle name="40% - Accent3 4 3 2 2 2" xfId="40495"/>
    <cellStyle name="40% - Accent3 4 3 2 2 3" xfId="42036"/>
    <cellStyle name="40% - Accent3 4 3 2 3" xfId="38481"/>
    <cellStyle name="40% - Accent3 4 3 2 4" xfId="39777"/>
    <cellStyle name="40% - Accent3 4 3 2 5" xfId="41318"/>
    <cellStyle name="40% - Accent3 4 3 2_consumption scenario A" xfId="37843"/>
    <cellStyle name="40% - Accent3 4 3 3" xfId="36937"/>
    <cellStyle name="40% - Accent3 4 3 3 2" xfId="40213"/>
    <cellStyle name="40% - Accent3 4 3 3 3" xfId="41754"/>
    <cellStyle name="40% - Accent3 4 3 4" xfId="38198"/>
    <cellStyle name="40% - Accent3 4 3 5" xfId="39495"/>
    <cellStyle name="40% - Accent3 4 3 6" xfId="41036"/>
    <cellStyle name="40% - Accent3 4 3_AEO proration factors" xfId="36938"/>
    <cellStyle name="40% - Accent3 4 4" xfId="35866"/>
    <cellStyle name="40% - Accent3 4 4 2" xfId="36939"/>
    <cellStyle name="40% - Accent3 4 4 2 2" xfId="40494"/>
    <cellStyle name="40% - Accent3 4 4 2 3" xfId="42035"/>
    <cellStyle name="40% - Accent3 4 4 3" xfId="38480"/>
    <cellStyle name="40% - Accent3 4 4 4" xfId="39776"/>
    <cellStyle name="40% - Accent3 4 4 5" xfId="41317"/>
    <cellStyle name="40% - Accent3 4 4_consumption scenario A" xfId="37572"/>
    <cellStyle name="40% - Accent3 4 5" xfId="36940"/>
    <cellStyle name="40% - Accent3 4 5 2" xfId="39995"/>
    <cellStyle name="40% - Accent3 4 5 3" xfId="41536"/>
    <cellStyle name="40% - Accent3 4 6" xfId="37980"/>
    <cellStyle name="40% - Accent3 4 7" xfId="39277"/>
    <cellStyle name="40% - Accent3 4 8" xfId="40806"/>
    <cellStyle name="40% - Accent3 4 9" xfId="40726"/>
    <cellStyle name="40% - Accent3 4_AEO proration factors" xfId="36941"/>
    <cellStyle name="40% - Accent3 5" xfId="5939"/>
    <cellStyle name="40% - Accent3 5 10" xfId="42291"/>
    <cellStyle name="40% - Accent3 5 2" xfId="35724"/>
    <cellStyle name="40% - Accent3 5 2 2" xfId="36017"/>
    <cellStyle name="40% - Accent3 5 2_consumption scenario A" xfId="37573"/>
    <cellStyle name="40% - Accent3 5 3" xfId="35927"/>
    <cellStyle name="40% - Accent3 5 3 2" xfId="36942"/>
    <cellStyle name="40% - Accent3 5 3 2 2" xfId="36943"/>
    <cellStyle name="40% - Accent3 5 3 2 2 2" xfId="40497"/>
    <cellStyle name="40% - Accent3 5 3 2 2 3" xfId="42038"/>
    <cellStyle name="40% - Accent3 5 3 2 3" xfId="38483"/>
    <cellStyle name="40% - Accent3 5 3 2 4" xfId="39779"/>
    <cellStyle name="40% - Accent3 5 3 2 5" xfId="41320"/>
    <cellStyle name="40% - Accent3 5 3 2_consumption scenario A" xfId="37844"/>
    <cellStyle name="40% - Accent3 5 3 3" xfId="36944"/>
    <cellStyle name="40% - Accent3 5 3 3 2" xfId="40214"/>
    <cellStyle name="40% - Accent3 5 3 3 3" xfId="41755"/>
    <cellStyle name="40% - Accent3 5 3 4" xfId="38199"/>
    <cellStyle name="40% - Accent3 5 3 5" xfId="39496"/>
    <cellStyle name="40% - Accent3 5 3 6" xfId="41037"/>
    <cellStyle name="40% - Accent3 5 3_AEO proration factors" xfId="36945"/>
    <cellStyle name="40% - Accent3 5 4" xfId="36946"/>
    <cellStyle name="40% - Accent3 5 4 2" xfId="36947"/>
    <cellStyle name="40% - Accent3 5 4 2 2" xfId="40496"/>
    <cellStyle name="40% - Accent3 5 4 2 3" xfId="42037"/>
    <cellStyle name="40% - Accent3 5 4 3" xfId="38482"/>
    <cellStyle name="40% - Accent3 5 4 4" xfId="39778"/>
    <cellStyle name="40% - Accent3 5 4 5" xfId="41319"/>
    <cellStyle name="40% - Accent3 5 4_consumption scenario A" xfId="37845"/>
    <cellStyle name="40% - Accent3 5 5" xfId="36948"/>
    <cellStyle name="40% - Accent3 5 5 2" xfId="40057"/>
    <cellStyle name="40% - Accent3 5 5 3" xfId="41598"/>
    <cellStyle name="40% - Accent3 5 6" xfId="38042"/>
    <cellStyle name="40% - Accent3 5 7" xfId="39339"/>
    <cellStyle name="40% - Accent3 5 8" xfId="40872"/>
    <cellStyle name="40% - Accent3 5 9" xfId="40729"/>
    <cellStyle name="40% - Accent3 5_AEO proration factors" xfId="36949"/>
    <cellStyle name="40% - Accent3 6" xfId="5882"/>
    <cellStyle name="40% - Accent3 6 2" xfId="35738"/>
    <cellStyle name="40% - Accent3 6 3" xfId="36029"/>
    <cellStyle name="40% - Accent3 6_consumption scenario A" xfId="37574"/>
    <cellStyle name="40% - Accent3 7" xfId="35576"/>
    <cellStyle name="40% - Accent3 7 2" xfId="36041"/>
    <cellStyle name="40% - Accent3 7_consumption scenario A" xfId="37575"/>
    <cellStyle name="40% - Accent3 8" xfId="35606"/>
    <cellStyle name="40% - Accent3 8 2" xfId="36054"/>
    <cellStyle name="40% - Accent3 8_consumption scenario A" xfId="37576"/>
    <cellStyle name="40% - Accent3 9" xfId="35667"/>
    <cellStyle name="40% - Accent3 9 2" xfId="36067"/>
    <cellStyle name="40% - Accent3 9_consumption scenario A" xfId="37577"/>
    <cellStyle name="40% - Accent4" xfId="40" builtinId="43" hidden="1" customBuiltin="1"/>
    <cellStyle name="40% - Accent4" xfId="75" builtinId="43" customBuiltin="1"/>
    <cellStyle name="40% - Accent4 10" xfId="36081"/>
    <cellStyle name="40% - Accent4 11" xfId="36093"/>
    <cellStyle name="40% - Accent4 12" xfId="35960"/>
    <cellStyle name="40% - Accent4 13" xfId="35945"/>
    <cellStyle name="40% - Accent4 13 2" xfId="36950"/>
    <cellStyle name="40% - Accent4 13 2 2" xfId="36951"/>
    <cellStyle name="40% - Accent4 13 2 2 2" xfId="36952"/>
    <cellStyle name="40% - Accent4 13 2 2 2 2" xfId="40499"/>
    <cellStyle name="40% - Accent4 13 2 2 2 3" xfId="42040"/>
    <cellStyle name="40% - Accent4 13 2 2 3" xfId="38485"/>
    <cellStyle name="40% - Accent4 13 2 2 4" xfId="39781"/>
    <cellStyle name="40% - Accent4 13 2 2 5" xfId="41322"/>
    <cellStyle name="40% - Accent4 13 2 2_consumption scenario A" xfId="37846"/>
    <cellStyle name="40% - Accent4 13 2 3" xfId="36953"/>
    <cellStyle name="40% - Accent4 13 2 3 2" xfId="40215"/>
    <cellStyle name="40% - Accent4 13 2 3 3" xfId="41756"/>
    <cellStyle name="40% - Accent4 13 2 4" xfId="38200"/>
    <cellStyle name="40% - Accent4 13 2 5" xfId="39497"/>
    <cellStyle name="40% - Accent4 13 2 6" xfId="41038"/>
    <cellStyle name="40% - Accent4 13 2_AEO proration factors" xfId="36954"/>
    <cellStyle name="40% - Accent4 13 3" xfId="36955"/>
    <cellStyle name="40% - Accent4 13 3 2" xfId="36956"/>
    <cellStyle name="40% - Accent4 13 3 2 2" xfId="40498"/>
    <cellStyle name="40% - Accent4 13 3 2 3" xfId="42039"/>
    <cellStyle name="40% - Accent4 13 3 3" xfId="38484"/>
    <cellStyle name="40% - Accent4 13 3 4" xfId="39780"/>
    <cellStyle name="40% - Accent4 13 3 5" xfId="41321"/>
    <cellStyle name="40% - Accent4 13 3_consumption scenario A" xfId="37847"/>
    <cellStyle name="40% - Accent4 13 4" xfId="36957"/>
    <cellStyle name="40% - Accent4 13 4 2" xfId="40075"/>
    <cellStyle name="40% - Accent4 13 4 3" xfId="41616"/>
    <cellStyle name="40% - Accent4 13 5" xfId="38060"/>
    <cellStyle name="40% - Accent4 13 6" xfId="39357"/>
    <cellStyle name="40% - Accent4 13 7" xfId="40893"/>
    <cellStyle name="40% - Accent4 13_AEO proration factors" xfId="36958"/>
    <cellStyle name="40% - Accent4 14" xfId="36110"/>
    <cellStyle name="40% - Accent4 14 2" xfId="36959"/>
    <cellStyle name="40% - Accent4 14 2 2" xfId="36960"/>
    <cellStyle name="40% - Accent4 14 2 2 2" xfId="36961"/>
    <cellStyle name="40% - Accent4 14 2 2 2 2" xfId="40501"/>
    <cellStyle name="40% - Accent4 14 2 2 2 3" xfId="42042"/>
    <cellStyle name="40% - Accent4 14 2 2 3" xfId="38487"/>
    <cellStyle name="40% - Accent4 14 2 2 4" xfId="39783"/>
    <cellStyle name="40% - Accent4 14 2 2 5" xfId="41324"/>
    <cellStyle name="40% - Accent4 14 2 2_consumption scenario A" xfId="37848"/>
    <cellStyle name="40% - Accent4 14 2 3" xfId="36962"/>
    <cellStyle name="40% - Accent4 14 2 3 2" xfId="40216"/>
    <cellStyle name="40% - Accent4 14 2 3 3" xfId="41757"/>
    <cellStyle name="40% - Accent4 14 2 4" xfId="38201"/>
    <cellStyle name="40% - Accent4 14 2 5" xfId="39498"/>
    <cellStyle name="40% - Accent4 14 2 6" xfId="41039"/>
    <cellStyle name="40% - Accent4 14 2_AEO proration factors" xfId="36963"/>
    <cellStyle name="40% - Accent4 14 3" xfId="36964"/>
    <cellStyle name="40% - Accent4 14 3 2" xfId="36965"/>
    <cellStyle name="40% - Accent4 14 3 2 2" xfId="40500"/>
    <cellStyle name="40% - Accent4 14 3 2 3" xfId="42041"/>
    <cellStyle name="40% - Accent4 14 3 3" xfId="38486"/>
    <cellStyle name="40% - Accent4 14 3 4" xfId="39782"/>
    <cellStyle name="40% - Accent4 14 3 5" xfId="41323"/>
    <cellStyle name="40% - Accent4 14 3_consumption scenario A" xfId="37849"/>
    <cellStyle name="40% - Accent4 14 4" xfId="36966"/>
    <cellStyle name="40% - Accent4 14 4 2" xfId="40092"/>
    <cellStyle name="40% - Accent4 14 4 3" xfId="41633"/>
    <cellStyle name="40% - Accent4 14 5" xfId="38077"/>
    <cellStyle name="40% - Accent4 14 6" xfId="39374"/>
    <cellStyle name="40% - Accent4 14 7" xfId="40915"/>
    <cellStyle name="40% - Accent4 14_AEO proration factors" xfId="36967"/>
    <cellStyle name="40% - Accent4 15" xfId="35807"/>
    <cellStyle name="40% - Accent4 15 2" xfId="36968"/>
    <cellStyle name="40% - Accent4 15 2 2" xfId="36969"/>
    <cellStyle name="40% - Accent4 15 2 2 2" xfId="36970"/>
    <cellStyle name="40% - Accent4 15 2 2 2 2" xfId="40503"/>
    <cellStyle name="40% - Accent4 15 2 2 2 3" xfId="42044"/>
    <cellStyle name="40% - Accent4 15 2 2 3" xfId="38489"/>
    <cellStyle name="40% - Accent4 15 2 2 4" xfId="39785"/>
    <cellStyle name="40% - Accent4 15 2 2 5" xfId="41326"/>
    <cellStyle name="40% - Accent4 15 2 2_consumption scenario A" xfId="37850"/>
    <cellStyle name="40% - Accent4 15 2 3" xfId="36971"/>
    <cellStyle name="40% - Accent4 15 2 3 2" xfId="40217"/>
    <cellStyle name="40% - Accent4 15 2 3 3" xfId="41758"/>
    <cellStyle name="40% - Accent4 15 2 4" xfId="38202"/>
    <cellStyle name="40% - Accent4 15 2 5" xfId="39499"/>
    <cellStyle name="40% - Accent4 15 2 6" xfId="41040"/>
    <cellStyle name="40% - Accent4 15 2_AEO proration factors" xfId="36972"/>
    <cellStyle name="40% - Accent4 15 3" xfId="36973"/>
    <cellStyle name="40% - Accent4 15 3 2" xfId="36974"/>
    <cellStyle name="40% - Accent4 15 3 2 2" xfId="40502"/>
    <cellStyle name="40% - Accent4 15 3 2 3" xfId="42043"/>
    <cellStyle name="40% - Accent4 15 3 3" xfId="38488"/>
    <cellStyle name="40% - Accent4 15 3 4" xfId="39784"/>
    <cellStyle name="40% - Accent4 15 3 5" xfId="41325"/>
    <cellStyle name="40% - Accent4 15 3_consumption scenario A" xfId="37851"/>
    <cellStyle name="40% - Accent4 15 4" xfId="36975"/>
    <cellStyle name="40% - Accent4 15 4 2" xfId="40109"/>
    <cellStyle name="40% - Accent4 15 4 3" xfId="41650"/>
    <cellStyle name="40% - Accent4 15 5" xfId="38094"/>
    <cellStyle name="40% - Accent4 15 6" xfId="39391"/>
    <cellStyle name="40% - Accent4 15 7" xfId="40932"/>
    <cellStyle name="40% - Accent4 15_AEO proration factors" xfId="36976"/>
    <cellStyle name="40% - Accent4 16" xfId="36126"/>
    <cellStyle name="40% - Accent4 16 2" xfId="36977"/>
    <cellStyle name="40% - Accent4 16 2 2" xfId="40295"/>
    <cellStyle name="40% - Accent4 16 2 3" xfId="41836"/>
    <cellStyle name="40% - Accent4 16 3" xfId="38280"/>
    <cellStyle name="40% - Accent4 16 4" xfId="39577"/>
    <cellStyle name="40% - Accent4 16 5" xfId="41118"/>
    <cellStyle name="40% - Accent4 16_consumption scenario A" xfId="37578"/>
    <cellStyle name="40% - Accent4 17" xfId="36978"/>
    <cellStyle name="40% - Accent4 17 2" xfId="38640"/>
    <cellStyle name="40% - Accent4 17 3" xfId="40654"/>
    <cellStyle name="40% - Accent4 17 4" xfId="42195"/>
    <cellStyle name="40% - Accent4 17_consumption scenario A" xfId="37852"/>
    <cellStyle name="40% - Accent4 18" xfId="36979"/>
    <cellStyle name="40% - Accent4 18 2" xfId="38659"/>
    <cellStyle name="40% - Accent4 18 3" xfId="40673"/>
    <cellStyle name="40% - Accent4 18 4" xfId="42214"/>
    <cellStyle name="40% - Accent4 18_consumption scenario A" xfId="37853"/>
    <cellStyle name="40% - Accent4 19" xfId="36980"/>
    <cellStyle name="40% - Accent4 19 2" xfId="38671"/>
    <cellStyle name="40% - Accent4 19 3" xfId="40685"/>
    <cellStyle name="40% - Accent4 19 4" xfId="42227"/>
    <cellStyle name="40% - Accent4 19_consumption scenario A" xfId="37854"/>
    <cellStyle name="40% - Accent4 2" xfId="5826"/>
    <cellStyle name="40% - Accent4 2 10" xfId="40755"/>
    <cellStyle name="40% - Accent4 2 2" xfId="5855"/>
    <cellStyle name="40% - Accent4 2 2 2" xfId="35653"/>
    <cellStyle name="40% - Accent4 2 2 2 2" xfId="35914"/>
    <cellStyle name="40% - Accent4 2 2 2 2 2" xfId="36981"/>
    <cellStyle name="40% - Accent4 2 2 2 2 2 2" xfId="36982"/>
    <cellStyle name="40% - Accent4 2 2 2 2 2 2 2" xfId="40507"/>
    <cellStyle name="40% - Accent4 2 2 2 2 2 2 3" xfId="42048"/>
    <cellStyle name="40% - Accent4 2 2 2 2 2 3" xfId="38493"/>
    <cellStyle name="40% - Accent4 2 2 2 2 2 4" xfId="39789"/>
    <cellStyle name="40% - Accent4 2 2 2 2 2 5" xfId="41330"/>
    <cellStyle name="40% - Accent4 2 2 2 2 2_consumption scenario A" xfId="37855"/>
    <cellStyle name="40% - Accent4 2 2 2 2 3" xfId="36983"/>
    <cellStyle name="40% - Accent4 2 2 2 2 3 2" xfId="40220"/>
    <cellStyle name="40% - Accent4 2 2 2 2 3 3" xfId="41761"/>
    <cellStyle name="40% - Accent4 2 2 2 2 4" xfId="38205"/>
    <cellStyle name="40% - Accent4 2 2 2 2 5" xfId="39502"/>
    <cellStyle name="40% - Accent4 2 2 2 2 6" xfId="41043"/>
    <cellStyle name="40% - Accent4 2 2 2 2_AEO proration factors" xfId="36984"/>
    <cellStyle name="40% - Accent4 2 2 2 3" xfId="36985"/>
    <cellStyle name="40% - Accent4 2 2 2 3 2" xfId="36986"/>
    <cellStyle name="40% - Accent4 2 2 2 3 2 2" xfId="40506"/>
    <cellStyle name="40% - Accent4 2 2 2 3 2 3" xfId="42047"/>
    <cellStyle name="40% - Accent4 2 2 2 3 3" xfId="38492"/>
    <cellStyle name="40% - Accent4 2 2 2 3 4" xfId="39788"/>
    <cellStyle name="40% - Accent4 2 2 2 3 5" xfId="41329"/>
    <cellStyle name="40% - Accent4 2 2 2 3_consumption scenario A" xfId="37856"/>
    <cellStyle name="40% - Accent4 2 2 2 4" xfId="36987"/>
    <cellStyle name="40% - Accent4 2 2 2 4 2" xfId="40043"/>
    <cellStyle name="40% - Accent4 2 2 2 4 3" xfId="41584"/>
    <cellStyle name="40% - Accent4 2 2 2 5" xfId="38028"/>
    <cellStyle name="40% - Accent4 2 2 2 6" xfId="39325"/>
    <cellStyle name="40% - Accent4 2 2 2 7" xfId="40854"/>
    <cellStyle name="40% - Accent4 2 2 2_AEO proration factors" xfId="36988"/>
    <cellStyle name="40% - Accent4 2 2 3" xfId="35786"/>
    <cellStyle name="40% - Accent4 2 2 3 2" xfId="36989"/>
    <cellStyle name="40% - Accent4 2 2 3 2 2" xfId="36990"/>
    <cellStyle name="40% - Accent4 2 2 3 2 2 2" xfId="40508"/>
    <cellStyle name="40% - Accent4 2 2 3 2 2 3" xfId="42049"/>
    <cellStyle name="40% - Accent4 2 2 3 2 3" xfId="38494"/>
    <cellStyle name="40% - Accent4 2 2 3 2 4" xfId="39790"/>
    <cellStyle name="40% - Accent4 2 2 3 2 5" xfId="41331"/>
    <cellStyle name="40% - Accent4 2 2 3 2_consumption scenario A" xfId="37857"/>
    <cellStyle name="40% - Accent4 2 2 3 3" xfId="36991"/>
    <cellStyle name="40% - Accent4 2 2 3 3 2" xfId="40219"/>
    <cellStyle name="40% - Accent4 2 2 3 3 3" xfId="41760"/>
    <cellStyle name="40% - Accent4 2 2 3 4" xfId="38204"/>
    <cellStyle name="40% - Accent4 2 2 3 5" xfId="39501"/>
    <cellStyle name="40% - Accent4 2 2 3 6" xfId="41042"/>
    <cellStyle name="40% - Accent4 2 2 3_AEO proration factors" xfId="36992"/>
    <cellStyle name="40% - Accent4 2 2 4" xfId="35853"/>
    <cellStyle name="40% - Accent4 2 2 4 2" xfId="36993"/>
    <cellStyle name="40% - Accent4 2 2 4 2 2" xfId="40505"/>
    <cellStyle name="40% - Accent4 2 2 4 2 3" xfId="42046"/>
    <cellStyle name="40% - Accent4 2 2 4 3" xfId="38491"/>
    <cellStyle name="40% - Accent4 2 2 4 4" xfId="39787"/>
    <cellStyle name="40% - Accent4 2 2 4 5" xfId="41328"/>
    <cellStyle name="40% - Accent4 2 2 4_consumption scenario A" xfId="37579"/>
    <cellStyle name="40% - Accent4 2 2 5" xfId="36994"/>
    <cellStyle name="40% - Accent4 2 2 5 2" xfId="39982"/>
    <cellStyle name="40% - Accent4 2 2 5 3" xfId="41523"/>
    <cellStyle name="40% - Accent4 2 2 6" xfId="37967"/>
    <cellStyle name="40% - Accent4 2 2 7" xfId="39264"/>
    <cellStyle name="40% - Accent4 2 2 8" xfId="40790"/>
    <cellStyle name="40% - Accent4 2 2_AEO proration factors" xfId="36995"/>
    <cellStyle name="40% - Accent4 2 3" xfId="5898"/>
    <cellStyle name="40% - Accent4 2 3 2" xfId="35755"/>
    <cellStyle name="40% - Accent4 2 3 2 2" xfId="36996"/>
    <cellStyle name="40% - Accent4 2 3 2 2 2" xfId="36997"/>
    <cellStyle name="40% - Accent4 2 3 2 2 2 2" xfId="40510"/>
    <cellStyle name="40% - Accent4 2 3 2 2 2 3" xfId="42051"/>
    <cellStyle name="40% - Accent4 2 3 2 2 3" xfId="38496"/>
    <cellStyle name="40% - Accent4 2 3 2 2 4" xfId="39792"/>
    <cellStyle name="40% - Accent4 2 3 2 2 5" xfId="41333"/>
    <cellStyle name="40% - Accent4 2 3 2 2_consumption scenario A" xfId="37858"/>
    <cellStyle name="40% - Accent4 2 3 2 3" xfId="36998"/>
    <cellStyle name="40% - Accent4 2 3 2 3 2" xfId="40221"/>
    <cellStyle name="40% - Accent4 2 3 2 3 3" xfId="41762"/>
    <cellStyle name="40% - Accent4 2 3 2 4" xfId="38206"/>
    <cellStyle name="40% - Accent4 2 3 2 5" xfId="39503"/>
    <cellStyle name="40% - Accent4 2 3 2 6" xfId="41044"/>
    <cellStyle name="40% - Accent4 2 3 2_AEO proration factors" xfId="36999"/>
    <cellStyle name="40% - Accent4 2 3 3" xfId="35883"/>
    <cellStyle name="40% - Accent4 2 3 3 2" xfId="37000"/>
    <cellStyle name="40% - Accent4 2 3 3 2 2" xfId="40509"/>
    <cellStyle name="40% - Accent4 2 3 3 2 3" xfId="42050"/>
    <cellStyle name="40% - Accent4 2 3 3 3" xfId="38495"/>
    <cellStyle name="40% - Accent4 2 3 3 4" xfId="39791"/>
    <cellStyle name="40% - Accent4 2 3 3 5" xfId="41332"/>
    <cellStyle name="40% - Accent4 2 3 3_consumption scenario A" xfId="37580"/>
    <cellStyle name="40% - Accent4 2 3 4" xfId="37001"/>
    <cellStyle name="40% - Accent4 2 3 4 2" xfId="40012"/>
    <cellStyle name="40% - Accent4 2 3 4 3" xfId="41553"/>
    <cellStyle name="40% - Accent4 2 3 5" xfId="37997"/>
    <cellStyle name="40% - Accent4 2 3 6" xfId="39294"/>
    <cellStyle name="40% - Accent4 2 3 7" xfId="40823"/>
    <cellStyle name="40% - Accent4 2 3_AEO proration factors" xfId="37002"/>
    <cellStyle name="40% - Accent4 2 4" xfId="35592"/>
    <cellStyle name="40% - Accent4 2 4 2" xfId="35983"/>
    <cellStyle name="40% - Accent4 2 4_consumption scenario A" xfId="37581"/>
    <cellStyle name="40% - Accent4 2 5" xfId="35622"/>
    <cellStyle name="40% - Accent4 2 5 2" xfId="37003"/>
    <cellStyle name="40% - Accent4 2 5 2 2" xfId="37004"/>
    <cellStyle name="40% - Accent4 2 5 2 2 2" xfId="40511"/>
    <cellStyle name="40% - Accent4 2 5 2 2 3" xfId="42052"/>
    <cellStyle name="40% - Accent4 2 5 2 3" xfId="38497"/>
    <cellStyle name="40% - Accent4 2 5 2 4" xfId="39793"/>
    <cellStyle name="40% - Accent4 2 5 2 5" xfId="41334"/>
    <cellStyle name="40% - Accent4 2 5 2_consumption scenario A" xfId="37859"/>
    <cellStyle name="40% - Accent4 2 5 3" xfId="37005"/>
    <cellStyle name="40% - Accent4 2 5 3 2" xfId="40218"/>
    <cellStyle name="40% - Accent4 2 5 3 3" xfId="41759"/>
    <cellStyle name="40% - Accent4 2 5 4" xfId="38203"/>
    <cellStyle name="40% - Accent4 2 5 5" xfId="39500"/>
    <cellStyle name="40% - Accent4 2 5 6" xfId="41041"/>
    <cellStyle name="40% - Accent4 2 5_AEO proration factors" xfId="37006"/>
    <cellStyle name="40% - Accent4 2 6" xfId="35683"/>
    <cellStyle name="40% - Accent4 2 6 2" xfId="37007"/>
    <cellStyle name="40% - Accent4 2 6 2 2" xfId="40504"/>
    <cellStyle name="40% - Accent4 2 6 2 3" xfId="42045"/>
    <cellStyle name="40% - Accent4 2 6 3" xfId="38490"/>
    <cellStyle name="40% - Accent4 2 6 4" xfId="39786"/>
    <cellStyle name="40% - Accent4 2 6 5" xfId="41327"/>
    <cellStyle name="40% - Accent4 2 6_consumption scenario A" xfId="37582"/>
    <cellStyle name="40% - Accent4 2 7" xfId="35822"/>
    <cellStyle name="40% - Accent4 2 7 2" xfId="39951"/>
    <cellStyle name="40% - Accent4 2 7 3" xfId="41492"/>
    <cellStyle name="40% - Accent4 2 8" xfId="37936"/>
    <cellStyle name="40% - Accent4 2 9" xfId="39233"/>
    <cellStyle name="40% - Accent4 2_AEO proration factors" xfId="37008"/>
    <cellStyle name="40% - Accent4 20" xfId="37009"/>
    <cellStyle name="40% - Accent4 20 2" xfId="38682"/>
    <cellStyle name="40% - Accent4 20 3" xfId="40696"/>
    <cellStyle name="40% - Accent4 20 4" xfId="42239"/>
    <cellStyle name="40% - Accent4 20_consumption scenario A" xfId="37860"/>
    <cellStyle name="40% - Accent4 21" xfId="37010"/>
    <cellStyle name="40% - Accent4 21 2" xfId="38695"/>
    <cellStyle name="40% - Accent4 21 3" xfId="40709"/>
    <cellStyle name="40% - Accent4 21 4" xfId="42252"/>
    <cellStyle name="40% - Accent4 21_consumption scenario A" xfId="37861"/>
    <cellStyle name="40% - Accent4 22" xfId="37011"/>
    <cellStyle name="40% - Accent4 22 2" xfId="38706"/>
    <cellStyle name="40% - Accent4 22 3" xfId="40720"/>
    <cellStyle name="40% - Accent4 22 4" xfId="42263"/>
    <cellStyle name="40% - Accent4 22_consumption scenario A" xfId="37862"/>
    <cellStyle name="40% - Accent4 23" xfId="37012"/>
    <cellStyle name="40% - Accent4 23 2" xfId="39936"/>
    <cellStyle name="40% - Accent4 23 3" xfId="41477"/>
    <cellStyle name="40% - Accent4 24" xfId="37921"/>
    <cellStyle name="40% - Accent4 25" xfId="5798"/>
    <cellStyle name="40% - Accent4 26" xfId="38720"/>
    <cellStyle name="40% - Accent4 27" xfId="5301"/>
    <cellStyle name="40% - Accent4 28" xfId="39218"/>
    <cellStyle name="40% - Accent4 29" xfId="40738"/>
    <cellStyle name="40% - Accent4 3" xfId="5812"/>
    <cellStyle name="40% - Accent4 3 2" xfId="5870"/>
    <cellStyle name="40% - Accent4 3 2 2" xfId="35771"/>
    <cellStyle name="40% - Accent4 3 2 2 2" xfId="37013"/>
    <cellStyle name="40% - Accent4 3 2 2 2 2" xfId="37014"/>
    <cellStyle name="40% - Accent4 3 2 2 2 2 2" xfId="40514"/>
    <cellStyle name="40% - Accent4 3 2 2 2 2 3" xfId="42055"/>
    <cellStyle name="40% - Accent4 3 2 2 2 3" xfId="38500"/>
    <cellStyle name="40% - Accent4 3 2 2 2 4" xfId="39796"/>
    <cellStyle name="40% - Accent4 3 2 2 2 5" xfId="41337"/>
    <cellStyle name="40% - Accent4 3 2 2 2_consumption scenario A" xfId="37863"/>
    <cellStyle name="40% - Accent4 3 2 2 3" xfId="37015"/>
    <cellStyle name="40% - Accent4 3 2 2 3 2" xfId="40223"/>
    <cellStyle name="40% - Accent4 3 2 2 3 3" xfId="41764"/>
    <cellStyle name="40% - Accent4 3 2 2 4" xfId="38208"/>
    <cellStyle name="40% - Accent4 3 2 2 5" xfId="39505"/>
    <cellStyle name="40% - Accent4 3 2 2 6" xfId="41046"/>
    <cellStyle name="40% - Accent4 3 2 2_AEO proration factors" xfId="37016"/>
    <cellStyle name="40% - Accent4 3 2 3" xfId="35899"/>
    <cellStyle name="40% - Accent4 3 2 3 2" xfId="37017"/>
    <cellStyle name="40% - Accent4 3 2 3 2 2" xfId="40513"/>
    <cellStyle name="40% - Accent4 3 2 3 2 3" xfId="42054"/>
    <cellStyle name="40% - Accent4 3 2 3 3" xfId="38499"/>
    <cellStyle name="40% - Accent4 3 2 3 4" xfId="39795"/>
    <cellStyle name="40% - Accent4 3 2 3 5" xfId="41336"/>
    <cellStyle name="40% - Accent4 3 2 3_consumption scenario A" xfId="37583"/>
    <cellStyle name="40% - Accent4 3 2 4" xfId="37018"/>
    <cellStyle name="40% - Accent4 3 2 4 2" xfId="40028"/>
    <cellStyle name="40% - Accent4 3 2 4 3" xfId="41569"/>
    <cellStyle name="40% - Accent4 3 2 5" xfId="38013"/>
    <cellStyle name="40% - Accent4 3 2 6" xfId="39310"/>
    <cellStyle name="40% - Accent4 3 2 7" xfId="40839"/>
    <cellStyle name="40% - Accent4 3 2_AEO proration factors" xfId="37019"/>
    <cellStyle name="40% - Accent4 3 3" xfId="5913"/>
    <cellStyle name="40% - Accent4 3 3 2" xfId="35995"/>
    <cellStyle name="40% - Accent4 3 3_consumption scenario A" xfId="37584"/>
    <cellStyle name="40% - Accent4 3 4" xfId="35638"/>
    <cellStyle name="40% - Accent4 3 4 2" xfId="37020"/>
    <cellStyle name="40% - Accent4 3 4 2 2" xfId="37021"/>
    <cellStyle name="40% - Accent4 3 4 2 2 2" xfId="40515"/>
    <cellStyle name="40% - Accent4 3 4 2 2 3" xfId="42056"/>
    <cellStyle name="40% - Accent4 3 4 2 3" xfId="38501"/>
    <cellStyle name="40% - Accent4 3 4 2 4" xfId="39797"/>
    <cellStyle name="40% - Accent4 3 4 2 5" xfId="41338"/>
    <cellStyle name="40% - Accent4 3 4 2_consumption scenario A" xfId="37864"/>
    <cellStyle name="40% - Accent4 3 4 3" xfId="37022"/>
    <cellStyle name="40% - Accent4 3 4 3 2" xfId="40222"/>
    <cellStyle name="40% - Accent4 3 4 3 3" xfId="41763"/>
    <cellStyle name="40% - Accent4 3 4 4" xfId="38207"/>
    <cellStyle name="40% - Accent4 3 4 5" xfId="39504"/>
    <cellStyle name="40% - Accent4 3 4 6" xfId="41045"/>
    <cellStyle name="40% - Accent4 3 4_AEO proration factors" xfId="37023"/>
    <cellStyle name="40% - Accent4 3 5" xfId="35698"/>
    <cellStyle name="40% - Accent4 3 5 2" xfId="37024"/>
    <cellStyle name="40% - Accent4 3 5 2 2" xfId="40512"/>
    <cellStyle name="40% - Accent4 3 5 2 3" xfId="42053"/>
    <cellStyle name="40% - Accent4 3 5 3" xfId="38498"/>
    <cellStyle name="40% - Accent4 3 5 4" xfId="39794"/>
    <cellStyle name="40% - Accent4 3 5 5" xfId="41335"/>
    <cellStyle name="40% - Accent4 3 5_consumption scenario A" xfId="37585"/>
    <cellStyle name="40% - Accent4 3 6" xfId="35838"/>
    <cellStyle name="40% - Accent4 3 6 2" xfId="39967"/>
    <cellStyle name="40% - Accent4 3 6 3" xfId="41508"/>
    <cellStyle name="40% - Accent4 3 7" xfId="37952"/>
    <cellStyle name="40% - Accent4 3 8" xfId="39249"/>
    <cellStyle name="40% - Accent4 3 9" xfId="40772"/>
    <cellStyle name="40% - Accent4 3_AEO proration factors" xfId="37025"/>
    <cellStyle name="40% - Accent4 4" xfId="5841"/>
    <cellStyle name="40% - Accent4 4 10" xfId="42290"/>
    <cellStyle name="40% - Accent4 4 2" xfId="5927"/>
    <cellStyle name="40% - Accent4 4 2 2" xfId="36007"/>
    <cellStyle name="40% - Accent4 4 2_consumption scenario A" xfId="37586"/>
    <cellStyle name="40% - Accent4 4 3" xfId="35712"/>
    <cellStyle name="40% - Accent4 4 3 2" xfId="37026"/>
    <cellStyle name="40% - Accent4 4 3 2 2" xfId="37027"/>
    <cellStyle name="40% - Accent4 4 3 2 2 2" xfId="40517"/>
    <cellStyle name="40% - Accent4 4 3 2 2 3" xfId="42058"/>
    <cellStyle name="40% - Accent4 4 3 2 3" xfId="38503"/>
    <cellStyle name="40% - Accent4 4 3 2 4" xfId="39799"/>
    <cellStyle name="40% - Accent4 4 3 2 5" xfId="41340"/>
    <cellStyle name="40% - Accent4 4 3 2_consumption scenario A" xfId="37865"/>
    <cellStyle name="40% - Accent4 4 3 3" xfId="37028"/>
    <cellStyle name="40% - Accent4 4 3 3 2" xfId="40224"/>
    <cellStyle name="40% - Accent4 4 3 3 3" xfId="41765"/>
    <cellStyle name="40% - Accent4 4 3 4" xfId="38209"/>
    <cellStyle name="40% - Accent4 4 3 5" xfId="39506"/>
    <cellStyle name="40% - Accent4 4 3 6" xfId="41047"/>
    <cellStyle name="40% - Accent4 4 3_AEO proration factors" xfId="37029"/>
    <cellStyle name="40% - Accent4 4 4" xfId="35868"/>
    <cellStyle name="40% - Accent4 4 4 2" xfId="37030"/>
    <cellStyle name="40% - Accent4 4 4 2 2" xfId="40516"/>
    <cellStyle name="40% - Accent4 4 4 2 3" xfId="42057"/>
    <cellStyle name="40% - Accent4 4 4 3" xfId="38502"/>
    <cellStyle name="40% - Accent4 4 4 4" xfId="39798"/>
    <cellStyle name="40% - Accent4 4 4 5" xfId="41339"/>
    <cellStyle name="40% - Accent4 4 4_consumption scenario A" xfId="37587"/>
    <cellStyle name="40% - Accent4 4 5" xfId="37031"/>
    <cellStyle name="40% - Accent4 4 5 2" xfId="39997"/>
    <cellStyle name="40% - Accent4 4 5 3" xfId="41538"/>
    <cellStyle name="40% - Accent4 4 6" xfId="37982"/>
    <cellStyle name="40% - Accent4 4 7" xfId="39279"/>
    <cellStyle name="40% - Accent4 4 8" xfId="40808"/>
    <cellStyle name="40% - Accent4 4 9" xfId="40777"/>
    <cellStyle name="40% - Accent4 4_AEO proration factors" xfId="37032"/>
    <cellStyle name="40% - Accent4 5" xfId="5941"/>
    <cellStyle name="40% - Accent4 5 10" xfId="42273"/>
    <cellStyle name="40% - Accent4 5 2" xfId="35726"/>
    <cellStyle name="40% - Accent4 5 2 2" xfId="36019"/>
    <cellStyle name="40% - Accent4 5 2_consumption scenario A" xfId="37588"/>
    <cellStyle name="40% - Accent4 5 3" xfId="35929"/>
    <cellStyle name="40% - Accent4 5 3 2" xfId="37033"/>
    <cellStyle name="40% - Accent4 5 3 2 2" xfId="37034"/>
    <cellStyle name="40% - Accent4 5 3 2 2 2" xfId="40519"/>
    <cellStyle name="40% - Accent4 5 3 2 2 3" xfId="42060"/>
    <cellStyle name="40% - Accent4 5 3 2 3" xfId="38505"/>
    <cellStyle name="40% - Accent4 5 3 2 4" xfId="39801"/>
    <cellStyle name="40% - Accent4 5 3 2 5" xfId="41342"/>
    <cellStyle name="40% - Accent4 5 3 2_consumption scenario A" xfId="37866"/>
    <cellStyle name="40% - Accent4 5 3 3" xfId="37035"/>
    <cellStyle name="40% - Accent4 5 3 3 2" xfId="40225"/>
    <cellStyle name="40% - Accent4 5 3 3 3" xfId="41766"/>
    <cellStyle name="40% - Accent4 5 3 4" xfId="38210"/>
    <cellStyle name="40% - Accent4 5 3 5" xfId="39507"/>
    <cellStyle name="40% - Accent4 5 3 6" xfId="41048"/>
    <cellStyle name="40% - Accent4 5 3_AEO proration factors" xfId="37036"/>
    <cellStyle name="40% - Accent4 5 4" xfId="37037"/>
    <cellStyle name="40% - Accent4 5 4 2" xfId="37038"/>
    <cellStyle name="40% - Accent4 5 4 2 2" xfId="40518"/>
    <cellStyle name="40% - Accent4 5 4 2 3" xfId="42059"/>
    <cellStyle name="40% - Accent4 5 4 3" xfId="38504"/>
    <cellStyle name="40% - Accent4 5 4 4" xfId="39800"/>
    <cellStyle name="40% - Accent4 5 4 5" xfId="41341"/>
    <cellStyle name="40% - Accent4 5 4_consumption scenario A" xfId="37867"/>
    <cellStyle name="40% - Accent4 5 5" xfId="37039"/>
    <cellStyle name="40% - Accent4 5 5 2" xfId="40059"/>
    <cellStyle name="40% - Accent4 5 5 3" xfId="41600"/>
    <cellStyle name="40% - Accent4 5 6" xfId="38044"/>
    <cellStyle name="40% - Accent4 5 7" xfId="39341"/>
    <cellStyle name="40% - Accent4 5 8" xfId="40874"/>
    <cellStyle name="40% - Accent4 5 9" xfId="40883"/>
    <cellStyle name="40% - Accent4 5_AEO proration factors" xfId="37040"/>
    <cellStyle name="40% - Accent4 6" xfId="5884"/>
    <cellStyle name="40% - Accent4 6 2" xfId="35740"/>
    <cellStyle name="40% - Accent4 6 3" xfId="36031"/>
    <cellStyle name="40% - Accent4 6_consumption scenario A" xfId="37589"/>
    <cellStyle name="40% - Accent4 7" xfId="35578"/>
    <cellStyle name="40% - Accent4 7 2" xfId="36043"/>
    <cellStyle name="40% - Accent4 7_consumption scenario A" xfId="37590"/>
    <cellStyle name="40% - Accent4 8" xfId="35608"/>
    <cellStyle name="40% - Accent4 8 2" xfId="36056"/>
    <cellStyle name="40% - Accent4 8_consumption scenario A" xfId="37591"/>
    <cellStyle name="40% - Accent4 9" xfId="35669"/>
    <cellStyle name="40% - Accent4 9 2" xfId="36069"/>
    <cellStyle name="40% - Accent4 9_consumption scenario A" xfId="37592"/>
    <cellStyle name="40% - Accent5" xfId="4" builtinId="47" hidden="1"/>
    <cellStyle name="40% - Accent5" xfId="76" builtinId="47" customBuiltin="1"/>
    <cellStyle name="40% - Accent5 10" xfId="36083"/>
    <cellStyle name="40% - Accent5 11" xfId="36095"/>
    <cellStyle name="40% - Accent5 12" xfId="35961"/>
    <cellStyle name="40% - Accent5 13" xfId="35947"/>
    <cellStyle name="40% - Accent5 13 2" xfId="37041"/>
    <cellStyle name="40% - Accent5 13 2 2" xfId="37042"/>
    <cellStyle name="40% - Accent5 13 2 2 2" xfId="37043"/>
    <cellStyle name="40% - Accent5 13 2 2 2 2" xfId="40521"/>
    <cellStyle name="40% - Accent5 13 2 2 2 3" xfId="42062"/>
    <cellStyle name="40% - Accent5 13 2 2 3" xfId="38507"/>
    <cellStyle name="40% - Accent5 13 2 2 4" xfId="39803"/>
    <cellStyle name="40% - Accent5 13 2 2 5" xfId="41344"/>
    <cellStyle name="40% - Accent5 13 2 2_consumption scenario A" xfId="37868"/>
    <cellStyle name="40% - Accent5 13 2 3" xfId="37044"/>
    <cellStyle name="40% - Accent5 13 2 3 2" xfId="40226"/>
    <cellStyle name="40% - Accent5 13 2 3 3" xfId="41767"/>
    <cellStyle name="40% - Accent5 13 2 4" xfId="38211"/>
    <cellStyle name="40% - Accent5 13 2 5" xfId="39508"/>
    <cellStyle name="40% - Accent5 13 2 6" xfId="41049"/>
    <cellStyle name="40% - Accent5 13 2_AEO proration factors" xfId="37045"/>
    <cellStyle name="40% - Accent5 13 3" xfId="37046"/>
    <cellStyle name="40% - Accent5 13 3 2" xfId="37047"/>
    <cellStyle name="40% - Accent5 13 3 2 2" xfId="40520"/>
    <cellStyle name="40% - Accent5 13 3 2 3" xfId="42061"/>
    <cellStyle name="40% - Accent5 13 3 3" xfId="38506"/>
    <cellStyle name="40% - Accent5 13 3 4" xfId="39802"/>
    <cellStyle name="40% - Accent5 13 3 5" xfId="41343"/>
    <cellStyle name="40% - Accent5 13 3_consumption scenario A" xfId="37869"/>
    <cellStyle name="40% - Accent5 13 4" xfId="37048"/>
    <cellStyle name="40% - Accent5 13 4 2" xfId="40077"/>
    <cellStyle name="40% - Accent5 13 4 3" xfId="41618"/>
    <cellStyle name="40% - Accent5 13 5" xfId="38062"/>
    <cellStyle name="40% - Accent5 13 6" xfId="39359"/>
    <cellStyle name="40% - Accent5 13 7" xfId="40895"/>
    <cellStyle name="40% - Accent5 13_AEO proration factors" xfId="37049"/>
    <cellStyle name="40% - Accent5 14" xfId="36112"/>
    <cellStyle name="40% - Accent5 14 2" xfId="37050"/>
    <cellStyle name="40% - Accent5 14 2 2" xfId="37051"/>
    <cellStyle name="40% - Accent5 14 2 2 2" xfId="37052"/>
    <cellStyle name="40% - Accent5 14 2 2 2 2" xfId="40523"/>
    <cellStyle name="40% - Accent5 14 2 2 2 3" xfId="42064"/>
    <cellStyle name="40% - Accent5 14 2 2 3" xfId="38509"/>
    <cellStyle name="40% - Accent5 14 2 2 4" xfId="39805"/>
    <cellStyle name="40% - Accent5 14 2 2 5" xfId="41346"/>
    <cellStyle name="40% - Accent5 14 2 2_consumption scenario A" xfId="37870"/>
    <cellStyle name="40% - Accent5 14 2 3" xfId="37053"/>
    <cellStyle name="40% - Accent5 14 2 3 2" xfId="40227"/>
    <cellStyle name="40% - Accent5 14 2 3 3" xfId="41768"/>
    <cellStyle name="40% - Accent5 14 2 4" xfId="38212"/>
    <cellStyle name="40% - Accent5 14 2 5" xfId="39509"/>
    <cellStyle name="40% - Accent5 14 2 6" xfId="41050"/>
    <cellStyle name="40% - Accent5 14 2_AEO proration factors" xfId="37054"/>
    <cellStyle name="40% - Accent5 14 3" xfId="37055"/>
    <cellStyle name="40% - Accent5 14 3 2" xfId="37056"/>
    <cellStyle name="40% - Accent5 14 3 2 2" xfId="40522"/>
    <cellStyle name="40% - Accent5 14 3 2 3" xfId="42063"/>
    <cellStyle name="40% - Accent5 14 3 3" xfId="38508"/>
    <cellStyle name="40% - Accent5 14 3 4" xfId="39804"/>
    <cellStyle name="40% - Accent5 14 3 5" xfId="41345"/>
    <cellStyle name="40% - Accent5 14 3_consumption scenario A" xfId="37871"/>
    <cellStyle name="40% - Accent5 14 4" xfId="37057"/>
    <cellStyle name="40% - Accent5 14 4 2" xfId="40094"/>
    <cellStyle name="40% - Accent5 14 4 3" xfId="41635"/>
    <cellStyle name="40% - Accent5 14 5" xfId="38079"/>
    <cellStyle name="40% - Accent5 14 6" xfId="39376"/>
    <cellStyle name="40% - Accent5 14 7" xfId="40917"/>
    <cellStyle name="40% - Accent5 14_AEO proration factors" xfId="37058"/>
    <cellStyle name="40% - Accent5 15" xfId="35809"/>
    <cellStyle name="40% - Accent5 15 2" xfId="37059"/>
    <cellStyle name="40% - Accent5 15 2 2" xfId="37060"/>
    <cellStyle name="40% - Accent5 15 2 2 2" xfId="37061"/>
    <cellStyle name="40% - Accent5 15 2 2 2 2" xfId="40525"/>
    <cellStyle name="40% - Accent5 15 2 2 2 3" xfId="42066"/>
    <cellStyle name="40% - Accent5 15 2 2 3" xfId="38511"/>
    <cellStyle name="40% - Accent5 15 2 2 4" xfId="39807"/>
    <cellStyle name="40% - Accent5 15 2 2 5" xfId="41348"/>
    <cellStyle name="40% - Accent5 15 2 2_consumption scenario A" xfId="37872"/>
    <cellStyle name="40% - Accent5 15 2 3" xfId="37062"/>
    <cellStyle name="40% - Accent5 15 2 3 2" xfId="40228"/>
    <cellStyle name="40% - Accent5 15 2 3 3" xfId="41769"/>
    <cellStyle name="40% - Accent5 15 2 4" xfId="38213"/>
    <cellStyle name="40% - Accent5 15 2 5" xfId="39510"/>
    <cellStyle name="40% - Accent5 15 2 6" xfId="41051"/>
    <cellStyle name="40% - Accent5 15 2_AEO proration factors" xfId="37063"/>
    <cellStyle name="40% - Accent5 15 3" xfId="37064"/>
    <cellStyle name="40% - Accent5 15 3 2" xfId="37065"/>
    <cellStyle name="40% - Accent5 15 3 2 2" xfId="40524"/>
    <cellStyle name="40% - Accent5 15 3 2 3" xfId="42065"/>
    <cellStyle name="40% - Accent5 15 3 3" xfId="38510"/>
    <cellStyle name="40% - Accent5 15 3 4" xfId="39806"/>
    <cellStyle name="40% - Accent5 15 3 5" xfId="41347"/>
    <cellStyle name="40% - Accent5 15 3_consumption scenario A" xfId="37873"/>
    <cellStyle name="40% - Accent5 15 4" xfId="37066"/>
    <cellStyle name="40% - Accent5 15 4 2" xfId="40110"/>
    <cellStyle name="40% - Accent5 15 4 3" xfId="41651"/>
    <cellStyle name="40% - Accent5 15 5" xfId="38095"/>
    <cellStyle name="40% - Accent5 15 6" xfId="39392"/>
    <cellStyle name="40% - Accent5 15 7" xfId="40933"/>
    <cellStyle name="40% - Accent5 15_AEO proration factors" xfId="37067"/>
    <cellStyle name="40% - Accent5 16" xfId="36128"/>
    <cellStyle name="40% - Accent5 16 2" xfId="37068"/>
    <cellStyle name="40% - Accent5 16 2 2" xfId="40297"/>
    <cellStyle name="40% - Accent5 16 2 3" xfId="41838"/>
    <cellStyle name="40% - Accent5 16 3" xfId="38282"/>
    <cellStyle name="40% - Accent5 16 4" xfId="39579"/>
    <cellStyle name="40% - Accent5 16 5" xfId="41120"/>
    <cellStyle name="40% - Accent5 16_consumption scenario A" xfId="37593"/>
    <cellStyle name="40% - Accent5 17" xfId="37069"/>
    <cellStyle name="40% - Accent5 17 2" xfId="38642"/>
    <cellStyle name="40% - Accent5 17 3" xfId="40656"/>
    <cellStyle name="40% - Accent5 17 4" xfId="42197"/>
    <cellStyle name="40% - Accent5 17_consumption scenario A" xfId="37874"/>
    <cellStyle name="40% - Accent5 18" xfId="37070"/>
    <cellStyle name="40% - Accent5 18 2" xfId="38662"/>
    <cellStyle name="40% - Accent5 18 3" xfId="40676"/>
    <cellStyle name="40% - Accent5 18 4" xfId="42217"/>
    <cellStyle name="40% - Accent5 18_consumption scenario A" xfId="37875"/>
    <cellStyle name="40% - Accent5 19" xfId="37071"/>
    <cellStyle name="40% - Accent5 19 2" xfId="38674"/>
    <cellStyle name="40% - Accent5 19 3" xfId="40688"/>
    <cellStyle name="40% - Accent5 19 4" xfId="42230"/>
    <cellStyle name="40% - Accent5 19_consumption scenario A" xfId="37876"/>
    <cellStyle name="40% - Accent5 2" xfId="5828"/>
    <cellStyle name="40% - Accent5 2 10" xfId="40757"/>
    <cellStyle name="40% - Accent5 2 2" xfId="5857"/>
    <cellStyle name="40% - Accent5 2 2 2" xfId="35655"/>
    <cellStyle name="40% - Accent5 2 2 2 2" xfId="35916"/>
    <cellStyle name="40% - Accent5 2 2 2 2 2" xfId="37072"/>
    <cellStyle name="40% - Accent5 2 2 2 2 2 2" xfId="37073"/>
    <cellStyle name="40% - Accent5 2 2 2 2 2 2 2" xfId="40529"/>
    <cellStyle name="40% - Accent5 2 2 2 2 2 2 3" xfId="42070"/>
    <cellStyle name="40% - Accent5 2 2 2 2 2 3" xfId="38515"/>
    <cellStyle name="40% - Accent5 2 2 2 2 2 4" xfId="39811"/>
    <cellStyle name="40% - Accent5 2 2 2 2 2 5" xfId="41352"/>
    <cellStyle name="40% - Accent5 2 2 2 2 2_consumption scenario A" xfId="37877"/>
    <cellStyle name="40% - Accent5 2 2 2 2 3" xfId="37074"/>
    <cellStyle name="40% - Accent5 2 2 2 2 3 2" xfId="40231"/>
    <cellStyle name="40% - Accent5 2 2 2 2 3 3" xfId="41772"/>
    <cellStyle name="40% - Accent5 2 2 2 2 4" xfId="38216"/>
    <cellStyle name="40% - Accent5 2 2 2 2 5" xfId="39513"/>
    <cellStyle name="40% - Accent5 2 2 2 2 6" xfId="41054"/>
    <cellStyle name="40% - Accent5 2 2 2 2_AEO proration factors" xfId="37075"/>
    <cellStyle name="40% - Accent5 2 2 2 3" xfId="37076"/>
    <cellStyle name="40% - Accent5 2 2 2 3 2" xfId="37077"/>
    <cellStyle name="40% - Accent5 2 2 2 3 2 2" xfId="40528"/>
    <cellStyle name="40% - Accent5 2 2 2 3 2 3" xfId="42069"/>
    <cellStyle name="40% - Accent5 2 2 2 3 3" xfId="38514"/>
    <cellStyle name="40% - Accent5 2 2 2 3 4" xfId="39810"/>
    <cellStyle name="40% - Accent5 2 2 2 3 5" xfId="41351"/>
    <cellStyle name="40% - Accent5 2 2 2 3_consumption scenario A" xfId="37878"/>
    <cellStyle name="40% - Accent5 2 2 2 4" xfId="37078"/>
    <cellStyle name="40% - Accent5 2 2 2 4 2" xfId="40045"/>
    <cellStyle name="40% - Accent5 2 2 2 4 3" xfId="41586"/>
    <cellStyle name="40% - Accent5 2 2 2 5" xfId="38030"/>
    <cellStyle name="40% - Accent5 2 2 2 6" xfId="39327"/>
    <cellStyle name="40% - Accent5 2 2 2 7" xfId="40856"/>
    <cellStyle name="40% - Accent5 2 2 2_AEO proration factors" xfId="37079"/>
    <cellStyle name="40% - Accent5 2 2 3" xfId="35788"/>
    <cellStyle name="40% - Accent5 2 2 3 2" xfId="37080"/>
    <cellStyle name="40% - Accent5 2 2 3 2 2" xfId="37081"/>
    <cellStyle name="40% - Accent5 2 2 3 2 2 2" xfId="40530"/>
    <cellStyle name="40% - Accent5 2 2 3 2 2 3" xfId="42071"/>
    <cellStyle name="40% - Accent5 2 2 3 2 3" xfId="38516"/>
    <cellStyle name="40% - Accent5 2 2 3 2 4" xfId="39812"/>
    <cellStyle name="40% - Accent5 2 2 3 2 5" xfId="41353"/>
    <cellStyle name="40% - Accent5 2 2 3 2_consumption scenario A" xfId="37879"/>
    <cellStyle name="40% - Accent5 2 2 3 3" xfId="37082"/>
    <cellStyle name="40% - Accent5 2 2 3 3 2" xfId="40230"/>
    <cellStyle name="40% - Accent5 2 2 3 3 3" xfId="41771"/>
    <cellStyle name="40% - Accent5 2 2 3 4" xfId="38215"/>
    <cellStyle name="40% - Accent5 2 2 3 5" xfId="39512"/>
    <cellStyle name="40% - Accent5 2 2 3 6" xfId="41053"/>
    <cellStyle name="40% - Accent5 2 2 3_AEO proration factors" xfId="37083"/>
    <cellStyle name="40% - Accent5 2 2 4" xfId="35855"/>
    <cellStyle name="40% - Accent5 2 2 4 2" xfId="37084"/>
    <cellStyle name="40% - Accent5 2 2 4 2 2" xfId="40527"/>
    <cellStyle name="40% - Accent5 2 2 4 2 3" xfId="42068"/>
    <cellStyle name="40% - Accent5 2 2 4 3" xfId="38513"/>
    <cellStyle name="40% - Accent5 2 2 4 4" xfId="39809"/>
    <cellStyle name="40% - Accent5 2 2 4 5" xfId="41350"/>
    <cellStyle name="40% - Accent5 2 2 4_consumption scenario A" xfId="37594"/>
    <cellStyle name="40% - Accent5 2 2 5" xfId="37085"/>
    <cellStyle name="40% - Accent5 2 2 5 2" xfId="39984"/>
    <cellStyle name="40% - Accent5 2 2 5 3" xfId="41525"/>
    <cellStyle name="40% - Accent5 2 2 6" xfId="37969"/>
    <cellStyle name="40% - Accent5 2 2 7" xfId="39266"/>
    <cellStyle name="40% - Accent5 2 2 8" xfId="40792"/>
    <cellStyle name="40% - Accent5 2 2_AEO proration factors" xfId="37086"/>
    <cellStyle name="40% - Accent5 2 3" xfId="5900"/>
    <cellStyle name="40% - Accent5 2 3 2" xfId="35757"/>
    <cellStyle name="40% - Accent5 2 3 2 2" xfId="37087"/>
    <cellStyle name="40% - Accent5 2 3 2 2 2" xfId="37088"/>
    <cellStyle name="40% - Accent5 2 3 2 2 2 2" xfId="40532"/>
    <cellStyle name="40% - Accent5 2 3 2 2 2 3" xfId="42073"/>
    <cellStyle name="40% - Accent5 2 3 2 2 3" xfId="38518"/>
    <cellStyle name="40% - Accent5 2 3 2 2 4" xfId="39814"/>
    <cellStyle name="40% - Accent5 2 3 2 2 5" xfId="41355"/>
    <cellStyle name="40% - Accent5 2 3 2 2_consumption scenario A" xfId="37880"/>
    <cellStyle name="40% - Accent5 2 3 2 3" xfId="37089"/>
    <cellStyle name="40% - Accent5 2 3 2 3 2" xfId="40232"/>
    <cellStyle name="40% - Accent5 2 3 2 3 3" xfId="41773"/>
    <cellStyle name="40% - Accent5 2 3 2 4" xfId="38217"/>
    <cellStyle name="40% - Accent5 2 3 2 5" xfId="39514"/>
    <cellStyle name="40% - Accent5 2 3 2 6" xfId="41055"/>
    <cellStyle name="40% - Accent5 2 3 2_AEO proration factors" xfId="37090"/>
    <cellStyle name="40% - Accent5 2 3 3" xfId="35885"/>
    <cellStyle name="40% - Accent5 2 3 3 2" xfId="37091"/>
    <cellStyle name="40% - Accent5 2 3 3 2 2" xfId="40531"/>
    <cellStyle name="40% - Accent5 2 3 3 2 3" xfId="42072"/>
    <cellStyle name="40% - Accent5 2 3 3 3" xfId="38517"/>
    <cellStyle name="40% - Accent5 2 3 3 4" xfId="39813"/>
    <cellStyle name="40% - Accent5 2 3 3 5" xfId="41354"/>
    <cellStyle name="40% - Accent5 2 3 3_consumption scenario A" xfId="37595"/>
    <cellStyle name="40% - Accent5 2 3 4" xfId="37092"/>
    <cellStyle name="40% - Accent5 2 3 4 2" xfId="40014"/>
    <cellStyle name="40% - Accent5 2 3 4 3" xfId="41555"/>
    <cellStyle name="40% - Accent5 2 3 5" xfId="37999"/>
    <cellStyle name="40% - Accent5 2 3 6" xfId="39296"/>
    <cellStyle name="40% - Accent5 2 3 7" xfId="40825"/>
    <cellStyle name="40% - Accent5 2 3_AEO proration factors" xfId="37093"/>
    <cellStyle name="40% - Accent5 2 4" xfId="35594"/>
    <cellStyle name="40% - Accent5 2 4 2" xfId="35985"/>
    <cellStyle name="40% - Accent5 2 4_consumption scenario A" xfId="37596"/>
    <cellStyle name="40% - Accent5 2 5" xfId="35624"/>
    <cellStyle name="40% - Accent5 2 5 2" xfId="37094"/>
    <cellStyle name="40% - Accent5 2 5 2 2" xfId="37095"/>
    <cellStyle name="40% - Accent5 2 5 2 2 2" xfId="40533"/>
    <cellStyle name="40% - Accent5 2 5 2 2 3" xfId="42074"/>
    <cellStyle name="40% - Accent5 2 5 2 3" xfId="38519"/>
    <cellStyle name="40% - Accent5 2 5 2 4" xfId="39815"/>
    <cellStyle name="40% - Accent5 2 5 2 5" xfId="41356"/>
    <cellStyle name="40% - Accent5 2 5 2_consumption scenario A" xfId="37881"/>
    <cellStyle name="40% - Accent5 2 5 3" xfId="37096"/>
    <cellStyle name="40% - Accent5 2 5 3 2" xfId="40229"/>
    <cellStyle name="40% - Accent5 2 5 3 3" xfId="41770"/>
    <cellStyle name="40% - Accent5 2 5 4" xfId="38214"/>
    <cellStyle name="40% - Accent5 2 5 5" xfId="39511"/>
    <cellStyle name="40% - Accent5 2 5 6" xfId="41052"/>
    <cellStyle name="40% - Accent5 2 5_AEO proration factors" xfId="37097"/>
    <cellStyle name="40% - Accent5 2 6" xfId="35685"/>
    <cellStyle name="40% - Accent5 2 6 2" xfId="37098"/>
    <cellStyle name="40% - Accent5 2 6 2 2" xfId="40526"/>
    <cellStyle name="40% - Accent5 2 6 2 3" xfId="42067"/>
    <cellStyle name="40% - Accent5 2 6 3" xfId="38512"/>
    <cellStyle name="40% - Accent5 2 6 4" xfId="39808"/>
    <cellStyle name="40% - Accent5 2 6 5" xfId="41349"/>
    <cellStyle name="40% - Accent5 2 6_consumption scenario A" xfId="37597"/>
    <cellStyle name="40% - Accent5 2 7" xfId="35824"/>
    <cellStyle name="40% - Accent5 2 7 2" xfId="39953"/>
    <cellStyle name="40% - Accent5 2 7 3" xfId="41494"/>
    <cellStyle name="40% - Accent5 2 8" xfId="37938"/>
    <cellStyle name="40% - Accent5 2 9" xfId="39235"/>
    <cellStyle name="40% - Accent5 2_AEO proration factors" xfId="37099"/>
    <cellStyle name="40% - Accent5 20" xfId="37100"/>
    <cellStyle name="40% - Accent5 20 2" xfId="38684"/>
    <cellStyle name="40% - Accent5 20 3" xfId="40698"/>
    <cellStyle name="40% - Accent5 20 4" xfId="42241"/>
    <cellStyle name="40% - Accent5 20_consumption scenario A" xfId="37882"/>
    <cellStyle name="40% - Accent5 21" xfId="37101"/>
    <cellStyle name="40% - Accent5 21 2" xfId="38698"/>
    <cellStyle name="40% - Accent5 21 3" xfId="40712"/>
    <cellStyle name="40% - Accent5 21 4" xfId="42255"/>
    <cellStyle name="40% - Accent5 21_consumption scenario A" xfId="37883"/>
    <cellStyle name="40% - Accent5 22" xfId="37102"/>
    <cellStyle name="40% - Accent5 22 2" xfId="38708"/>
    <cellStyle name="40% - Accent5 22 3" xfId="40722"/>
    <cellStyle name="40% - Accent5 22 4" xfId="42265"/>
    <cellStyle name="40% - Accent5 22_consumption scenario A" xfId="37884"/>
    <cellStyle name="40% - Accent5 23" xfId="37103"/>
    <cellStyle name="40% - Accent5 23 2" xfId="39938"/>
    <cellStyle name="40% - Accent5 23 3" xfId="41479"/>
    <cellStyle name="40% - Accent5 24" xfId="37923"/>
    <cellStyle name="40% - Accent5 25" xfId="5799"/>
    <cellStyle name="40% - Accent5 26" xfId="38721"/>
    <cellStyle name="40% - Accent5 27" xfId="5302"/>
    <cellStyle name="40% - Accent5 28" xfId="39220"/>
    <cellStyle name="40% - Accent5 29" xfId="40740"/>
    <cellStyle name="40% - Accent5 3" xfId="5814"/>
    <cellStyle name="40% - Accent5 3 2" xfId="5872"/>
    <cellStyle name="40% - Accent5 3 2 2" xfId="35773"/>
    <cellStyle name="40% - Accent5 3 2 2 2" xfId="37104"/>
    <cellStyle name="40% - Accent5 3 2 2 2 2" xfId="37105"/>
    <cellStyle name="40% - Accent5 3 2 2 2 2 2" xfId="40536"/>
    <cellStyle name="40% - Accent5 3 2 2 2 2 3" xfId="42077"/>
    <cellStyle name="40% - Accent5 3 2 2 2 3" xfId="38522"/>
    <cellStyle name="40% - Accent5 3 2 2 2 4" xfId="39818"/>
    <cellStyle name="40% - Accent5 3 2 2 2 5" xfId="41359"/>
    <cellStyle name="40% - Accent5 3 2 2 2_consumption scenario A" xfId="37885"/>
    <cellStyle name="40% - Accent5 3 2 2 3" xfId="37106"/>
    <cellStyle name="40% - Accent5 3 2 2 3 2" xfId="40234"/>
    <cellStyle name="40% - Accent5 3 2 2 3 3" xfId="41775"/>
    <cellStyle name="40% - Accent5 3 2 2 4" xfId="38219"/>
    <cellStyle name="40% - Accent5 3 2 2 5" xfId="39516"/>
    <cellStyle name="40% - Accent5 3 2 2 6" xfId="41057"/>
    <cellStyle name="40% - Accent5 3 2 2_AEO proration factors" xfId="37107"/>
    <cellStyle name="40% - Accent5 3 2 3" xfId="35901"/>
    <cellStyle name="40% - Accent5 3 2 3 2" xfId="37108"/>
    <cellStyle name="40% - Accent5 3 2 3 2 2" xfId="40535"/>
    <cellStyle name="40% - Accent5 3 2 3 2 3" xfId="42076"/>
    <cellStyle name="40% - Accent5 3 2 3 3" xfId="38521"/>
    <cellStyle name="40% - Accent5 3 2 3 4" xfId="39817"/>
    <cellStyle name="40% - Accent5 3 2 3 5" xfId="41358"/>
    <cellStyle name="40% - Accent5 3 2 3_consumption scenario A" xfId="37598"/>
    <cellStyle name="40% - Accent5 3 2 4" xfId="37109"/>
    <cellStyle name="40% - Accent5 3 2 4 2" xfId="40030"/>
    <cellStyle name="40% - Accent5 3 2 4 3" xfId="41571"/>
    <cellStyle name="40% - Accent5 3 2 5" xfId="38015"/>
    <cellStyle name="40% - Accent5 3 2 6" xfId="39312"/>
    <cellStyle name="40% - Accent5 3 2 7" xfId="40841"/>
    <cellStyle name="40% - Accent5 3 2_AEO proration factors" xfId="37110"/>
    <cellStyle name="40% - Accent5 3 3" xfId="5915"/>
    <cellStyle name="40% - Accent5 3 3 2" xfId="35997"/>
    <cellStyle name="40% - Accent5 3 3_consumption scenario A" xfId="37599"/>
    <cellStyle name="40% - Accent5 3 4" xfId="35640"/>
    <cellStyle name="40% - Accent5 3 4 2" xfId="37111"/>
    <cellStyle name="40% - Accent5 3 4 2 2" xfId="37112"/>
    <cellStyle name="40% - Accent5 3 4 2 2 2" xfId="40537"/>
    <cellStyle name="40% - Accent5 3 4 2 2 3" xfId="42078"/>
    <cellStyle name="40% - Accent5 3 4 2 3" xfId="38523"/>
    <cellStyle name="40% - Accent5 3 4 2 4" xfId="39819"/>
    <cellStyle name="40% - Accent5 3 4 2 5" xfId="41360"/>
    <cellStyle name="40% - Accent5 3 4 2_consumption scenario A" xfId="37886"/>
    <cellStyle name="40% - Accent5 3 4 3" xfId="37113"/>
    <cellStyle name="40% - Accent5 3 4 3 2" xfId="40233"/>
    <cellStyle name="40% - Accent5 3 4 3 3" xfId="41774"/>
    <cellStyle name="40% - Accent5 3 4 4" xfId="38218"/>
    <cellStyle name="40% - Accent5 3 4 5" xfId="39515"/>
    <cellStyle name="40% - Accent5 3 4 6" xfId="41056"/>
    <cellStyle name="40% - Accent5 3 4_AEO proration factors" xfId="37114"/>
    <cellStyle name="40% - Accent5 3 5" xfId="35700"/>
    <cellStyle name="40% - Accent5 3 5 2" xfId="37115"/>
    <cellStyle name="40% - Accent5 3 5 2 2" xfId="40534"/>
    <cellStyle name="40% - Accent5 3 5 2 3" xfId="42075"/>
    <cellStyle name="40% - Accent5 3 5 3" xfId="38520"/>
    <cellStyle name="40% - Accent5 3 5 4" xfId="39816"/>
    <cellStyle name="40% - Accent5 3 5 5" xfId="41357"/>
    <cellStyle name="40% - Accent5 3 5_consumption scenario A" xfId="37600"/>
    <cellStyle name="40% - Accent5 3 6" xfId="35840"/>
    <cellStyle name="40% - Accent5 3 6 2" xfId="39969"/>
    <cellStyle name="40% - Accent5 3 6 3" xfId="41510"/>
    <cellStyle name="40% - Accent5 3 7" xfId="37954"/>
    <cellStyle name="40% - Accent5 3 8" xfId="39251"/>
    <cellStyle name="40% - Accent5 3 9" xfId="40774"/>
    <cellStyle name="40% - Accent5 3_AEO proration factors" xfId="37116"/>
    <cellStyle name="40% - Accent5 4" xfId="5843"/>
    <cellStyle name="40% - Accent5 4 10" xfId="42271"/>
    <cellStyle name="40% - Accent5 4 2" xfId="5929"/>
    <cellStyle name="40% - Accent5 4 2 2" xfId="36009"/>
    <cellStyle name="40% - Accent5 4 2_consumption scenario A" xfId="37601"/>
    <cellStyle name="40% - Accent5 4 3" xfId="35714"/>
    <cellStyle name="40% - Accent5 4 3 2" xfId="37117"/>
    <cellStyle name="40% - Accent5 4 3 2 2" xfId="37118"/>
    <cellStyle name="40% - Accent5 4 3 2 2 2" xfId="40539"/>
    <cellStyle name="40% - Accent5 4 3 2 2 3" xfId="42080"/>
    <cellStyle name="40% - Accent5 4 3 2 3" xfId="38525"/>
    <cellStyle name="40% - Accent5 4 3 2 4" xfId="39821"/>
    <cellStyle name="40% - Accent5 4 3 2 5" xfId="41362"/>
    <cellStyle name="40% - Accent5 4 3 2_consumption scenario A" xfId="37887"/>
    <cellStyle name="40% - Accent5 4 3 3" xfId="37119"/>
    <cellStyle name="40% - Accent5 4 3 3 2" xfId="40235"/>
    <cellStyle name="40% - Accent5 4 3 3 3" xfId="41776"/>
    <cellStyle name="40% - Accent5 4 3 4" xfId="38220"/>
    <cellStyle name="40% - Accent5 4 3 5" xfId="39517"/>
    <cellStyle name="40% - Accent5 4 3 6" xfId="41058"/>
    <cellStyle name="40% - Accent5 4 3_AEO proration factors" xfId="37120"/>
    <cellStyle name="40% - Accent5 4 4" xfId="35870"/>
    <cellStyle name="40% - Accent5 4 4 2" xfId="37121"/>
    <cellStyle name="40% - Accent5 4 4 2 2" xfId="40538"/>
    <cellStyle name="40% - Accent5 4 4 2 3" xfId="42079"/>
    <cellStyle name="40% - Accent5 4 4 3" xfId="38524"/>
    <cellStyle name="40% - Accent5 4 4 4" xfId="39820"/>
    <cellStyle name="40% - Accent5 4 4 5" xfId="41361"/>
    <cellStyle name="40% - Accent5 4 4_consumption scenario A" xfId="37602"/>
    <cellStyle name="40% - Accent5 4 5" xfId="37122"/>
    <cellStyle name="40% - Accent5 4 5 2" xfId="39999"/>
    <cellStyle name="40% - Accent5 4 5 3" xfId="41540"/>
    <cellStyle name="40% - Accent5 4 6" xfId="37984"/>
    <cellStyle name="40% - Accent5 4 7" xfId="39281"/>
    <cellStyle name="40% - Accent5 4 8" xfId="40810"/>
    <cellStyle name="40% - Accent5 4 9" xfId="42237"/>
    <cellStyle name="40% - Accent5 4_AEO proration factors" xfId="37123"/>
    <cellStyle name="40% - Accent5 5" xfId="5943"/>
    <cellStyle name="40% - Accent5 5 10" xfId="42284"/>
    <cellStyle name="40% - Accent5 5 2" xfId="35728"/>
    <cellStyle name="40% - Accent5 5 2 2" xfId="36021"/>
    <cellStyle name="40% - Accent5 5 2_consumption scenario A" xfId="37603"/>
    <cellStyle name="40% - Accent5 5 3" xfId="35931"/>
    <cellStyle name="40% - Accent5 5 3 2" xfId="37124"/>
    <cellStyle name="40% - Accent5 5 3 2 2" xfId="37125"/>
    <cellStyle name="40% - Accent5 5 3 2 2 2" xfId="40541"/>
    <cellStyle name="40% - Accent5 5 3 2 2 3" xfId="42082"/>
    <cellStyle name="40% - Accent5 5 3 2 3" xfId="38527"/>
    <cellStyle name="40% - Accent5 5 3 2 4" xfId="39823"/>
    <cellStyle name="40% - Accent5 5 3 2 5" xfId="41364"/>
    <cellStyle name="40% - Accent5 5 3 2_consumption scenario A" xfId="37888"/>
    <cellStyle name="40% - Accent5 5 3 3" xfId="37126"/>
    <cellStyle name="40% - Accent5 5 3 3 2" xfId="40236"/>
    <cellStyle name="40% - Accent5 5 3 3 3" xfId="41777"/>
    <cellStyle name="40% - Accent5 5 3 4" xfId="38221"/>
    <cellStyle name="40% - Accent5 5 3 5" xfId="39518"/>
    <cellStyle name="40% - Accent5 5 3 6" xfId="41059"/>
    <cellStyle name="40% - Accent5 5 3_AEO proration factors" xfId="37127"/>
    <cellStyle name="40% - Accent5 5 4" xfId="37128"/>
    <cellStyle name="40% - Accent5 5 4 2" xfId="37129"/>
    <cellStyle name="40% - Accent5 5 4 2 2" xfId="40540"/>
    <cellStyle name="40% - Accent5 5 4 2 3" xfId="42081"/>
    <cellStyle name="40% - Accent5 5 4 3" xfId="38526"/>
    <cellStyle name="40% - Accent5 5 4 4" xfId="39822"/>
    <cellStyle name="40% - Accent5 5 4 5" xfId="41363"/>
    <cellStyle name="40% - Accent5 5 4_consumption scenario A" xfId="37889"/>
    <cellStyle name="40% - Accent5 5 5" xfId="37130"/>
    <cellStyle name="40% - Accent5 5 5 2" xfId="40061"/>
    <cellStyle name="40% - Accent5 5 5 3" xfId="41602"/>
    <cellStyle name="40% - Accent5 5 6" xfId="38046"/>
    <cellStyle name="40% - Accent5 5 7" xfId="39343"/>
    <cellStyle name="40% - Accent5 5 8" xfId="40876"/>
    <cellStyle name="40% - Accent5 5 9" xfId="40865"/>
    <cellStyle name="40% - Accent5 5_AEO proration factors" xfId="37131"/>
    <cellStyle name="40% - Accent5 6" xfId="5886"/>
    <cellStyle name="40% - Accent5 6 2" xfId="35742"/>
    <cellStyle name="40% - Accent5 6 3" xfId="36033"/>
    <cellStyle name="40% - Accent5 6_consumption scenario A" xfId="37604"/>
    <cellStyle name="40% - Accent5 7" xfId="35580"/>
    <cellStyle name="40% - Accent5 7 2" xfId="36045"/>
    <cellStyle name="40% - Accent5 7_consumption scenario A" xfId="37605"/>
    <cellStyle name="40% - Accent5 8" xfId="35610"/>
    <cellStyle name="40% - Accent5 8 2" xfId="36058"/>
    <cellStyle name="40% - Accent5 8_consumption scenario A" xfId="37606"/>
    <cellStyle name="40% - Accent5 9" xfId="35671"/>
    <cellStyle name="40% - Accent5 9 2" xfId="36071"/>
    <cellStyle name="40% - Accent5 9_consumption scenario A" xfId="37607"/>
    <cellStyle name="40% - Accent6" xfId="43" builtinId="51" hidden="1" customBuiltin="1"/>
    <cellStyle name="40% - Accent6" xfId="77" builtinId="51" customBuiltin="1"/>
    <cellStyle name="40% - Accent6 10" xfId="36085"/>
    <cellStyle name="40% - Accent6 11" xfId="36097"/>
    <cellStyle name="40% - Accent6 12" xfId="35962"/>
    <cellStyle name="40% - Accent6 13" xfId="35949"/>
    <cellStyle name="40% - Accent6 13 2" xfId="37132"/>
    <cellStyle name="40% - Accent6 13 2 2" xfId="37133"/>
    <cellStyle name="40% - Accent6 13 2 2 2" xfId="37134"/>
    <cellStyle name="40% - Accent6 13 2 2 2 2" xfId="40543"/>
    <cellStyle name="40% - Accent6 13 2 2 2 3" xfId="42084"/>
    <cellStyle name="40% - Accent6 13 2 2 3" xfId="38529"/>
    <cellStyle name="40% - Accent6 13 2 2 4" xfId="39825"/>
    <cellStyle name="40% - Accent6 13 2 2 5" xfId="41366"/>
    <cellStyle name="40% - Accent6 13 2 2_consumption scenario A" xfId="37890"/>
    <cellStyle name="40% - Accent6 13 2 3" xfId="37135"/>
    <cellStyle name="40% - Accent6 13 2 3 2" xfId="40237"/>
    <cellStyle name="40% - Accent6 13 2 3 3" xfId="41778"/>
    <cellStyle name="40% - Accent6 13 2 4" xfId="38222"/>
    <cellStyle name="40% - Accent6 13 2 5" xfId="39519"/>
    <cellStyle name="40% - Accent6 13 2 6" xfId="41060"/>
    <cellStyle name="40% - Accent6 13 2_AEO proration factors" xfId="37136"/>
    <cellStyle name="40% - Accent6 13 3" xfId="37137"/>
    <cellStyle name="40% - Accent6 13 3 2" xfId="37138"/>
    <cellStyle name="40% - Accent6 13 3 2 2" xfId="40542"/>
    <cellStyle name="40% - Accent6 13 3 2 3" xfId="42083"/>
    <cellStyle name="40% - Accent6 13 3 3" xfId="38528"/>
    <cellStyle name="40% - Accent6 13 3 4" xfId="39824"/>
    <cellStyle name="40% - Accent6 13 3 5" xfId="41365"/>
    <cellStyle name="40% - Accent6 13 3_consumption scenario A" xfId="37891"/>
    <cellStyle name="40% - Accent6 13 4" xfId="37139"/>
    <cellStyle name="40% - Accent6 13 4 2" xfId="40079"/>
    <cellStyle name="40% - Accent6 13 4 3" xfId="41620"/>
    <cellStyle name="40% - Accent6 13 5" xfId="38064"/>
    <cellStyle name="40% - Accent6 13 6" xfId="39361"/>
    <cellStyle name="40% - Accent6 13 7" xfId="40897"/>
    <cellStyle name="40% - Accent6 13_AEO proration factors" xfId="37140"/>
    <cellStyle name="40% - Accent6 14" xfId="36114"/>
    <cellStyle name="40% - Accent6 14 2" xfId="37141"/>
    <cellStyle name="40% - Accent6 14 2 2" xfId="37142"/>
    <cellStyle name="40% - Accent6 14 2 2 2" xfId="37143"/>
    <cellStyle name="40% - Accent6 14 2 2 2 2" xfId="40545"/>
    <cellStyle name="40% - Accent6 14 2 2 2 3" xfId="42086"/>
    <cellStyle name="40% - Accent6 14 2 2 3" xfId="38531"/>
    <cellStyle name="40% - Accent6 14 2 2 4" xfId="39827"/>
    <cellStyle name="40% - Accent6 14 2 2 5" xfId="41368"/>
    <cellStyle name="40% - Accent6 14 2 2_consumption scenario A" xfId="37892"/>
    <cellStyle name="40% - Accent6 14 2 3" xfId="37144"/>
    <cellStyle name="40% - Accent6 14 2 3 2" xfId="40238"/>
    <cellStyle name="40% - Accent6 14 2 3 3" xfId="41779"/>
    <cellStyle name="40% - Accent6 14 2 4" xfId="38223"/>
    <cellStyle name="40% - Accent6 14 2 5" xfId="39520"/>
    <cellStyle name="40% - Accent6 14 2 6" xfId="41061"/>
    <cellStyle name="40% - Accent6 14 2_AEO proration factors" xfId="37145"/>
    <cellStyle name="40% - Accent6 14 3" xfId="37146"/>
    <cellStyle name="40% - Accent6 14 3 2" xfId="37147"/>
    <cellStyle name="40% - Accent6 14 3 2 2" xfId="40544"/>
    <cellStyle name="40% - Accent6 14 3 2 3" xfId="42085"/>
    <cellStyle name="40% - Accent6 14 3 3" xfId="38530"/>
    <cellStyle name="40% - Accent6 14 3 4" xfId="39826"/>
    <cellStyle name="40% - Accent6 14 3 5" xfId="41367"/>
    <cellStyle name="40% - Accent6 14 3_consumption scenario A" xfId="37893"/>
    <cellStyle name="40% - Accent6 14 4" xfId="37148"/>
    <cellStyle name="40% - Accent6 14 4 2" xfId="40096"/>
    <cellStyle name="40% - Accent6 14 4 3" xfId="41637"/>
    <cellStyle name="40% - Accent6 14 5" xfId="38081"/>
    <cellStyle name="40% - Accent6 14 6" xfId="39378"/>
    <cellStyle name="40% - Accent6 14 7" xfId="40919"/>
    <cellStyle name="40% - Accent6 14_AEO proration factors" xfId="37149"/>
    <cellStyle name="40% - Accent6 15" xfId="35811"/>
    <cellStyle name="40% - Accent6 15 2" xfId="37150"/>
    <cellStyle name="40% - Accent6 15 2 2" xfId="37151"/>
    <cellStyle name="40% - Accent6 15 2 2 2" xfId="37152"/>
    <cellStyle name="40% - Accent6 15 2 2 2 2" xfId="40547"/>
    <cellStyle name="40% - Accent6 15 2 2 2 3" xfId="42088"/>
    <cellStyle name="40% - Accent6 15 2 2 3" xfId="38533"/>
    <cellStyle name="40% - Accent6 15 2 2 4" xfId="39829"/>
    <cellStyle name="40% - Accent6 15 2 2 5" xfId="41370"/>
    <cellStyle name="40% - Accent6 15 2 2_consumption scenario A" xfId="37894"/>
    <cellStyle name="40% - Accent6 15 2 3" xfId="37153"/>
    <cellStyle name="40% - Accent6 15 2 3 2" xfId="40239"/>
    <cellStyle name="40% - Accent6 15 2 3 3" xfId="41780"/>
    <cellStyle name="40% - Accent6 15 2 4" xfId="38224"/>
    <cellStyle name="40% - Accent6 15 2 5" xfId="39521"/>
    <cellStyle name="40% - Accent6 15 2 6" xfId="41062"/>
    <cellStyle name="40% - Accent6 15 2_AEO proration factors" xfId="37154"/>
    <cellStyle name="40% - Accent6 15 3" xfId="37155"/>
    <cellStyle name="40% - Accent6 15 3 2" xfId="37156"/>
    <cellStyle name="40% - Accent6 15 3 2 2" xfId="40546"/>
    <cellStyle name="40% - Accent6 15 3 2 3" xfId="42087"/>
    <cellStyle name="40% - Accent6 15 3 3" xfId="38532"/>
    <cellStyle name="40% - Accent6 15 3 4" xfId="39828"/>
    <cellStyle name="40% - Accent6 15 3 5" xfId="41369"/>
    <cellStyle name="40% - Accent6 15 3_consumption scenario A" xfId="37895"/>
    <cellStyle name="40% - Accent6 15 4" xfId="37157"/>
    <cellStyle name="40% - Accent6 15 4 2" xfId="40111"/>
    <cellStyle name="40% - Accent6 15 4 3" xfId="41652"/>
    <cellStyle name="40% - Accent6 15 5" xfId="38096"/>
    <cellStyle name="40% - Accent6 15 6" xfId="39393"/>
    <cellStyle name="40% - Accent6 15 7" xfId="40934"/>
    <cellStyle name="40% - Accent6 15_AEO proration factors" xfId="37158"/>
    <cellStyle name="40% - Accent6 16" xfId="36130"/>
    <cellStyle name="40% - Accent6 16 2" xfId="37159"/>
    <cellStyle name="40% - Accent6 16 2 2" xfId="40299"/>
    <cellStyle name="40% - Accent6 16 2 3" xfId="41840"/>
    <cellStyle name="40% - Accent6 16 3" xfId="38284"/>
    <cellStyle name="40% - Accent6 16 4" xfId="39581"/>
    <cellStyle name="40% - Accent6 16 5" xfId="41122"/>
    <cellStyle name="40% - Accent6 16_consumption scenario A" xfId="37608"/>
    <cellStyle name="40% - Accent6 17" xfId="37160"/>
    <cellStyle name="40% - Accent6 17 2" xfId="38644"/>
    <cellStyle name="40% - Accent6 17 3" xfId="40658"/>
    <cellStyle name="40% - Accent6 17 4" xfId="42199"/>
    <cellStyle name="40% - Accent6 17_consumption scenario A" xfId="37896"/>
    <cellStyle name="40% - Accent6 18" xfId="37161"/>
    <cellStyle name="40% - Accent6 18 2" xfId="38664"/>
    <cellStyle name="40% - Accent6 18 3" xfId="40678"/>
    <cellStyle name="40% - Accent6 18 4" xfId="42220"/>
    <cellStyle name="40% - Accent6 18_consumption scenario A" xfId="37897"/>
    <cellStyle name="40% - Accent6 19" xfId="37162"/>
    <cellStyle name="40% - Accent6 19 2" xfId="38676"/>
    <cellStyle name="40% - Accent6 19 3" xfId="40690"/>
    <cellStyle name="40% - Accent6 19 4" xfId="42232"/>
    <cellStyle name="40% - Accent6 19_consumption scenario A" xfId="37898"/>
    <cellStyle name="40% - Accent6 2" xfId="5830"/>
    <cellStyle name="40% - Accent6 2 10" xfId="40759"/>
    <cellStyle name="40% - Accent6 2 2" xfId="5859"/>
    <cellStyle name="40% - Accent6 2 2 2" xfId="35657"/>
    <cellStyle name="40% - Accent6 2 2 2 2" xfId="35918"/>
    <cellStyle name="40% - Accent6 2 2 2 2 2" xfId="37163"/>
    <cellStyle name="40% - Accent6 2 2 2 2 2 2" xfId="37164"/>
    <cellStyle name="40% - Accent6 2 2 2 2 2 2 2" xfId="40551"/>
    <cellStyle name="40% - Accent6 2 2 2 2 2 2 3" xfId="42092"/>
    <cellStyle name="40% - Accent6 2 2 2 2 2 3" xfId="38537"/>
    <cellStyle name="40% - Accent6 2 2 2 2 2 4" xfId="39833"/>
    <cellStyle name="40% - Accent6 2 2 2 2 2 5" xfId="41374"/>
    <cellStyle name="40% - Accent6 2 2 2 2 2_consumption scenario A" xfId="37899"/>
    <cellStyle name="40% - Accent6 2 2 2 2 3" xfId="37165"/>
    <cellStyle name="40% - Accent6 2 2 2 2 3 2" xfId="40242"/>
    <cellStyle name="40% - Accent6 2 2 2 2 3 3" xfId="41783"/>
    <cellStyle name="40% - Accent6 2 2 2 2 4" xfId="38227"/>
    <cellStyle name="40% - Accent6 2 2 2 2 5" xfId="39524"/>
    <cellStyle name="40% - Accent6 2 2 2 2 6" xfId="41065"/>
    <cellStyle name="40% - Accent6 2 2 2 2_AEO proration factors" xfId="37166"/>
    <cellStyle name="40% - Accent6 2 2 2 3" xfId="37167"/>
    <cellStyle name="40% - Accent6 2 2 2 3 2" xfId="37168"/>
    <cellStyle name="40% - Accent6 2 2 2 3 2 2" xfId="40550"/>
    <cellStyle name="40% - Accent6 2 2 2 3 2 3" xfId="42091"/>
    <cellStyle name="40% - Accent6 2 2 2 3 3" xfId="38536"/>
    <cellStyle name="40% - Accent6 2 2 2 3 4" xfId="39832"/>
    <cellStyle name="40% - Accent6 2 2 2 3 5" xfId="41373"/>
    <cellStyle name="40% - Accent6 2 2 2 3_consumption scenario A" xfId="37900"/>
    <cellStyle name="40% - Accent6 2 2 2 4" xfId="37169"/>
    <cellStyle name="40% - Accent6 2 2 2 4 2" xfId="40047"/>
    <cellStyle name="40% - Accent6 2 2 2 4 3" xfId="41588"/>
    <cellStyle name="40% - Accent6 2 2 2 5" xfId="38032"/>
    <cellStyle name="40% - Accent6 2 2 2 6" xfId="39329"/>
    <cellStyle name="40% - Accent6 2 2 2 7" xfId="40858"/>
    <cellStyle name="40% - Accent6 2 2 2_AEO proration factors" xfId="37170"/>
    <cellStyle name="40% - Accent6 2 2 3" xfId="35790"/>
    <cellStyle name="40% - Accent6 2 2 3 2" xfId="37171"/>
    <cellStyle name="40% - Accent6 2 2 3 2 2" xfId="37172"/>
    <cellStyle name="40% - Accent6 2 2 3 2 2 2" xfId="40552"/>
    <cellStyle name="40% - Accent6 2 2 3 2 2 3" xfId="42093"/>
    <cellStyle name="40% - Accent6 2 2 3 2 3" xfId="38538"/>
    <cellStyle name="40% - Accent6 2 2 3 2 4" xfId="39834"/>
    <cellStyle name="40% - Accent6 2 2 3 2 5" xfId="41375"/>
    <cellStyle name="40% - Accent6 2 2 3 2_consumption scenario A" xfId="37901"/>
    <cellStyle name="40% - Accent6 2 2 3 3" xfId="37173"/>
    <cellStyle name="40% - Accent6 2 2 3 3 2" xfId="40241"/>
    <cellStyle name="40% - Accent6 2 2 3 3 3" xfId="41782"/>
    <cellStyle name="40% - Accent6 2 2 3 4" xfId="38226"/>
    <cellStyle name="40% - Accent6 2 2 3 5" xfId="39523"/>
    <cellStyle name="40% - Accent6 2 2 3 6" xfId="41064"/>
    <cellStyle name="40% - Accent6 2 2 3_AEO proration factors" xfId="37174"/>
    <cellStyle name="40% - Accent6 2 2 4" xfId="35857"/>
    <cellStyle name="40% - Accent6 2 2 4 2" xfId="37175"/>
    <cellStyle name="40% - Accent6 2 2 4 2 2" xfId="40549"/>
    <cellStyle name="40% - Accent6 2 2 4 2 3" xfId="42090"/>
    <cellStyle name="40% - Accent6 2 2 4 3" xfId="38535"/>
    <cellStyle name="40% - Accent6 2 2 4 4" xfId="39831"/>
    <cellStyle name="40% - Accent6 2 2 4 5" xfId="41372"/>
    <cellStyle name="40% - Accent6 2 2 4_consumption scenario A" xfId="37609"/>
    <cellStyle name="40% - Accent6 2 2 5" xfId="37176"/>
    <cellStyle name="40% - Accent6 2 2 5 2" xfId="39986"/>
    <cellStyle name="40% - Accent6 2 2 5 3" xfId="41527"/>
    <cellStyle name="40% - Accent6 2 2 6" xfId="37971"/>
    <cellStyle name="40% - Accent6 2 2 7" xfId="39268"/>
    <cellStyle name="40% - Accent6 2 2 8" xfId="40794"/>
    <cellStyle name="40% - Accent6 2 2_AEO proration factors" xfId="37177"/>
    <cellStyle name="40% - Accent6 2 3" xfId="5902"/>
    <cellStyle name="40% - Accent6 2 3 2" xfId="35759"/>
    <cellStyle name="40% - Accent6 2 3 2 2" xfId="37178"/>
    <cellStyle name="40% - Accent6 2 3 2 2 2" xfId="37179"/>
    <cellStyle name="40% - Accent6 2 3 2 2 2 2" xfId="40554"/>
    <cellStyle name="40% - Accent6 2 3 2 2 2 3" xfId="42095"/>
    <cellStyle name="40% - Accent6 2 3 2 2 3" xfId="38540"/>
    <cellStyle name="40% - Accent6 2 3 2 2 4" xfId="39836"/>
    <cellStyle name="40% - Accent6 2 3 2 2 5" xfId="41377"/>
    <cellStyle name="40% - Accent6 2 3 2 2_consumption scenario A" xfId="37902"/>
    <cellStyle name="40% - Accent6 2 3 2 3" xfId="37180"/>
    <cellStyle name="40% - Accent6 2 3 2 3 2" xfId="40243"/>
    <cellStyle name="40% - Accent6 2 3 2 3 3" xfId="41784"/>
    <cellStyle name="40% - Accent6 2 3 2 4" xfId="38228"/>
    <cellStyle name="40% - Accent6 2 3 2 5" xfId="39525"/>
    <cellStyle name="40% - Accent6 2 3 2 6" xfId="41066"/>
    <cellStyle name="40% - Accent6 2 3 2_AEO proration factors" xfId="37181"/>
    <cellStyle name="40% - Accent6 2 3 3" xfId="35887"/>
    <cellStyle name="40% - Accent6 2 3 3 2" xfId="37182"/>
    <cellStyle name="40% - Accent6 2 3 3 2 2" xfId="40553"/>
    <cellStyle name="40% - Accent6 2 3 3 2 3" xfId="42094"/>
    <cellStyle name="40% - Accent6 2 3 3 3" xfId="38539"/>
    <cellStyle name="40% - Accent6 2 3 3 4" xfId="39835"/>
    <cellStyle name="40% - Accent6 2 3 3 5" xfId="41376"/>
    <cellStyle name="40% - Accent6 2 3 3_consumption scenario A" xfId="37610"/>
    <cellStyle name="40% - Accent6 2 3 4" xfId="37183"/>
    <cellStyle name="40% - Accent6 2 3 4 2" xfId="40016"/>
    <cellStyle name="40% - Accent6 2 3 4 3" xfId="41557"/>
    <cellStyle name="40% - Accent6 2 3 5" xfId="38001"/>
    <cellStyle name="40% - Accent6 2 3 6" xfId="39298"/>
    <cellStyle name="40% - Accent6 2 3 7" xfId="40827"/>
    <cellStyle name="40% - Accent6 2 3_AEO proration factors" xfId="37184"/>
    <cellStyle name="40% - Accent6 2 4" xfId="35596"/>
    <cellStyle name="40% - Accent6 2 4 2" xfId="35987"/>
    <cellStyle name="40% - Accent6 2 4_consumption scenario A" xfId="37611"/>
    <cellStyle name="40% - Accent6 2 5" xfId="35626"/>
    <cellStyle name="40% - Accent6 2 5 2" xfId="37185"/>
    <cellStyle name="40% - Accent6 2 5 2 2" xfId="37186"/>
    <cellStyle name="40% - Accent6 2 5 2 2 2" xfId="40555"/>
    <cellStyle name="40% - Accent6 2 5 2 2 3" xfId="42096"/>
    <cellStyle name="40% - Accent6 2 5 2 3" xfId="38541"/>
    <cellStyle name="40% - Accent6 2 5 2 4" xfId="39837"/>
    <cellStyle name="40% - Accent6 2 5 2 5" xfId="41378"/>
    <cellStyle name="40% - Accent6 2 5 2_consumption scenario A" xfId="37903"/>
    <cellStyle name="40% - Accent6 2 5 3" xfId="37187"/>
    <cellStyle name="40% - Accent6 2 5 3 2" xfId="40240"/>
    <cellStyle name="40% - Accent6 2 5 3 3" xfId="41781"/>
    <cellStyle name="40% - Accent6 2 5 4" xfId="38225"/>
    <cellStyle name="40% - Accent6 2 5 5" xfId="39522"/>
    <cellStyle name="40% - Accent6 2 5 6" xfId="41063"/>
    <cellStyle name="40% - Accent6 2 5_AEO proration factors" xfId="37188"/>
    <cellStyle name="40% - Accent6 2 6" xfId="35687"/>
    <cellStyle name="40% - Accent6 2 6 2" xfId="37189"/>
    <cellStyle name="40% - Accent6 2 6 2 2" xfId="40548"/>
    <cellStyle name="40% - Accent6 2 6 2 3" xfId="42089"/>
    <cellStyle name="40% - Accent6 2 6 3" xfId="38534"/>
    <cellStyle name="40% - Accent6 2 6 4" xfId="39830"/>
    <cellStyle name="40% - Accent6 2 6 5" xfId="41371"/>
    <cellStyle name="40% - Accent6 2 6_consumption scenario A" xfId="37612"/>
    <cellStyle name="40% - Accent6 2 7" xfId="35826"/>
    <cellStyle name="40% - Accent6 2 7 2" xfId="39955"/>
    <cellStyle name="40% - Accent6 2 7 3" xfId="41496"/>
    <cellStyle name="40% - Accent6 2 8" xfId="37940"/>
    <cellStyle name="40% - Accent6 2 9" xfId="39237"/>
    <cellStyle name="40% - Accent6 2_AEO proration factors" xfId="37190"/>
    <cellStyle name="40% - Accent6 20" xfId="37191"/>
    <cellStyle name="40% - Accent6 20 2" xfId="38686"/>
    <cellStyle name="40% - Accent6 20 3" xfId="40700"/>
    <cellStyle name="40% - Accent6 20 4" xfId="42243"/>
    <cellStyle name="40% - Accent6 20_consumption scenario A" xfId="37904"/>
    <cellStyle name="40% - Accent6 21" xfId="37192"/>
    <cellStyle name="40% - Accent6 21 2" xfId="38701"/>
    <cellStyle name="40% - Accent6 21 3" xfId="40715"/>
    <cellStyle name="40% - Accent6 21 4" xfId="42258"/>
    <cellStyle name="40% - Accent6 21_consumption scenario A" xfId="37905"/>
    <cellStyle name="40% - Accent6 22" xfId="37193"/>
    <cellStyle name="40% - Accent6 22 2" xfId="38710"/>
    <cellStyle name="40% - Accent6 22 3" xfId="40724"/>
    <cellStyle name="40% - Accent6 22 4" xfId="42267"/>
    <cellStyle name="40% - Accent6 22_consumption scenario A" xfId="37906"/>
    <cellStyle name="40% - Accent6 23" xfId="37194"/>
    <cellStyle name="40% - Accent6 23 2" xfId="39940"/>
    <cellStyle name="40% - Accent6 23 3" xfId="41481"/>
    <cellStyle name="40% - Accent6 24" xfId="37925"/>
    <cellStyle name="40% - Accent6 25" xfId="5800"/>
    <cellStyle name="40% - Accent6 26" xfId="38722"/>
    <cellStyle name="40% - Accent6 27" xfId="5303"/>
    <cellStyle name="40% - Accent6 28" xfId="39222"/>
    <cellStyle name="40% - Accent6 29" xfId="40742"/>
    <cellStyle name="40% - Accent6 3" xfId="5816"/>
    <cellStyle name="40% - Accent6 3 2" xfId="5874"/>
    <cellStyle name="40% - Accent6 3 2 2" xfId="35775"/>
    <cellStyle name="40% - Accent6 3 2 2 2" xfId="37195"/>
    <cellStyle name="40% - Accent6 3 2 2 2 2" xfId="37196"/>
    <cellStyle name="40% - Accent6 3 2 2 2 2 2" xfId="40558"/>
    <cellStyle name="40% - Accent6 3 2 2 2 2 3" xfId="42099"/>
    <cellStyle name="40% - Accent6 3 2 2 2 3" xfId="38544"/>
    <cellStyle name="40% - Accent6 3 2 2 2 4" xfId="39840"/>
    <cellStyle name="40% - Accent6 3 2 2 2 5" xfId="41381"/>
    <cellStyle name="40% - Accent6 3 2 2 2_consumption scenario A" xfId="37907"/>
    <cellStyle name="40% - Accent6 3 2 2 3" xfId="37197"/>
    <cellStyle name="40% - Accent6 3 2 2 3 2" xfId="40245"/>
    <cellStyle name="40% - Accent6 3 2 2 3 3" xfId="41786"/>
    <cellStyle name="40% - Accent6 3 2 2 4" xfId="38230"/>
    <cellStyle name="40% - Accent6 3 2 2 5" xfId="39527"/>
    <cellStyle name="40% - Accent6 3 2 2 6" xfId="41068"/>
    <cellStyle name="40% - Accent6 3 2 2_AEO proration factors" xfId="37198"/>
    <cellStyle name="40% - Accent6 3 2 3" xfId="35903"/>
    <cellStyle name="40% - Accent6 3 2 3 2" xfId="37199"/>
    <cellStyle name="40% - Accent6 3 2 3 2 2" xfId="40557"/>
    <cellStyle name="40% - Accent6 3 2 3 2 3" xfId="42098"/>
    <cellStyle name="40% - Accent6 3 2 3 3" xfId="38543"/>
    <cellStyle name="40% - Accent6 3 2 3 4" xfId="39839"/>
    <cellStyle name="40% - Accent6 3 2 3 5" xfId="41380"/>
    <cellStyle name="40% - Accent6 3 2 3_consumption scenario A" xfId="37613"/>
    <cellStyle name="40% - Accent6 3 2 4" xfId="37200"/>
    <cellStyle name="40% - Accent6 3 2 4 2" xfId="40032"/>
    <cellStyle name="40% - Accent6 3 2 4 3" xfId="41573"/>
    <cellStyle name="40% - Accent6 3 2 5" xfId="38017"/>
    <cellStyle name="40% - Accent6 3 2 6" xfId="39314"/>
    <cellStyle name="40% - Accent6 3 2 7" xfId="40843"/>
    <cellStyle name="40% - Accent6 3 2_AEO proration factors" xfId="37201"/>
    <cellStyle name="40% - Accent6 3 3" xfId="5917"/>
    <cellStyle name="40% - Accent6 3 3 2" xfId="35999"/>
    <cellStyle name="40% - Accent6 3 3_consumption scenario A" xfId="37614"/>
    <cellStyle name="40% - Accent6 3 4" xfId="35642"/>
    <cellStyle name="40% - Accent6 3 4 2" xfId="37202"/>
    <cellStyle name="40% - Accent6 3 4 2 2" xfId="37203"/>
    <cellStyle name="40% - Accent6 3 4 2 2 2" xfId="40559"/>
    <cellStyle name="40% - Accent6 3 4 2 2 3" xfId="42100"/>
    <cellStyle name="40% - Accent6 3 4 2 3" xfId="38545"/>
    <cellStyle name="40% - Accent6 3 4 2 4" xfId="39841"/>
    <cellStyle name="40% - Accent6 3 4 2 5" xfId="41382"/>
    <cellStyle name="40% - Accent6 3 4 2_consumption scenario A" xfId="37908"/>
    <cellStyle name="40% - Accent6 3 4 3" xfId="37204"/>
    <cellStyle name="40% - Accent6 3 4 3 2" xfId="40244"/>
    <cellStyle name="40% - Accent6 3 4 3 3" xfId="41785"/>
    <cellStyle name="40% - Accent6 3 4 4" xfId="38229"/>
    <cellStyle name="40% - Accent6 3 4 5" xfId="39526"/>
    <cellStyle name="40% - Accent6 3 4 6" xfId="41067"/>
    <cellStyle name="40% - Accent6 3 4_AEO proration factors" xfId="37205"/>
    <cellStyle name="40% - Accent6 3 5" xfId="35702"/>
    <cellStyle name="40% - Accent6 3 5 2" xfId="37206"/>
    <cellStyle name="40% - Accent6 3 5 2 2" xfId="40556"/>
    <cellStyle name="40% - Accent6 3 5 2 3" xfId="42097"/>
    <cellStyle name="40% - Accent6 3 5 3" xfId="38542"/>
    <cellStyle name="40% - Accent6 3 5 4" xfId="39838"/>
    <cellStyle name="40% - Accent6 3 5 5" xfId="41379"/>
    <cellStyle name="40% - Accent6 3 5_consumption scenario A" xfId="37615"/>
    <cellStyle name="40% - Accent6 3 6" xfId="35842"/>
    <cellStyle name="40% - Accent6 3 6 2" xfId="39971"/>
    <cellStyle name="40% - Accent6 3 6 3" xfId="41512"/>
    <cellStyle name="40% - Accent6 3 7" xfId="37956"/>
    <cellStyle name="40% - Accent6 3 8" xfId="39253"/>
    <cellStyle name="40% - Accent6 3 9" xfId="40776"/>
    <cellStyle name="40% - Accent6 3_AEO proration factors" xfId="37207"/>
    <cellStyle name="40% - Accent6 4" xfId="5845"/>
    <cellStyle name="40% - Accent6 4 10" xfId="42282"/>
    <cellStyle name="40% - Accent6 4 2" xfId="5931"/>
    <cellStyle name="40% - Accent6 4 2 2" xfId="36011"/>
    <cellStyle name="40% - Accent6 4 2_consumption scenario A" xfId="37616"/>
    <cellStyle name="40% - Accent6 4 3" xfId="35716"/>
    <cellStyle name="40% - Accent6 4 3 2" xfId="37208"/>
    <cellStyle name="40% - Accent6 4 3 2 2" xfId="37209"/>
    <cellStyle name="40% - Accent6 4 3 2 2 2" xfId="40561"/>
    <cellStyle name="40% - Accent6 4 3 2 2 3" xfId="42102"/>
    <cellStyle name="40% - Accent6 4 3 2 3" xfId="38547"/>
    <cellStyle name="40% - Accent6 4 3 2 4" xfId="39843"/>
    <cellStyle name="40% - Accent6 4 3 2 5" xfId="41384"/>
    <cellStyle name="40% - Accent6 4 3 2_consumption scenario A" xfId="37909"/>
    <cellStyle name="40% - Accent6 4 3 3" xfId="37210"/>
    <cellStyle name="40% - Accent6 4 3 3 2" xfId="40246"/>
    <cellStyle name="40% - Accent6 4 3 3 3" xfId="41787"/>
    <cellStyle name="40% - Accent6 4 3 4" xfId="38231"/>
    <cellStyle name="40% - Accent6 4 3 5" xfId="39528"/>
    <cellStyle name="40% - Accent6 4 3 6" xfId="41069"/>
    <cellStyle name="40% - Accent6 4 3_AEO proration factors" xfId="37211"/>
    <cellStyle name="40% - Accent6 4 4" xfId="35872"/>
    <cellStyle name="40% - Accent6 4 4 2" xfId="37212"/>
    <cellStyle name="40% - Accent6 4 4 2 2" xfId="40560"/>
    <cellStyle name="40% - Accent6 4 4 2 3" xfId="42101"/>
    <cellStyle name="40% - Accent6 4 4 3" xfId="38546"/>
    <cellStyle name="40% - Accent6 4 4 4" xfId="39842"/>
    <cellStyle name="40% - Accent6 4 4 5" xfId="41383"/>
    <cellStyle name="40% - Accent6 4 4_consumption scenario A" xfId="37617"/>
    <cellStyle name="40% - Accent6 4 5" xfId="37213"/>
    <cellStyle name="40% - Accent6 4 5 2" xfId="40001"/>
    <cellStyle name="40% - Accent6 4 5 3" xfId="41542"/>
    <cellStyle name="40% - Accent6 4 6" xfId="37986"/>
    <cellStyle name="40% - Accent6 4 7" xfId="39283"/>
    <cellStyle name="40% - Accent6 4 8" xfId="40812"/>
    <cellStyle name="40% - Accent6 4 9" xfId="42218"/>
    <cellStyle name="40% - Accent6 4_AEO proration factors" xfId="37214"/>
    <cellStyle name="40% - Accent6 5" xfId="5945"/>
    <cellStyle name="40% - Accent6 5 10" xfId="42287"/>
    <cellStyle name="40% - Accent6 5 2" xfId="35730"/>
    <cellStyle name="40% - Accent6 5 2 2" xfId="36023"/>
    <cellStyle name="40% - Accent6 5 2_consumption scenario A" xfId="37618"/>
    <cellStyle name="40% - Accent6 5 3" xfId="35933"/>
    <cellStyle name="40% - Accent6 5 3 2" xfId="37215"/>
    <cellStyle name="40% - Accent6 5 3 2 2" xfId="37216"/>
    <cellStyle name="40% - Accent6 5 3 2 2 2" xfId="40563"/>
    <cellStyle name="40% - Accent6 5 3 2 2 3" xfId="42104"/>
    <cellStyle name="40% - Accent6 5 3 2 3" xfId="38549"/>
    <cellStyle name="40% - Accent6 5 3 2 4" xfId="39845"/>
    <cellStyle name="40% - Accent6 5 3 2 5" xfId="41386"/>
    <cellStyle name="40% - Accent6 5 3 2_consumption scenario A" xfId="37910"/>
    <cellStyle name="40% - Accent6 5 3 3" xfId="37217"/>
    <cellStyle name="40% - Accent6 5 3 3 2" xfId="40247"/>
    <cellStyle name="40% - Accent6 5 3 3 3" xfId="41788"/>
    <cellStyle name="40% - Accent6 5 3 4" xfId="38232"/>
    <cellStyle name="40% - Accent6 5 3 5" xfId="39529"/>
    <cellStyle name="40% - Accent6 5 3 6" xfId="41070"/>
    <cellStyle name="40% - Accent6 5 3_AEO proration factors" xfId="37218"/>
    <cellStyle name="40% - Accent6 5 4" xfId="37219"/>
    <cellStyle name="40% - Accent6 5 4 2" xfId="37220"/>
    <cellStyle name="40% - Accent6 5 4 2 2" xfId="40562"/>
    <cellStyle name="40% - Accent6 5 4 2 3" xfId="42103"/>
    <cellStyle name="40% - Accent6 5 4 3" xfId="38548"/>
    <cellStyle name="40% - Accent6 5 4 4" xfId="39844"/>
    <cellStyle name="40% - Accent6 5 4 5" xfId="41385"/>
    <cellStyle name="40% - Accent6 5 4_consumption scenario A" xfId="37911"/>
    <cellStyle name="40% - Accent6 5 5" xfId="37221"/>
    <cellStyle name="40% - Accent6 5 5 2" xfId="40063"/>
    <cellStyle name="40% - Accent6 5 5 3" xfId="41604"/>
    <cellStyle name="40% - Accent6 5 6" xfId="38048"/>
    <cellStyle name="40% - Accent6 5 7" xfId="39345"/>
    <cellStyle name="40% - Accent6 5 8" xfId="40878"/>
    <cellStyle name="40% - Accent6 5 9" xfId="40863"/>
    <cellStyle name="40% - Accent6 5_AEO proration factors" xfId="37222"/>
    <cellStyle name="40% - Accent6 6" xfId="5888"/>
    <cellStyle name="40% - Accent6 6 2" xfId="35744"/>
    <cellStyle name="40% - Accent6 6 3" xfId="36035"/>
    <cellStyle name="40% - Accent6 6_consumption scenario A" xfId="37619"/>
    <cellStyle name="40% - Accent6 7" xfId="35582"/>
    <cellStyle name="40% - Accent6 7 2" xfId="36047"/>
    <cellStyle name="40% - Accent6 7_consumption scenario A" xfId="37620"/>
    <cellStyle name="40% - Accent6 8" xfId="35612"/>
    <cellStyle name="40% - Accent6 8 2" xfId="36060"/>
    <cellStyle name="40% - Accent6 8_consumption scenario A" xfId="37621"/>
    <cellStyle name="40% - Accent6 9" xfId="35673"/>
    <cellStyle name="40% - Accent6 9 2" xfId="36073"/>
    <cellStyle name="40% - Accent6 9_consumption scenario A" xfId="37622"/>
    <cellStyle name="60% - Accent1" xfId="30" builtinId="32" hidden="1" customBuiltin="1"/>
    <cellStyle name="60% - Accent1" xfId="78" builtinId="32" customBuiltin="1"/>
    <cellStyle name="60% - Accent1 2" xfId="35963"/>
    <cellStyle name="60% - Accent2" xfId="34" builtinId="36" hidden="1" customBuiltin="1"/>
    <cellStyle name="60% - Accent2" xfId="79" builtinId="36" customBuiltin="1"/>
    <cellStyle name="60% - Accent2 2" xfId="35964"/>
    <cellStyle name="60% - Accent3" xfId="37" builtinId="40" hidden="1" customBuiltin="1"/>
    <cellStyle name="60% - Accent3" xfId="80" builtinId="40" customBuiltin="1"/>
    <cellStyle name="60% - Accent3 2" xfId="35965"/>
    <cellStyle name="60% - Accent4" xfId="41" builtinId="44" hidden="1" customBuiltin="1"/>
    <cellStyle name="60% - Accent4" xfId="81" builtinId="44" customBuiltin="1"/>
    <cellStyle name="60% - Accent4 2" xfId="35966"/>
    <cellStyle name="60% - Accent5" xfId="42" builtinId="48" hidden="1" customBuiltin="1"/>
    <cellStyle name="60% - Accent5" xfId="82" builtinId="48" customBuiltin="1"/>
    <cellStyle name="60% - Accent5 2" xfId="35967"/>
    <cellStyle name="60% - Accent6" xfId="44" builtinId="52" hidden="1" customBuiltin="1"/>
    <cellStyle name="60% - Accent6" xfId="83" builtinId="52" customBuiltin="1"/>
    <cellStyle name="60% - Accent6 2" xfId="35968"/>
    <cellStyle name="Accent1" xfId="27" builtinId="29" hidden="1" customBuiltin="1"/>
    <cellStyle name="Accent1" xfId="84" builtinId="29" customBuiltin="1"/>
    <cellStyle name="Accent1 2" xfId="35969"/>
    <cellStyle name="Accent2" xfId="31" builtinId="33" hidden="1" customBuiltin="1"/>
    <cellStyle name="Accent2" xfId="85" builtinId="33" customBuiltin="1"/>
    <cellStyle name="Accent2 2" xfId="35970"/>
    <cellStyle name="Accent3" xfId="35" builtinId="37" hidden="1" customBuiltin="1"/>
    <cellStyle name="Accent3" xfId="86" builtinId="37" customBuiltin="1"/>
    <cellStyle name="Accent3 2" xfId="35971"/>
    <cellStyle name="Accent4" xfId="38" builtinId="41" hidden="1" customBuiltin="1"/>
    <cellStyle name="Accent4" xfId="87" builtinId="41" customBuiltin="1"/>
    <cellStyle name="Accent4 2" xfId="35972"/>
    <cellStyle name="Accent5" xfId="5" builtinId="45" hidden="1"/>
    <cellStyle name="Accent5" xfId="88" builtinId="45" customBuiltin="1"/>
    <cellStyle name="Accent5 2" xfId="35973"/>
    <cellStyle name="Accent6" xfId="6" builtinId="49" hidden="1"/>
    <cellStyle name="Accent6" xfId="89" builtinId="49" customBuiltin="1"/>
    <cellStyle name="Accent6 2" xfId="35974"/>
    <cellStyle name="annotation" xfId="56"/>
    <cellStyle name="annotation 2" xfId="131"/>
    <cellStyle name="annotation 3" xfId="111"/>
    <cellStyle name="annotation_consumption scenario A" xfId="5031"/>
    <cellStyle name="annotation_price scenario A" xfId="5084"/>
    <cellStyle name="annotation_price scenario B" xfId="5086"/>
    <cellStyle name="Bad" xfId="7" builtinId="27" hidden="1"/>
    <cellStyle name="Bad" xfId="90" builtinId="27" customBuiltin="1"/>
    <cellStyle name="Bad 2" xfId="4597"/>
    <cellStyle name="Body: normal cell" xfId="4639"/>
    <cellStyle name="Calculation" xfId="21" builtinId="22" hidden="1" customBuiltin="1"/>
    <cellStyle name="Calculation" xfId="55" builtinId="22" customBuiltin="1"/>
    <cellStyle name="Calculation 2" xfId="61"/>
    <cellStyle name="Calculation 2 2" xfId="136"/>
    <cellStyle name="Calculation 2 3" xfId="120"/>
    <cellStyle name="Calculation 2 3 2" xfId="4598"/>
    <cellStyle name="Calculation 2 3_consumption scenario A" xfId="5033"/>
    <cellStyle name="Calculation 2_consumption scenario A" xfId="5032"/>
    <cellStyle name="Calculation 3" xfId="157"/>
    <cellStyle name="Calculation 4" xfId="4494"/>
    <cellStyle name="Check Cell" xfId="23" builtinId="23" hidden="1" customBuiltin="1"/>
    <cellStyle name="Check Cell" xfId="91" builtinId="23" customBuiltin="1"/>
    <cellStyle name="Check Cell 2" xfId="4599"/>
    <cellStyle name="checksum" xfId="49"/>
    <cellStyle name="checksum 2" xfId="126"/>
    <cellStyle name="checksum 3" xfId="109"/>
    <cellStyle name="checksum_consumption scenario A" xfId="5034"/>
    <cellStyle name="Comma" xfId="8" builtinId="3" hidden="1"/>
    <cellStyle name="Comma" xfId="4750" builtinId="3"/>
    <cellStyle name="Comma [0]" xfId="45" builtinId="6" hidden="1"/>
    <cellStyle name="Comma 10" xfId="5946"/>
    <cellStyle name="Comma 10 10" xfId="5947"/>
    <cellStyle name="Comma 10 11" xfId="5948"/>
    <cellStyle name="Comma 10 12" xfId="5949"/>
    <cellStyle name="Comma 10 13" xfId="5950"/>
    <cellStyle name="Comma 10 14" xfId="5951"/>
    <cellStyle name="Comma 10 15" xfId="5952"/>
    <cellStyle name="Comma 10 16" xfId="5953"/>
    <cellStyle name="Comma 10 17" xfId="5954"/>
    <cellStyle name="Comma 10 18" xfId="5955"/>
    <cellStyle name="Comma 10 19" xfId="5956"/>
    <cellStyle name="Comma 10 2" xfId="5957"/>
    <cellStyle name="Comma 10 20" xfId="5958"/>
    <cellStyle name="Comma 10 21" xfId="5959"/>
    <cellStyle name="Comma 10 22" xfId="5960"/>
    <cellStyle name="Comma 10 23" xfId="5961"/>
    <cellStyle name="Comma 10 24" xfId="5962"/>
    <cellStyle name="Comma 10 25" xfId="5963"/>
    <cellStyle name="Comma 10 26" xfId="5964"/>
    <cellStyle name="Comma 10 27" xfId="5965"/>
    <cellStyle name="Comma 10 28" xfId="5966"/>
    <cellStyle name="Comma 10 29" xfId="5967"/>
    <cellStyle name="Comma 10 3" xfId="5968"/>
    <cellStyle name="Comma 10 30" xfId="5969"/>
    <cellStyle name="Comma 10 31" xfId="5970"/>
    <cellStyle name="Comma 10 32" xfId="5971"/>
    <cellStyle name="Comma 10 33" xfId="5972"/>
    <cellStyle name="Comma 10 34" xfId="5973"/>
    <cellStyle name="Comma 10 35" xfId="5974"/>
    <cellStyle name="Comma 10 36" xfId="5975"/>
    <cellStyle name="Comma 10 37" xfId="5976"/>
    <cellStyle name="Comma 10 38" xfId="5977"/>
    <cellStyle name="Comma 10 39" xfId="38285"/>
    <cellStyle name="Comma 10 4" xfId="5978"/>
    <cellStyle name="Comma 10 5" xfId="5979"/>
    <cellStyle name="Comma 10 6" xfId="5980"/>
    <cellStyle name="Comma 10 7" xfId="5981"/>
    <cellStyle name="Comma 10 8" xfId="5982"/>
    <cellStyle name="Comma 10 9" xfId="5983"/>
    <cellStyle name="Comma 11" xfId="5984"/>
    <cellStyle name="Comma 11 2" xfId="5985"/>
    <cellStyle name="Comma 11 3" xfId="5986"/>
    <cellStyle name="Comma 11 4" xfId="40050"/>
    <cellStyle name="Comma 11 5" xfId="41591"/>
    <cellStyle name="Comma 12" xfId="5987"/>
    <cellStyle name="Comma 12 10" xfId="5988"/>
    <cellStyle name="Comma 12 11" xfId="5989"/>
    <cellStyle name="Comma 12 12" xfId="5990"/>
    <cellStyle name="Comma 12 13" xfId="5991"/>
    <cellStyle name="Comma 12 14" xfId="5992"/>
    <cellStyle name="Comma 12 15" xfId="5993"/>
    <cellStyle name="Comma 12 16" xfId="5994"/>
    <cellStyle name="Comma 12 17" xfId="5995"/>
    <cellStyle name="Comma 12 18" xfId="5996"/>
    <cellStyle name="Comma 12 19" xfId="5997"/>
    <cellStyle name="Comma 12 2" xfId="5998"/>
    <cellStyle name="Comma 12 20" xfId="5999"/>
    <cellStyle name="Comma 12 21" xfId="6000"/>
    <cellStyle name="Comma 12 22" xfId="6001"/>
    <cellStyle name="Comma 12 23" xfId="6002"/>
    <cellStyle name="Comma 12 24" xfId="6003"/>
    <cellStyle name="Comma 12 25" xfId="6004"/>
    <cellStyle name="Comma 12 26" xfId="6005"/>
    <cellStyle name="Comma 12 27" xfId="6006"/>
    <cellStyle name="Comma 12 28" xfId="6007"/>
    <cellStyle name="Comma 12 29" xfId="6008"/>
    <cellStyle name="Comma 12 3" xfId="6009"/>
    <cellStyle name="Comma 12 30" xfId="6010"/>
    <cellStyle name="Comma 12 31" xfId="6011"/>
    <cellStyle name="Comma 12 32" xfId="6012"/>
    <cellStyle name="Comma 12 33" xfId="6013"/>
    <cellStyle name="Comma 12 34" xfId="6014"/>
    <cellStyle name="Comma 12 35" xfId="6015"/>
    <cellStyle name="Comma 12 36" xfId="6016"/>
    <cellStyle name="Comma 12 37" xfId="6017"/>
    <cellStyle name="Comma 12 38" xfId="6018"/>
    <cellStyle name="Comma 12 4" xfId="6019"/>
    <cellStyle name="Comma 12 5" xfId="6020"/>
    <cellStyle name="Comma 12 6" xfId="6021"/>
    <cellStyle name="Comma 12 7" xfId="6022"/>
    <cellStyle name="Comma 12 8" xfId="6023"/>
    <cellStyle name="Comma 12 9" xfId="6024"/>
    <cellStyle name="Comma 13" xfId="6025"/>
    <cellStyle name="Comma 13 10" xfId="6026"/>
    <cellStyle name="Comma 13 11" xfId="6027"/>
    <cellStyle name="Comma 13 12" xfId="6028"/>
    <cellStyle name="Comma 13 13" xfId="6029"/>
    <cellStyle name="Comma 13 14" xfId="6030"/>
    <cellStyle name="Comma 13 15" xfId="6031"/>
    <cellStyle name="Comma 13 16" xfId="6032"/>
    <cellStyle name="Comma 13 17" xfId="6033"/>
    <cellStyle name="Comma 13 18" xfId="6034"/>
    <cellStyle name="Comma 13 19" xfId="6035"/>
    <cellStyle name="Comma 13 2" xfId="6036"/>
    <cellStyle name="Comma 13 20" xfId="6037"/>
    <cellStyle name="Comma 13 21" xfId="6038"/>
    <cellStyle name="Comma 13 22" xfId="6039"/>
    <cellStyle name="Comma 13 23" xfId="6040"/>
    <cellStyle name="Comma 13 24" xfId="6041"/>
    <cellStyle name="Comma 13 25" xfId="6042"/>
    <cellStyle name="Comma 13 26" xfId="6043"/>
    <cellStyle name="Comma 13 27" xfId="6044"/>
    <cellStyle name="Comma 13 28" xfId="6045"/>
    <cellStyle name="Comma 13 29" xfId="6046"/>
    <cellStyle name="Comma 13 3" xfId="6047"/>
    <cellStyle name="Comma 13 30" xfId="6048"/>
    <cellStyle name="Comma 13 31" xfId="6049"/>
    <cellStyle name="Comma 13 32" xfId="6050"/>
    <cellStyle name="Comma 13 33" xfId="6051"/>
    <cellStyle name="Comma 13 34" xfId="6052"/>
    <cellStyle name="Comma 13 35" xfId="6053"/>
    <cellStyle name="Comma 13 36" xfId="6054"/>
    <cellStyle name="Comma 13 37" xfId="6055"/>
    <cellStyle name="Comma 13 38" xfId="6056"/>
    <cellStyle name="Comma 13 4" xfId="6057"/>
    <cellStyle name="Comma 13 5" xfId="6058"/>
    <cellStyle name="Comma 13 6" xfId="6059"/>
    <cellStyle name="Comma 13 7" xfId="6060"/>
    <cellStyle name="Comma 13 8" xfId="6061"/>
    <cellStyle name="Comma 13 9" xfId="6062"/>
    <cellStyle name="Comma 14" xfId="6063"/>
    <cellStyle name="Comma 14 10" xfId="6064"/>
    <cellStyle name="Comma 14 11" xfId="6065"/>
    <cellStyle name="Comma 14 12" xfId="6066"/>
    <cellStyle name="Comma 14 13" xfId="6067"/>
    <cellStyle name="Comma 14 14" xfId="6068"/>
    <cellStyle name="Comma 14 15" xfId="6069"/>
    <cellStyle name="Comma 14 16" xfId="6070"/>
    <cellStyle name="Comma 14 17" xfId="6071"/>
    <cellStyle name="Comma 14 18" xfId="6072"/>
    <cellStyle name="Comma 14 19" xfId="6073"/>
    <cellStyle name="Comma 14 2" xfId="6074"/>
    <cellStyle name="Comma 14 20" xfId="6075"/>
    <cellStyle name="Comma 14 21" xfId="6076"/>
    <cellStyle name="Comma 14 22" xfId="6077"/>
    <cellStyle name="Comma 14 23" xfId="6078"/>
    <cellStyle name="Comma 14 24" xfId="6079"/>
    <cellStyle name="Comma 14 25" xfId="6080"/>
    <cellStyle name="Comma 14 26" xfId="6081"/>
    <cellStyle name="Comma 14 27" xfId="6082"/>
    <cellStyle name="Comma 14 28" xfId="6083"/>
    <cellStyle name="Comma 14 29" xfId="6084"/>
    <cellStyle name="Comma 14 3" xfId="6085"/>
    <cellStyle name="Comma 14 30" xfId="6086"/>
    <cellStyle name="Comma 14 31" xfId="6087"/>
    <cellStyle name="Comma 14 32" xfId="6088"/>
    <cellStyle name="Comma 14 33" xfId="6089"/>
    <cellStyle name="Comma 14 34" xfId="6090"/>
    <cellStyle name="Comma 14 35" xfId="6091"/>
    <cellStyle name="Comma 14 36" xfId="6092"/>
    <cellStyle name="Comma 14 37" xfId="6093"/>
    <cellStyle name="Comma 14 38" xfId="6094"/>
    <cellStyle name="Comma 14 4" xfId="6095"/>
    <cellStyle name="Comma 14 5" xfId="6096"/>
    <cellStyle name="Comma 14 6" xfId="6097"/>
    <cellStyle name="Comma 14 7" xfId="6098"/>
    <cellStyle name="Comma 14 8" xfId="6099"/>
    <cellStyle name="Comma 14 9" xfId="6100"/>
    <cellStyle name="Comma 15" xfId="6101"/>
    <cellStyle name="Comma 15 10" xfId="6102"/>
    <cellStyle name="Comma 15 10 2" xfId="6103"/>
    <cellStyle name="Comma 15 10 3" xfId="6104"/>
    <cellStyle name="Comma 15 11" xfId="6105"/>
    <cellStyle name="Comma 15 11 2" xfId="6106"/>
    <cellStyle name="Comma 15 11 3" xfId="6107"/>
    <cellStyle name="Comma 15 12" xfId="6108"/>
    <cellStyle name="Comma 15 12 2" xfId="6109"/>
    <cellStyle name="Comma 15 12 3" xfId="6110"/>
    <cellStyle name="Comma 15 13" xfId="6111"/>
    <cellStyle name="Comma 15 13 2" xfId="6112"/>
    <cellStyle name="Comma 15 13 3" xfId="6113"/>
    <cellStyle name="Comma 15 14" xfId="6114"/>
    <cellStyle name="Comma 15 14 2" xfId="6115"/>
    <cellStyle name="Comma 15 14 3" xfId="6116"/>
    <cellStyle name="Comma 15 15" xfId="6117"/>
    <cellStyle name="Comma 15 15 2" xfId="6118"/>
    <cellStyle name="Comma 15 15 3" xfId="6119"/>
    <cellStyle name="Comma 15 16" xfId="6120"/>
    <cellStyle name="Comma 15 17" xfId="6121"/>
    <cellStyle name="Comma 15 2" xfId="6122"/>
    <cellStyle name="Comma 15 2 2" xfId="6123"/>
    <cellStyle name="Comma 15 2 3" xfId="6124"/>
    <cellStyle name="Comma 15 3" xfId="6125"/>
    <cellStyle name="Comma 15 3 2" xfId="6126"/>
    <cellStyle name="Comma 15 3 3" xfId="6127"/>
    <cellStyle name="Comma 15 4" xfId="6128"/>
    <cellStyle name="Comma 15 4 2" xfId="6129"/>
    <cellStyle name="Comma 15 4 3" xfId="6130"/>
    <cellStyle name="Comma 15 5" xfId="6131"/>
    <cellStyle name="Comma 15 5 2" xfId="6132"/>
    <cellStyle name="Comma 15 5 3" xfId="6133"/>
    <cellStyle name="Comma 15 6" xfId="6134"/>
    <cellStyle name="Comma 15 6 2" xfId="6135"/>
    <cellStyle name="Comma 15 6 3" xfId="6136"/>
    <cellStyle name="Comma 15 7" xfId="6137"/>
    <cellStyle name="Comma 15 7 2" xfId="6138"/>
    <cellStyle name="Comma 15 7 3" xfId="6139"/>
    <cellStyle name="Comma 15 8" xfId="6140"/>
    <cellStyle name="Comma 15 8 2" xfId="6141"/>
    <cellStyle name="Comma 15 8 3" xfId="6142"/>
    <cellStyle name="Comma 15 9" xfId="6143"/>
    <cellStyle name="Comma 15 9 2" xfId="6144"/>
    <cellStyle name="Comma 15 9 3" xfId="6145"/>
    <cellStyle name="Comma 16" xfId="6146"/>
    <cellStyle name="Comma 16 10" xfId="6147"/>
    <cellStyle name="Comma 16 10 2" xfId="6148"/>
    <cellStyle name="Comma 16 10 3" xfId="6149"/>
    <cellStyle name="Comma 16 11" xfId="6150"/>
    <cellStyle name="Comma 16 11 2" xfId="6151"/>
    <cellStyle name="Comma 16 11 3" xfId="6152"/>
    <cellStyle name="Comma 16 12" xfId="6153"/>
    <cellStyle name="Comma 16 12 2" xfId="6154"/>
    <cellStyle name="Comma 16 12 3" xfId="6155"/>
    <cellStyle name="Comma 16 13" xfId="6156"/>
    <cellStyle name="Comma 16 13 2" xfId="6157"/>
    <cellStyle name="Comma 16 13 3" xfId="6158"/>
    <cellStyle name="Comma 16 14" xfId="6159"/>
    <cellStyle name="Comma 16 14 2" xfId="6160"/>
    <cellStyle name="Comma 16 14 3" xfId="6161"/>
    <cellStyle name="Comma 16 15" xfId="6162"/>
    <cellStyle name="Comma 16 15 2" xfId="6163"/>
    <cellStyle name="Comma 16 15 3" xfId="6164"/>
    <cellStyle name="Comma 16 16" xfId="6165"/>
    <cellStyle name="Comma 16 17" xfId="6166"/>
    <cellStyle name="Comma 16 2" xfId="6167"/>
    <cellStyle name="Comma 16 2 2" xfId="6168"/>
    <cellStyle name="Comma 16 2 3" xfId="6169"/>
    <cellStyle name="Comma 16 3" xfId="6170"/>
    <cellStyle name="Comma 16 3 2" xfId="6171"/>
    <cellStyle name="Comma 16 3 3" xfId="6172"/>
    <cellStyle name="Comma 16 4" xfId="6173"/>
    <cellStyle name="Comma 16 4 2" xfId="6174"/>
    <cellStyle name="Comma 16 4 3" xfId="6175"/>
    <cellStyle name="Comma 16 5" xfId="6176"/>
    <cellStyle name="Comma 16 5 2" xfId="6177"/>
    <cellStyle name="Comma 16 5 3" xfId="6178"/>
    <cellStyle name="Comma 16 6" xfId="6179"/>
    <cellStyle name="Comma 16 6 2" xfId="6180"/>
    <cellStyle name="Comma 16 6 3" xfId="6181"/>
    <cellStyle name="Comma 16 7" xfId="6182"/>
    <cellStyle name="Comma 16 7 2" xfId="6183"/>
    <cellStyle name="Comma 16 7 3" xfId="6184"/>
    <cellStyle name="Comma 16 8" xfId="6185"/>
    <cellStyle name="Comma 16 8 2" xfId="6186"/>
    <cellStyle name="Comma 16 8 3" xfId="6187"/>
    <cellStyle name="Comma 16 9" xfId="6188"/>
    <cellStyle name="Comma 16 9 2" xfId="6189"/>
    <cellStyle name="Comma 16 9 3" xfId="6190"/>
    <cellStyle name="Comma 17" xfId="6191"/>
    <cellStyle name="Comma 17 10" xfId="6192"/>
    <cellStyle name="Comma 17 10 2" xfId="6193"/>
    <cellStyle name="Comma 17 10 3" xfId="6194"/>
    <cellStyle name="Comma 17 11" xfId="6195"/>
    <cellStyle name="Comma 17 11 2" xfId="6196"/>
    <cellStyle name="Comma 17 11 3" xfId="6197"/>
    <cellStyle name="Comma 17 12" xfId="6198"/>
    <cellStyle name="Comma 17 12 2" xfId="6199"/>
    <cellStyle name="Comma 17 12 3" xfId="6200"/>
    <cellStyle name="Comma 17 13" xfId="6201"/>
    <cellStyle name="Comma 17 13 2" xfId="6202"/>
    <cellStyle name="Comma 17 13 3" xfId="6203"/>
    <cellStyle name="Comma 17 14" xfId="6204"/>
    <cellStyle name="Comma 17 14 2" xfId="6205"/>
    <cellStyle name="Comma 17 14 3" xfId="6206"/>
    <cellStyle name="Comma 17 15" xfId="6207"/>
    <cellStyle name="Comma 17 15 2" xfId="6208"/>
    <cellStyle name="Comma 17 15 3" xfId="6209"/>
    <cellStyle name="Comma 17 16" xfId="6210"/>
    <cellStyle name="Comma 17 17" xfId="6211"/>
    <cellStyle name="Comma 17 2" xfId="6212"/>
    <cellStyle name="Comma 17 2 2" xfId="6213"/>
    <cellStyle name="Comma 17 2 3" xfId="6214"/>
    <cellStyle name="Comma 17 3" xfId="6215"/>
    <cellStyle name="Comma 17 3 2" xfId="6216"/>
    <cellStyle name="Comma 17 3 3" xfId="6217"/>
    <cellStyle name="Comma 17 4" xfId="6218"/>
    <cellStyle name="Comma 17 4 2" xfId="6219"/>
    <cellStyle name="Comma 17 4 3" xfId="6220"/>
    <cellStyle name="Comma 17 5" xfId="6221"/>
    <cellStyle name="Comma 17 5 2" xfId="6222"/>
    <cellStyle name="Comma 17 5 3" xfId="6223"/>
    <cellStyle name="Comma 17 6" xfId="6224"/>
    <cellStyle name="Comma 17 6 2" xfId="6225"/>
    <cellStyle name="Comma 17 6 3" xfId="6226"/>
    <cellStyle name="Comma 17 7" xfId="6227"/>
    <cellStyle name="Comma 17 7 2" xfId="6228"/>
    <cellStyle name="Comma 17 7 3" xfId="6229"/>
    <cellStyle name="Comma 17 8" xfId="6230"/>
    <cellStyle name="Comma 17 8 2" xfId="6231"/>
    <cellStyle name="Comma 17 8 3" xfId="6232"/>
    <cellStyle name="Comma 17 9" xfId="6233"/>
    <cellStyle name="Comma 17 9 2" xfId="6234"/>
    <cellStyle name="Comma 17 9 3" xfId="6235"/>
    <cellStyle name="Comma 18" xfId="6236"/>
    <cellStyle name="Comma 18 10" xfId="6237"/>
    <cellStyle name="Comma 18 10 2" xfId="6238"/>
    <cellStyle name="Comma 18 10 3" xfId="6239"/>
    <cellStyle name="Comma 18 11" xfId="6240"/>
    <cellStyle name="Comma 18 11 2" xfId="6241"/>
    <cellStyle name="Comma 18 11 3" xfId="6242"/>
    <cellStyle name="Comma 18 12" xfId="6243"/>
    <cellStyle name="Comma 18 12 2" xfId="6244"/>
    <cellStyle name="Comma 18 12 3" xfId="6245"/>
    <cellStyle name="Comma 18 13" xfId="6246"/>
    <cellStyle name="Comma 18 13 2" xfId="6247"/>
    <cellStyle name="Comma 18 13 3" xfId="6248"/>
    <cellStyle name="Comma 18 14" xfId="6249"/>
    <cellStyle name="Comma 18 14 2" xfId="6250"/>
    <cellStyle name="Comma 18 14 3" xfId="6251"/>
    <cellStyle name="Comma 18 15" xfId="6252"/>
    <cellStyle name="Comma 18 15 2" xfId="6253"/>
    <cellStyle name="Comma 18 15 3" xfId="6254"/>
    <cellStyle name="Comma 18 16" xfId="6255"/>
    <cellStyle name="Comma 18 17" xfId="6256"/>
    <cellStyle name="Comma 18 2" xfId="6257"/>
    <cellStyle name="Comma 18 2 2" xfId="6258"/>
    <cellStyle name="Comma 18 2 3" xfId="6259"/>
    <cellStyle name="Comma 18 3" xfId="6260"/>
    <cellStyle name="Comma 18 3 2" xfId="6261"/>
    <cellStyle name="Comma 18 3 3" xfId="6262"/>
    <cellStyle name="Comma 18 4" xfId="6263"/>
    <cellStyle name="Comma 18 4 2" xfId="6264"/>
    <cellStyle name="Comma 18 4 3" xfId="6265"/>
    <cellStyle name="Comma 18 5" xfId="6266"/>
    <cellStyle name="Comma 18 5 2" xfId="6267"/>
    <cellStyle name="Comma 18 5 3" xfId="6268"/>
    <cellStyle name="Comma 18 6" xfId="6269"/>
    <cellStyle name="Comma 18 6 2" xfId="6270"/>
    <cellStyle name="Comma 18 6 3" xfId="6271"/>
    <cellStyle name="Comma 18 7" xfId="6272"/>
    <cellStyle name="Comma 18 7 2" xfId="6273"/>
    <cellStyle name="Comma 18 7 3" xfId="6274"/>
    <cellStyle name="Comma 18 8" xfId="6275"/>
    <cellStyle name="Comma 18 8 2" xfId="6276"/>
    <cellStyle name="Comma 18 8 3" xfId="6277"/>
    <cellStyle name="Comma 18 9" xfId="6278"/>
    <cellStyle name="Comma 18 9 2" xfId="6279"/>
    <cellStyle name="Comma 18 9 3" xfId="6280"/>
    <cellStyle name="Comma 19" xfId="6281"/>
    <cellStyle name="Comma 19 10" xfId="6282"/>
    <cellStyle name="Comma 19 10 2" xfId="6283"/>
    <cellStyle name="Comma 19 10 3" xfId="6284"/>
    <cellStyle name="Comma 19 11" xfId="6285"/>
    <cellStyle name="Comma 19 11 2" xfId="6286"/>
    <cellStyle name="Comma 19 11 3" xfId="6287"/>
    <cellStyle name="Comma 19 12" xfId="6288"/>
    <cellStyle name="Comma 19 12 2" xfId="6289"/>
    <cellStyle name="Comma 19 12 3" xfId="6290"/>
    <cellStyle name="Comma 19 13" xfId="6291"/>
    <cellStyle name="Comma 19 13 2" xfId="6292"/>
    <cellStyle name="Comma 19 13 3" xfId="6293"/>
    <cellStyle name="Comma 19 14" xfId="6294"/>
    <cellStyle name="Comma 19 14 2" xfId="6295"/>
    <cellStyle name="Comma 19 14 3" xfId="6296"/>
    <cellStyle name="Comma 19 15" xfId="6297"/>
    <cellStyle name="Comma 19 15 2" xfId="6298"/>
    <cellStyle name="Comma 19 15 3" xfId="6299"/>
    <cellStyle name="Comma 19 16" xfId="6300"/>
    <cellStyle name="Comma 19 16 2" xfId="6301"/>
    <cellStyle name="Comma 19 17" xfId="6302"/>
    <cellStyle name="Comma 19 17 2" xfId="6303"/>
    <cellStyle name="Comma 19 18" xfId="6304"/>
    <cellStyle name="Comma 19 18 2" xfId="6305"/>
    <cellStyle name="Comma 19 19" xfId="6306"/>
    <cellStyle name="Comma 19 19 2" xfId="6307"/>
    <cellStyle name="Comma 19 2" xfId="6308"/>
    <cellStyle name="Comma 19 2 2" xfId="6309"/>
    <cellStyle name="Comma 19 2 3" xfId="6310"/>
    <cellStyle name="Comma 19 20" xfId="6311"/>
    <cellStyle name="Comma 19 20 2" xfId="6312"/>
    <cellStyle name="Comma 19 21" xfId="6313"/>
    <cellStyle name="Comma 19 21 2" xfId="6314"/>
    <cellStyle name="Comma 19 22" xfId="6315"/>
    <cellStyle name="Comma 19 22 2" xfId="6316"/>
    <cellStyle name="Comma 19 23" xfId="6317"/>
    <cellStyle name="Comma 19 23 2" xfId="6318"/>
    <cellStyle name="Comma 19 24" xfId="6319"/>
    <cellStyle name="Comma 19 24 2" xfId="6320"/>
    <cellStyle name="Comma 19 25" xfId="6321"/>
    <cellStyle name="Comma 19 25 2" xfId="6322"/>
    <cellStyle name="Comma 19 26" xfId="6323"/>
    <cellStyle name="Comma 19 3" xfId="6324"/>
    <cellStyle name="Comma 19 3 2" xfId="6325"/>
    <cellStyle name="Comma 19 3 3" xfId="6326"/>
    <cellStyle name="Comma 19 4" xfId="6327"/>
    <cellStyle name="Comma 19 4 2" xfId="6328"/>
    <cellStyle name="Comma 19 4 3" xfId="6329"/>
    <cellStyle name="Comma 19 5" xfId="6330"/>
    <cellStyle name="Comma 19 5 2" xfId="6331"/>
    <cellStyle name="Comma 19 5 3" xfId="6332"/>
    <cellStyle name="Comma 19 6" xfId="6333"/>
    <cellStyle name="Comma 19 6 2" xfId="6334"/>
    <cellStyle name="Comma 19 6 3" xfId="6335"/>
    <cellStyle name="Comma 19 7" xfId="6336"/>
    <cellStyle name="Comma 19 7 2" xfId="6337"/>
    <cellStyle name="Comma 19 7 3" xfId="6338"/>
    <cellStyle name="Comma 19 8" xfId="6339"/>
    <cellStyle name="Comma 19 8 2" xfId="6340"/>
    <cellStyle name="Comma 19 8 3" xfId="6341"/>
    <cellStyle name="Comma 19 9" xfId="6342"/>
    <cellStyle name="Comma 19 9 2" xfId="6343"/>
    <cellStyle name="Comma 19 9 3" xfId="6344"/>
    <cellStyle name="Comma 2" xfId="6345"/>
    <cellStyle name="Comma 2 10" xfId="6346"/>
    <cellStyle name="Comma 2 10 2" xfId="6347"/>
    <cellStyle name="Comma 2 10 3" xfId="6348"/>
    <cellStyle name="Comma 2 11" xfId="6349"/>
    <cellStyle name="Comma 2 11 2" xfId="6350"/>
    <cellStyle name="Comma 2 11 3" xfId="6351"/>
    <cellStyle name="Comma 2 12" xfId="35598"/>
    <cellStyle name="Comma 2 2" xfId="6352"/>
    <cellStyle name="Comma 2 2 10" xfId="6353"/>
    <cellStyle name="Comma 2 2 10 10" xfId="6354"/>
    <cellStyle name="Comma 2 2 10 10 2" xfId="6355"/>
    <cellStyle name="Comma 2 2 10 11" xfId="6356"/>
    <cellStyle name="Comma 2 2 10 11 2" xfId="6357"/>
    <cellStyle name="Comma 2 2 10 12" xfId="6358"/>
    <cellStyle name="Comma 2 2 10 2" xfId="6359"/>
    <cellStyle name="Comma 2 2 10 2 2" xfId="6360"/>
    <cellStyle name="Comma 2 2 10 3" xfId="6361"/>
    <cellStyle name="Comma 2 2 10 3 2" xfId="6362"/>
    <cellStyle name="Comma 2 2 10 4" xfId="6363"/>
    <cellStyle name="Comma 2 2 10 4 2" xfId="6364"/>
    <cellStyle name="Comma 2 2 10 5" xfId="6365"/>
    <cellStyle name="Comma 2 2 10 5 2" xfId="6366"/>
    <cellStyle name="Comma 2 2 10 6" xfId="6367"/>
    <cellStyle name="Comma 2 2 10 6 2" xfId="6368"/>
    <cellStyle name="Comma 2 2 10 7" xfId="6369"/>
    <cellStyle name="Comma 2 2 10 7 2" xfId="6370"/>
    <cellStyle name="Comma 2 2 10 8" xfId="6371"/>
    <cellStyle name="Comma 2 2 10 8 2" xfId="6372"/>
    <cellStyle name="Comma 2 2 10 9" xfId="6373"/>
    <cellStyle name="Comma 2 2 10 9 2" xfId="6374"/>
    <cellStyle name="Comma 2 2 11" xfId="6375"/>
    <cellStyle name="Comma 2 2 11 10" xfId="6376"/>
    <cellStyle name="Comma 2 2 11 10 2" xfId="6377"/>
    <cellStyle name="Comma 2 2 11 11" xfId="6378"/>
    <cellStyle name="Comma 2 2 11 11 2" xfId="6379"/>
    <cellStyle name="Comma 2 2 11 12" xfId="6380"/>
    <cellStyle name="Comma 2 2 11 2" xfId="6381"/>
    <cellStyle name="Comma 2 2 11 2 2" xfId="6382"/>
    <cellStyle name="Comma 2 2 11 3" xfId="6383"/>
    <cellStyle name="Comma 2 2 11 3 2" xfId="6384"/>
    <cellStyle name="Comma 2 2 11 4" xfId="6385"/>
    <cellStyle name="Comma 2 2 11 4 2" xfId="6386"/>
    <cellStyle name="Comma 2 2 11 5" xfId="6387"/>
    <cellStyle name="Comma 2 2 11 5 2" xfId="6388"/>
    <cellStyle name="Comma 2 2 11 6" xfId="6389"/>
    <cellStyle name="Comma 2 2 11 6 2" xfId="6390"/>
    <cellStyle name="Comma 2 2 11 7" xfId="6391"/>
    <cellStyle name="Comma 2 2 11 7 2" xfId="6392"/>
    <cellStyle name="Comma 2 2 11 8" xfId="6393"/>
    <cellStyle name="Comma 2 2 11 8 2" xfId="6394"/>
    <cellStyle name="Comma 2 2 11 9" xfId="6395"/>
    <cellStyle name="Comma 2 2 11 9 2" xfId="6396"/>
    <cellStyle name="Comma 2 2 12" xfId="6397"/>
    <cellStyle name="Comma 2 2 12 10" xfId="6398"/>
    <cellStyle name="Comma 2 2 12 10 2" xfId="6399"/>
    <cellStyle name="Comma 2 2 12 11" xfId="6400"/>
    <cellStyle name="Comma 2 2 12 11 2" xfId="6401"/>
    <cellStyle name="Comma 2 2 12 12" xfId="6402"/>
    <cellStyle name="Comma 2 2 12 2" xfId="6403"/>
    <cellStyle name="Comma 2 2 12 2 2" xfId="6404"/>
    <cellStyle name="Comma 2 2 12 3" xfId="6405"/>
    <cellStyle name="Comma 2 2 12 3 2" xfId="6406"/>
    <cellStyle name="Comma 2 2 12 4" xfId="6407"/>
    <cellStyle name="Comma 2 2 12 4 2" xfId="6408"/>
    <cellStyle name="Comma 2 2 12 5" xfId="6409"/>
    <cellStyle name="Comma 2 2 12 5 2" xfId="6410"/>
    <cellStyle name="Comma 2 2 12 6" xfId="6411"/>
    <cellStyle name="Comma 2 2 12 6 2" xfId="6412"/>
    <cellStyle name="Comma 2 2 12 7" xfId="6413"/>
    <cellStyle name="Comma 2 2 12 7 2" xfId="6414"/>
    <cellStyle name="Comma 2 2 12 8" xfId="6415"/>
    <cellStyle name="Comma 2 2 12 8 2" xfId="6416"/>
    <cellStyle name="Comma 2 2 12 9" xfId="6417"/>
    <cellStyle name="Comma 2 2 12 9 2" xfId="6418"/>
    <cellStyle name="Comma 2 2 13" xfId="6419"/>
    <cellStyle name="Comma 2 2 13 10" xfId="6420"/>
    <cellStyle name="Comma 2 2 13 10 2" xfId="6421"/>
    <cellStyle name="Comma 2 2 13 11" xfId="6422"/>
    <cellStyle name="Comma 2 2 13 11 2" xfId="6423"/>
    <cellStyle name="Comma 2 2 13 12" xfId="6424"/>
    <cellStyle name="Comma 2 2 13 2" xfId="6425"/>
    <cellStyle name="Comma 2 2 13 2 2" xfId="6426"/>
    <cellStyle name="Comma 2 2 13 3" xfId="6427"/>
    <cellStyle name="Comma 2 2 13 3 2" xfId="6428"/>
    <cellStyle name="Comma 2 2 13 4" xfId="6429"/>
    <cellStyle name="Comma 2 2 13 4 2" xfId="6430"/>
    <cellStyle name="Comma 2 2 13 5" xfId="6431"/>
    <cellStyle name="Comma 2 2 13 5 2" xfId="6432"/>
    <cellStyle name="Comma 2 2 13 6" xfId="6433"/>
    <cellStyle name="Comma 2 2 13 6 2" xfId="6434"/>
    <cellStyle name="Comma 2 2 13 7" xfId="6435"/>
    <cellStyle name="Comma 2 2 13 7 2" xfId="6436"/>
    <cellStyle name="Comma 2 2 13 8" xfId="6437"/>
    <cellStyle name="Comma 2 2 13 8 2" xfId="6438"/>
    <cellStyle name="Comma 2 2 13 9" xfId="6439"/>
    <cellStyle name="Comma 2 2 13 9 2" xfId="6440"/>
    <cellStyle name="Comma 2 2 14" xfId="6441"/>
    <cellStyle name="Comma 2 2 14 10" xfId="6442"/>
    <cellStyle name="Comma 2 2 14 10 2" xfId="6443"/>
    <cellStyle name="Comma 2 2 14 11" xfId="6444"/>
    <cellStyle name="Comma 2 2 14 11 2" xfId="6445"/>
    <cellStyle name="Comma 2 2 14 12" xfId="6446"/>
    <cellStyle name="Comma 2 2 14 2" xfId="6447"/>
    <cellStyle name="Comma 2 2 14 2 2" xfId="6448"/>
    <cellStyle name="Comma 2 2 14 3" xfId="6449"/>
    <cellStyle name="Comma 2 2 14 3 2" xfId="6450"/>
    <cellStyle name="Comma 2 2 14 4" xfId="6451"/>
    <cellStyle name="Comma 2 2 14 4 2" xfId="6452"/>
    <cellStyle name="Comma 2 2 14 5" xfId="6453"/>
    <cellStyle name="Comma 2 2 14 5 2" xfId="6454"/>
    <cellStyle name="Comma 2 2 14 6" xfId="6455"/>
    <cellStyle name="Comma 2 2 14 6 2" xfId="6456"/>
    <cellStyle name="Comma 2 2 14 7" xfId="6457"/>
    <cellStyle name="Comma 2 2 14 7 2" xfId="6458"/>
    <cellStyle name="Comma 2 2 14 8" xfId="6459"/>
    <cellStyle name="Comma 2 2 14 8 2" xfId="6460"/>
    <cellStyle name="Comma 2 2 14 9" xfId="6461"/>
    <cellStyle name="Comma 2 2 14 9 2" xfId="6462"/>
    <cellStyle name="Comma 2 2 15" xfId="6463"/>
    <cellStyle name="Comma 2 2 15 10" xfId="6464"/>
    <cellStyle name="Comma 2 2 15 10 2" xfId="6465"/>
    <cellStyle name="Comma 2 2 15 11" xfId="6466"/>
    <cellStyle name="Comma 2 2 15 11 2" xfId="6467"/>
    <cellStyle name="Comma 2 2 15 12" xfId="6468"/>
    <cellStyle name="Comma 2 2 15 2" xfId="6469"/>
    <cellStyle name="Comma 2 2 15 2 2" xfId="6470"/>
    <cellStyle name="Comma 2 2 15 3" xfId="6471"/>
    <cellStyle name="Comma 2 2 15 3 2" xfId="6472"/>
    <cellStyle name="Comma 2 2 15 4" xfId="6473"/>
    <cellStyle name="Comma 2 2 15 4 2" xfId="6474"/>
    <cellStyle name="Comma 2 2 15 5" xfId="6475"/>
    <cellStyle name="Comma 2 2 15 5 2" xfId="6476"/>
    <cellStyle name="Comma 2 2 15 6" xfId="6477"/>
    <cellStyle name="Comma 2 2 15 6 2" xfId="6478"/>
    <cellStyle name="Comma 2 2 15 7" xfId="6479"/>
    <cellStyle name="Comma 2 2 15 7 2" xfId="6480"/>
    <cellStyle name="Comma 2 2 15 8" xfId="6481"/>
    <cellStyle name="Comma 2 2 15 8 2" xfId="6482"/>
    <cellStyle name="Comma 2 2 15 9" xfId="6483"/>
    <cellStyle name="Comma 2 2 15 9 2" xfId="6484"/>
    <cellStyle name="Comma 2 2 16" xfId="6485"/>
    <cellStyle name="Comma 2 2 16 10" xfId="6486"/>
    <cellStyle name="Comma 2 2 16 10 2" xfId="6487"/>
    <cellStyle name="Comma 2 2 16 11" xfId="6488"/>
    <cellStyle name="Comma 2 2 16 11 2" xfId="6489"/>
    <cellStyle name="Comma 2 2 16 12" xfId="6490"/>
    <cellStyle name="Comma 2 2 16 2" xfId="6491"/>
    <cellStyle name="Comma 2 2 16 2 2" xfId="6492"/>
    <cellStyle name="Comma 2 2 16 3" xfId="6493"/>
    <cellStyle name="Comma 2 2 16 3 2" xfId="6494"/>
    <cellStyle name="Comma 2 2 16 4" xfId="6495"/>
    <cellStyle name="Comma 2 2 16 4 2" xfId="6496"/>
    <cellStyle name="Comma 2 2 16 5" xfId="6497"/>
    <cellStyle name="Comma 2 2 16 5 2" xfId="6498"/>
    <cellStyle name="Comma 2 2 16 6" xfId="6499"/>
    <cellStyle name="Comma 2 2 16 6 2" xfId="6500"/>
    <cellStyle name="Comma 2 2 16 7" xfId="6501"/>
    <cellStyle name="Comma 2 2 16 7 2" xfId="6502"/>
    <cellStyle name="Comma 2 2 16 8" xfId="6503"/>
    <cellStyle name="Comma 2 2 16 8 2" xfId="6504"/>
    <cellStyle name="Comma 2 2 16 9" xfId="6505"/>
    <cellStyle name="Comma 2 2 16 9 2" xfId="6506"/>
    <cellStyle name="Comma 2 2 17" xfId="6507"/>
    <cellStyle name="Comma 2 2 17 10" xfId="6508"/>
    <cellStyle name="Comma 2 2 17 10 2" xfId="6509"/>
    <cellStyle name="Comma 2 2 17 11" xfId="6510"/>
    <cellStyle name="Comma 2 2 17 11 2" xfId="6511"/>
    <cellStyle name="Comma 2 2 17 12" xfId="6512"/>
    <cellStyle name="Comma 2 2 17 2" xfId="6513"/>
    <cellStyle name="Comma 2 2 17 2 2" xfId="6514"/>
    <cellStyle name="Comma 2 2 17 3" xfId="6515"/>
    <cellStyle name="Comma 2 2 17 3 2" xfId="6516"/>
    <cellStyle name="Comma 2 2 17 4" xfId="6517"/>
    <cellStyle name="Comma 2 2 17 4 2" xfId="6518"/>
    <cellStyle name="Comma 2 2 17 5" xfId="6519"/>
    <cellStyle name="Comma 2 2 17 5 2" xfId="6520"/>
    <cellStyle name="Comma 2 2 17 6" xfId="6521"/>
    <cellStyle name="Comma 2 2 17 6 2" xfId="6522"/>
    <cellStyle name="Comma 2 2 17 7" xfId="6523"/>
    <cellStyle name="Comma 2 2 17 7 2" xfId="6524"/>
    <cellStyle name="Comma 2 2 17 8" xfId="6525"/>
    <cellStyle name="Comma 2 2 17 8 2" xfId="6526"/>
    <cellStyle name="Comma 2 2 17 9" xfId="6527"/>
    <cellStyle name="Comma 2 2 17 9 2" xfId="6528"/>
    <cellStyle name="Comma 2 2 18" xfId="6529"/>
    <cellStyle name="Comma 2 2 18 10" xfId="6530"/>
    <cellStyle name="Comma 2 2 18 10 2" xfId="6531"/>
    <cellStyle name="Comma 2 2 18 11" xfId="6532"/>
    <cellStyle name="Comma 2 2 18 11 2" xfId="6533"/>
    <cellStyle name="Comma 2 2 18 12" xfId="6534"/>
    <cellStyle name="Comma 2 2 18 2" xfId="6535"/>
    <cellStyle name="Comma 2 2 18 2 2" xfId="6536"/>
    <cellStyle name="Comma 2 2 18 3" xfId="6537"/>
    <cellStyle name="Comma 2 2 18 3 2" xfId="6538"/>
    <cellStyle name="Comma 2 2 18 4" xfId="6539"/>
    <cellStyle name="Comma 2 2 18 4 2" xfId="6540"/>
    <cellStyle name="Comma 2 2 18 5" xfId="6541"/>
    <cellStyle name="Comma 2 2 18 5 2" xfId="6542"/>
    <cellStyle name="Comma 2 2 18 6" xfId="6543"/>
    <cellStyle name="Comma 2 2 18 6 2" xfId="6544"/>
    <cellStyle name="Comma 2 2 18 7" xfId="6545"/>
    <cellStyle name="Comma 2 2 18 7 2" xfId="6546"/>
    <cellStyle name="Comma 2 2 18 8" xfId="6547"/>
    <cellStyle name="Comma 2 2 18 8 2" xfId="6548"/>
    <cellStyle name="Comma 2 2 18 9" xfId="6549"/>
    <cellStyle name="Comma 2 2 18 9 2" xfId="6550"/>
    <cellStyle name="Comma 2 2 19" xfId="6551"/>
    <cellStyle name="Comma 2 2 19 10" xfId="6552"/>
    <cellStyle name="Comma 2 2 19 10 2" xfId="6553"/>
    <cellStyle name="Comma 2 2 19 11" xfId="6554"/>
    <cellStyle name="Comma 2 2 19 11 2" xfId="6555"/>
    <cellStyle name="Comma 2 2 19 12" xfId="6556"/>
    <cellStyle name="Comma 2 2 19 2" xfId="6557"/>
    <cellStyle name="Comma 2 2 19 2 2" xfId="6558"/>
    <cellStyle name="Comma 2 2 19 3" xfId="6559"/>
    <cellStyle name="Comma 2 2 19 3 2" xfId="6560"/>
    <cellStyle name="Comma 2 2 19 4" xfId="6561"/>
    <cellStyle name="Comma 2 2 19 4 2" xfId="6562"/>
    <cellStyle name="Comma 2 2 19 5" xfId="6563"/>
    <cellStyle name="Comma 2 2 19 5 2" xfId="6564"/>
    <cellStyle name="Comma 2 2 19 6" xfId="6565"/>
    <cellStyle name="Comma 2 2 19 6 2" xfId="6566"/>
    <cellStyle name="Comma 2 2 19 7" xfId="6567"/>
    <cellStyle name="Comma 2 2 19 7 2" xfId="6568"/>
    <cellStyle name="Comma 2 2 19 8" xfId="6569"/>
    <cellStyle name="Comma 2 2 19 8 2" xfId="6570"/>
    <cellStyle name="Comma 2 2 19 9" xfId="6571"/>
    <cellStyle name="Comma 2 2 19 9 2" xfId="6572"/>
    <cellStyle name="Comma 2 2 2" xfId="6573"/>
    <cellStyle name="Comma 2 2 2 10" xfId="6574"/>
    <cellStyle name="Comma 2 2 2 10 10" xfId="6575"/>
    <cellStyle name="Comma 2 2 2 10 10 2" xfId="6576"/>
    <cellStyle name="Comma 2 2 2 10 11" xfId="6577"/>
    <cellStyle name="Comma 2 2 2 10 11 2" xfId="6578"/>
    <cellStyle name="Comma 2 2 2 10 12" xfId="6579"/>
    <cellStyle name="Comma 2 2 2 10 2" xfId="6580"/>
    <cellStyle name="Comma 2 2 2 10 2 2" xfId="6581"/>
    <cellStyle name="Comma 2 2 2 10 3" xfId="6582"/>
    <cellStyle name="Comma 2 2 2 10 3 2" xfId="6583"/>
    <cellStyle name="Comma 2 2 2 10 4" xfId="6584"/>
    <cellStyle name="Comma 2 2 2 10 4 2" xfId="6585"/>
    <cellStyle name="Comma 2 2 2 10 5" xfId="6586"/>
    <cellStyle name="Comma 2 2 2 10 5 2" xfId="6587"/>
    <cellStyle name="Comma 2 2 2 10 6" xfId="6588"/>
    <cellStyle name="Comma 2 2 2 10 6 2" xfId="6589"/>
    <cellStyle name="Comma 2 2 2 10 7" xfId="6590"/>
    <cellStyle name="Comma 2 2 2 10 7 2" xfId="6591"/>
    <cellStyle name="Comma 2 2 2 10 8" xfId="6592"/>
    <cellStyle name="Comma 2 2 2 10 8 2" xfId="6593"/>
    <cellStyle name="Comma 2 2 2 10 9" xfId="6594"/>
    <cellStyle name="Comma 2 2 2 10 9 2" xfId="6595"/>
    <cellStyle name="Comma 2 2 2 11" xfId="6596"/>
    <cellStyle name="Comma 2 2 2 11 10" xfId="6597"/>
    <cellStyle name="Comma 2 2 2 11 10 2" xfId="6598"/>
    <cellStyle name="Comma 2 2 2 11 11" xfId="6599"/>
    <cellStyle name="Comma 2 2 2 11 11 2" xfId="6600"/>
    <cellStyle name="Comma 2 2 2 11 12" xfId="6601"/>
    <cellStyle name="Comma 2 2 2 11 2" xfId="6602"/>
    <cellStyle name="Comma 2 2 2 11 2 2" xfId="6603"/>
    <cellStyle name="Comma 2 2 2 11 3" xfId="6604"/>
    <cellStyle name="Comma 2 2 2 11 3 2" xfId="6605"/>
    <cellStyle name="Comma 2 2 2 11 4" xfId="6606"/>
    <cellStyle name="Comma 2 2 2 11 4 2" xfId="6607"/>
    <cellStyle name="Comma 2 2 2 11 5" xfId="6608"/>
    <cellStyle name="Comma 2 2 2 11 5 2" xfId="6609"/>
    <cellStyle name="Comma 2 2 2 11 6" xfId="6610"/>
    <cellStyle name="Comma 2 2 2 11 6 2" xfId="6611"/>
    <cellStyle name="Comma 2 2 2 11 7" xfId="6612"/>
    <cellStyle name="Comma 2 2 2 11 7 2" xfId="6613"/>
    <cellStyle name="Comma 2 2 2 11 8" xfId="6614"/>
    <cellStyle name="Comma 2 2 2 11 8 2" xfId="6615"/>
    <cellStyle name="Comma 2 2 2 11 9" xfId="6616"/>
    <cellStyle name="Comma 2 2 2 11 9 2" xfId="6617"/>
    <cellStyle name="Comma 2 2 2 12" xfId="6618"/>
    <cellStyle name="Comma 2 2 2 12 10" xfId="6619"/>
    <cellStyle name="Comma 2 2 2 12 10 2" xfId="6620"/>
    <cellStyle name="Comma 2 2 2 12 11" xfId="6621"/>
    <cellStyle name="Comma 2 2 2 12 11 2" xfId="6622"/>
    <cellStyle name="Comma 2 2 2 12 12" xfId="6623"/>
    <cellStyle name="Comma 2 2 2 12 2" xfId="6624"/>
    <cellStyle name="Comma 2 2 2 12 2 2" xfId="6625"/>
    <cellStyle name="Comma 2 2 2 12 3" xfId="6626"/>
    <cellStyle name="Comma 2 2 2 12 3 2" xfId="6627"/>
    <cellStyle name="Comma 2 2 2 12 4" xfId="6628"/>
    <cellStyle name="Comma 2 2 2 12 4 2" xfId="6629"/>
    <cellStyle name="Comma 2 2 2 12 5" xfId="6630"/>
    <cellStyle name="Comma 2 2 2 12 5 2" xfId="6631"/>
    <cellStyle name="Comma 2 2 2 12 6" xfId="6632"/>
    <cellStyle name="Comma 2 2 2 12 6 2" xfId="6633"/>
    <cellStyle name="Comma 2 2 2 12 7" xfId="6634"/>
    <cellStyle name="Comma 2 2 2 12 7 2" xfId="6635"/>
    <cellStyle name="Comma 2 2 2 12 8" xfId="6636"/>
    <cellStyle name="Comma 2 2 2 12 8 2" xfId="6637"/>
    <cellStyle name="Comma 2 2 2 12 9" xfId="6638"/>
    <cellStyle name="Comma 2 2 2 12 9 2" xfId="6639"/>
    <cellStyle name="Comma 2 2 2 13" xfId="6640"/>
    <cellStyle name="Comma 2 2 2 13 10" xfId="6641"/>
    <cellStyle name="Comma 2 2 2 13 10 2" xfId="6642"/>
    <cellStyle name="Comma 2 2 2 13 11" xfId="6643"/>
    <cellStyle name="Comma 2 2 2 13 11 2" xfId="6644"/>
    <cellStyle name="Comma 2 2 2 13 12" xfId="6645"/>
    <cellStyle name="Comma 2 2 2 13 2" xfId="6646"/>
    <cellStyle name="Comma 2 2 2 13 2 2" xfId="6647"/>
    <cellStyle name="Comma 2 2 2 13 3" xfId="6648"/>
    <cellStyle name="Comma 2 2 2 13 3 2" xfId="6649"/>
    <cellStyle name="Comma 2 2 2 13 4" xfId="6650"/>
    <cellStyle name="Comma 2 2 2 13 4 2" xfId="6651"/>
    <cellStyle name="Comma 2 2 2 13 5" xfId="6652"/>
    <cellStyle name="Comma 2 2 2 13 5 2" xfId="6653"/>
    <cellStyle name="Comma 2 2 2 13 6" xfId="6654"/>
    <cellStyle name="Comma 2 2 2 13 6 2" xfId="6655"/>
    <cellStyle name="Comma 2 2 2 13 7" xfId="6656"/>
    <cellStyle name="Comma 2 2 2 13 7 2" xfId="6657"/>
    <cellStyle name="Comma 2 2 2 13 8" xfId="6658"/>
    <cellStyle name="Comma 2 2 2 13 8 2" xfId="6659"/>
    <cellStyle name="Comma 2 2 2 13 9" xfId="6660"/>
    <cellStyle name="Comma 2 2 2 13 9 2" xfId="6661"/>
    <cellStyle name="Comma 2 2 2 14" xfId="6662"/>
    <cellStyle name="Comma 2 2 2 14 10" xfId="6663"/>
    <cellStyle name="Comma 2 2 2 14 10 2" xfId="6664"/>
    <cellStyle name="Comma 2 2 2 14 11" xfId="6665"/>
    <cellStyle name="Comma 2 2 2 14 11 2" xfId="6666"/>
    <cellStyle name="Comma 2 2 2 14 12" xfId="6667"/>
    <cellStyle name="Comma 2 2 2 14 2" xfId="6668"/>
    <cellStyle name="Comma 2 2 2 14 2 2" xfId="6669"/>
    <cellStyle name="Comma 2 2 2 14 3" xfId="6670"/>
    <cellStyle name="Comma 2 2 2 14 3 2" xfId="6671"/>
    <cellStyle name="Comma 2 2 2 14 4" xfId="6672"/>
    <cellStyle name="Comma 2 2 2 14 4 2" xfId="6673"/>
    <cellStyle name="Comma 2 2 2 14 5" xfId="6674"/>
    <cellStyle name="Comma 2 2 2 14 5 2" xfId="6675"/>
    <cellStyle name="Comma 2 2 2 14 6" xfId="6676"/>
    <cellStyle name="Comma 2 2 2 14 6 2" xfId="6677"/>
    <cellStyle name="Comma 2 2 2 14 7" xfId="6678"/>
    <cellStyle name="Comma 2 2 2 14 7 2" xfId="6679"/>
    <cellStyle name="Comma 2 2 2 14 8" xfId="6680"/>
    <cellStyle name="Comma 2 2 2 14 8 2" xfId="6681"/>
    <cellStyle name="Comma 2 2 2 14 9" xfId="6682"/>
    <cellStyle name="Comma 2 2 2 14 9 2" xfId="6683"/>
    <cellStyle name="Comma 2 2 2 15" xfId="6684"/>
    <cellStyle name="Comma 2 2 2 15 10" xfId="6685"/>
    <cellStyle name="Comma 2 2 2 15 10 2" xfId="6686"/>
    <cellStyle name="Comma 2 2 2 15 11" xfId="6687"/>
    <cellStyle name="Comma 2 2 2 15 11 2" xfId="6688"/>
    <cellStyle name="Comma 2 2 2 15 12" xfId="6689"/>
    <cellStyle name="Comma 2 2 2 15 2" xfId="6690"/>
    <cellStyle name="Comma 2 2 2 15 2 2" xfId="6691"/>
    <cellStyle name="Comma 2 2 2 15 3" xfId="6692"/>
    <cellStyle name="Comma 2 2 2 15 3 2" xfId="6693"/>
    <cellStyle name="Comma 2 2 2 15 4" xfId="6694"/>
    <cellStyle name="Comma 2 2 2 15 4 2" xfId="6695"/>
    <cellStyle name="Comma 2 2 2 15 5" xfId="6696"/>
    <cellStyle name="Comma 2 2 2 15 5 2" xfId="6697"/>
    <cellStyle name="Comma 2 2 2 15 6" xfId="6698"/>
    <cellStyle name="Comma 2 2 2 15 6 2" xfId="6699"/>
    <cellStyle name="Comma 2 2 2 15 7" xfId="6700"/>
    <cellStyle name="Comma 2 2 2 15 7 2" xfId="6701"/>
    <cellStyle name="Comma 2 2 2 15 8" xfId="6702"/>
    <cellStyle name="Comma 2 2 2 15 8 2" xfId="6703"/>
    <cellStyle name="Comma 2 2 2 15 9" xfId="6704"/>
    <cellStyle name="Comma 2 2 2 15 9 2" xfId="6705"/>
    <cellStyle name="Comma 2 2 2 16" xfId="6706"/>
    <cellStyle name="Comma 2 2 2 16 10" xfId="6707"/>
    <cellStyle name="Comma 2 2 2 16 10 2" xfId="6708"/>
    <cellStyle name="Comma 2 2 2 16 11" xfId="6709"/>
    <cellStyle name="Comma 2 2 2 16 11 2" xfId="6710"/>
    <cellStyle name="Comma 2 2 2 16 12" xfId="6711"/>
    <cellStyle name="Comma 2 2 2 16 2" xfId="6712"/>
    <cellStyle name="Comma 2 2 2 16 2 2" xfId="6713"/>
    <cellStyle name="Comma 2 2 2 16 3" xfId="6714"/>
    <cellStyle name="Comma 2 2 2 16 3 2" xfId="6715"/>
    <cellStyle name="Comma 2 2 2 16 4" xfId="6716"/>
    <cellStyle name="Comma 2 2 2 16 4 2" xfId="6717"/>
    <cellStyle name="Comma 2 2 2 16 5" xfId="6718"/>
    <cellStyle name="Comma 2 2 2 16 5 2" xfId="6719"/>
    <cellStyle name="Comma 2 2 2 16 6" xfId="6720"/>
    <cellStyle name="Comma 2 2 2 16 6 2" xfId="6721"/>
    <cellStyle name="Comma 2 2 2 16 7" xfId="6722"/>
    <cellStyle name="Comma 2 2 2 16 7 2" xfId="6723"/>
    <cellStyle name="Comma 2 2 2 16 8" xfId="6724"/>
    <cellStyle name="Comma 2 2 2 16 8 2" xfId="6725"/>
    <cellStyle name="Comma 2 2 2 16 9" xfId="6726"/>
    <cellStyle name="Comma 2 2 2 16 9 2" xfId="6727"/>
    <cellStyle name="Comma 2 2 2 17" xfId="6728"/>
    <cellStyle name="Comma 2 2 2 17 10" xfId="6729"/>
    <cellStyle name="Comma 2 2 2 17 10 2" xfId="6730"/>
    <cellStyle name="Comma 2 2 2 17 11" xfId="6731"/>
    <cellStyle name="Comma 2 2 2 17 11 2" xfId="6732"/>
    <cellStyle name="Comma 2 2 2 17 12" xfId="6733"/>
    <cellStyle name="Comma 2 2 2 17 2" xfId="6734"/>
    <cellStyle name="Comma 2 2 2 17 2 2" xfId="6735"/>
    <cellStyle name="Comma 2 2 2 17 3" xfId="6736"/>
    <cellStyle name="Comma 2 2 2 17 3 2" xfId="6737"/>
    <cellStyle name="Comma 2 2 2 17 4" xfId="6738"/>
    <cellStyle name="Comma 2 2 2 17 4 2" xfId="6739"/>
    <cellStyle name="Comma 2 2 2 17 5" xfId="6740"/>
    <cellStyle name="Comma 2 2 2 17 5 2" xfId="6741"/>
    <cellStyle name="Comma 2 2 2 17 6" xfId="6742"/>
    <cellStyle name="Comma 2 2 2 17 6 2" xfId="6743"/>
    <cellStyle name="Comma 2 2 2 17 7" xfId="6744"/>
    <cellStyle name="Comma 2 2 2 17 7 2" xfId="6745"/>
    <cellStyle name="Comma 2 2 2 17 8" xfId="6746"/>
    <cellStyle name="Comma 2 2 2 17 8 2" xfId="6747"/>
    <cellStyle name="Comma 2 2 2 17 9" xfId="6748"/>
    <cellStyle name="Comma 2 2 2 17 9 2" xfId="6749"/>
    <cellStyle name="Comma 2 2 2 18" xfId="6750"/>
    <cellStyle name="Comma 2 2 2 18 10" xfId="6751"/>
    <cellStyle name="Comma 2 2 2 18 10 2" xfId="6752"/>
    <cellStyle name="Comma 2 2 2 18 11" xfId="6753"/>
    <cellStyle name="Comma 2 2 2 18 11 2" xfId="6754"/>
    <cellStyle name="Comma 2 2 2 18 12" xfId="6755"/>
    <cellStyle name="Comma 2 2 2 18 2" xfId="6756"/>
    <cellStyle name="Comma 2 2 2 18 2 2" xfId="6757"/>
    <cellStyle name="Comma 2 2 2 18 3" xfId="6758"/>
    <cellStyle name="Comma 2 2 2 18 3 2" xfId="6759"/>
    <cellStyle name="Comma 2 2 2 18 4" xfId="6760"/>
    <cellStyle name="Comma 2 2 2 18 4 2" xfId="6761"/>
    <cellStyle name="Comma 2 2 2 18 5" xfId="6762"/>
    <cellStyle name="Comma 2 2 2 18 5 2" xfId="6763"/>
    <cellStyle name="Comma 2 2 2 18 6" xfId="6764"/>
    <cellStyle name="Comma 2 2 2 18 6 2" xfId="6765"/>
    <cellStyle name="Comma 2 2 2 18 7" xfId="6766"/>
    <cellStyle name="Comma 2 2 2 18 7 2" xfId="6767"/>
    <cellStyle name="Comma 2 2 2 18 8" xfId="6768"/>
    <cellStyle name="Comma 2 2 2 18 8 2" xfId="6769"/>
    <cellStyle name="Comma 2 2 2 18 9" xfId="6770"/>
    <cellStyle name="Comma 2 2 2 18 9 2" xfId="6771"/>
    <cellStyle name="Comma 2 2 2 19" xfId="6772"/>
    <cellStyle name="Comma 2 2 2 19 10" xfId="6773"/>
    <cellStyle name="Comma 2 2 2 19 10 2" xfId="6774"/>
    <cellStyle name="Comma 2 2 2 19 11" xfId="6775"/>
    <cellStyle name="Comma 2 2 2 19 11 2" xfId="6776"/>
    <cellStyle name="Comma 2 2 2 19 12" xfId="6777"/>
    <cellStyle name="Comma 2 2 2 19 2" xfId="6778"/>
    <cellStyle name="Comma 2 2 2 19 2 2" xfId="6779"/>
    <cellStyle name="Comma 2 2 2 19 3" xfId="6780"/>
    <cellStyle name="Comma 2 2 2 19 3 2" xfId="6781"/>
    <cellStyle name="Comma 2 2 2 19 4" xfId="6782"/>
    <cellStyle name="Comma 2 2 2 19 4 2" xfId="6783"/>
    <cellStyle name="Comma 2 2 2 19 5" xfId="6784"/>
    <cellStyle name="Comma 2 2 2 19 5 2" xfId="6785"/>
    <cellStyle name="Comma 2 2 2 19 6" xfId="6786"/>
    <cellStyle name="Comma 2 2 2 19 6 2" xfId="6787"/>
    <cellStyle name="Comma 2 2 2 19 7" xfId="6788"/>
    <cellStyle name="Comma 2 2 2 19 7 2" xfId="6789"/>
    <cellStyle name="Comma 2 2 2 19 8" xfId="6790"/>
    <cellStyle name="Comma 2 2 2 19 8 2" xfId="6791"/>
    <cellStyle name="Comma 2 2 2 19 9" xfId="6792"/>
    <cellStyle name="Comma 2 2 2 19 9 2" xfId="6793"/>
    <cellStyle name="Comma 2 2 2 2" xfId="6794"/>
    <cellStyle name="Comma 2 2 2 2 10" xfId="6795"/>
    <cellStyle name="Comma 2 2 2 2 10 2" xfId="6796"/>
    <cellStyle name="Comma 2 2 2 2 11" xfId="6797"/>
    <cellStyle name="Comma 2 2 2 2 11 2" xfId="6798"/>
    <cellStyle name="Comma 2 2 2 2 12" xfId="6799"/>
    <cellStyle name="Comma 2 2 2 2 2" xfId="6800"/>
    <cellStyle name="Comma 2 2 2 2 2 2" xfId="6801"/>
    <cellStyle name="Comma 2 2 2 2 3" xfId="6802"/>
    <cellStyle name="Comma 2 2 2 2 3 2" xfId="6803"/>
    <cellStyle name="Comma 2 2 2 2 4" xfId="6804"/>
    <cellStyle name="Comma 2 2 2 2 4 2" xfId="6805"/>
    <cellStyle name="Comma 2 2 2 2 5" xfId="6806"/>
    <cellStyle name="Comma 2 2 2 2 5 2" xfId="6807"/>
    <cellStyle name="Comma 2 2 2 2 6" xfId="6808"/>
    <cellStyle name="Comma 2 2 2 2 6 2" xfId="6809"/>
    <cellStyle name="Comma 2 2 2 2 7" xfId="6810"/>
    <cellStyle name="Comma 2 2 2 2 7 2" xfId="6811"/>
    <cellStyle name="Comma 2 2 2 2 8" xfId="6812"/>
    <cellStyle name="Comma 2 2 2 2 8 2" xfId="6813"/>
    <cellStyle name="Comma 2 2 2 2 9" xfId="6814"/>
    <cellStyle name="Comma 2 2 2 2 9 2" xfId="6815"/>
    <cellStyle name="Comma 2 2 2 20" xfId="6816"/>
    <cellStyle name="Comma 2 2 2 20 10" xfId="6817"/>
    <cellStyle name="Comma 2 2 2 20 10 2" xfId="6818"/>
    <cellStyle name="Comma 2 2 2 20 11" xfId="6819"/>
    <cellStyle name="Comma 2 2 2 20 11 2" xfId="6820"/>
    <cellStyle name="Comma 2 2 2 20 12" xfId="6821"/>
    <cellStyle name="Comma 2 2 2 20 2" xfId="6822"/>
    <cellStyle name="Comma 2 2 2 20 2 2" xfId="6823"/>
    <cellStyle name="Comma 2 2 2 20 3" xfId="6824"/>
    <cellStyle name="Comma 2 2 2 20 3 2" xfId="6825"/>
    <cellStyle name="Comma 2 2 2 20 4" xfId="6826"/>
    <cellStyle name="Comma 2 2 2 20 4 2" xfId="6827"/>
    <cellStyle name="Comma 2 2 2 20 5" xfId="6828"/>
    <cellStyle name="Comma 2 2 2 20 5 2" xfId="6829"/>
    <cellStyle name="Comma 2 2 2 20 6" xfId="6830"/>
    <cellStyle name="Comma 2 2 2 20 6 2" xfId="6831"/>
    <cellStyle name="Comma 2 2 2 20 7" xfId="6832"/>
    <cellStyle name="Comma 2 2 2 20 7 2" xfId="6833"/>
    <cellStyle name="Comma 2 2 2 20 8" xfId="6834"/>
    <cellStyle name="Comma 2 2 2 20 8 2" xfId="6835"/>
    <cellStyle name="Comma 2 2 2 20 9" xfId="6836"/>
    <cellStyle name="Comma 2 2 2 20 9 2" xfId="6837"/>
    <cellStyle name="Comma 2 2 2 21" xfId="6838"/>
    <cellStyle name="Comma 2 2 2 21 10" xfId="6839"/>
    <cellStyle name="Comma 2 2 2 21 10 2" xfId="6840"/>
    <cellStyle name="Comma 2 2 2 21 11" xfId="6841"/>
    <cellStyle name="Comma 2 2 2 21 11 2" xfId="6842"/>
    <cellStyle name="Comma 2 2 2 21 12" xfId="6843"/>
    <cellStyle name="Comma 2 2 2 21 2" xfId="6844"/>
    <cellStyle name="Comma 2 2 2 21 2 2" xfId="6845"/>
    <cellStyle name="Comma 2 2 2 21 3" xfId="6846"/>
    <cellStyle name="Comma 2 2 2 21 3 2" xfId="6847"/>
    <cellStyle name="Comma 2 2 2 21 4" xfId="6848"/>
    <cellStyle name="Comma 2 2 2 21 4 2" xfId="6849"/>
    <cellStyle name="Comma 2 2 2 21 5" xfId="6850"/>
    <cellStyle name="Comma 2 2 2 21 5 2" xfId="6851"/>
    <cellStyle name="Comma 2 2 2 21 6" xfId="6852"/>
    <cellStyle name="Comma 2 2 2 21 6 2" xfId="6853"/>
    <cellStyle name="Comma 2 2 2 21 7" xfId="6854"/>
    <cellStyle name="Comma 2 2 2 21 7 2" xfId="6855"/>
    <cellStyle name="Comma 2 2 2 21 8" xfId="6856"/>
    <cellStyle name="Comma 2 2 2 21 8 2" xfId="6857"/>
    <cellStyle name="Comma 2 2 2 21 9" xfId="6858"/>
    <cellStyle name="Comma 2 2 2 21 9 2" xfId="6859"/>
    <cellStyle name="Comma 2 2 2 22" xfId="6860"/>
    <cellStyle name="Comma 2 2 2 22 10" xfId="6861"/>
    <cellStyle name="Comma 2 2 2 22 10 2" xfId="6862"/>
    <cellStyle name="Comma 2 2 2 22 11" xfId="6863"/>
    <cellStyle name="Comma 2 2 2 22 11 2" xfId="6864"/>
    <cellStyle name="Comma 2 2 2 22 12" xfId="6865"/>
    <cellStyle name="Comma 2 2 2 22 2" xfId="6866"/>
    <cellStyle name="Comma 2 2 2 22 2 2" xfId="6867"/>
    <cellStyle name="Comma 2 2 2 22 3" xfId="6868"/>
    <cellStyle name="Comma 2 2 2 22 3 2" xfId="6869"/>
    <cellStyle name="Comma 2 2 2 22 4" xfId="6870"/>
    <cellStyle name="Comma 2 2 2 22 4 2" xfId="6871"/>
    <cellStyle name="Comma 2 2 2 22 5" xfId="6872"/>
    <cellStyle name="Comma 2 2 2 22 5 2" xfId="6873"/>
    <cellStyle name="Comma 2 2 2 22 6" xfId="6874"/>
    <cellStyle name="Comma 2 2 2 22 6 2" xfId="6875"/>
    <cellStyle name="Comma 2 2 2 22 7" xfId="6876"/>
    <cellStyle name="Comma 2 2 2 22 7 2" xfId="6877"/>
    <cellStyle name="Comma 2 2 2 22 8" xfId="6878"/>
    <cellStyle name="Comma 2 2 2 22 8 2" xfId="6879"/>
    <cellStyle name="Comma 2 2 2 22 9" xfId="6880"/>
    <cellStyle name="Comma 2 2 2 22 9 2" xfId="6881"/>
    <cellStyle name="Comma 2 2 2 23" xfId="6882"/>
    <cellStyle name="Comma 2 2 2 23 10" xfId="6883"/>
    <cellStyle name="Comma 2 2 2 23 10 2" xfId="6884"/>
    <cellStyle name="Comma 2 2 2 23 11" xfId="6885"/>
    <cellStyle name="Comma 2 2 2 23 11 2" xfId="6886"/>
    <cellStyle name="Comma 2 2 2 23 12" xfId="6887"/>
    <cellStyle name="Comma 2 2 2 23 2" xfId="6888"/>
    <cellStyle name="Comma 2 2 2 23 2 2" xfId="6889"/>
    <cellStyle name="Comma 2 2 2 23 3" xfId="6890"/>
    <cellStyle name="Comma 2 2 2 23 3 2" xfId="6891"/>
    <cellStyle name="Comma 2 2 2 23 4" xfId="6892"/>
    <cellStyle name="Comma 2 2 2 23 4 2" xfId="6893"/>
    <cellStyle name="Comma 2 2 2 23 5" xfId="6894"/>
    <cellStyle name="Comma 2 2 2 23 5 2" xfId="6895"/>
    <cellStyle name="Comma 2 2 2 23 6" xfId="6896"/>
    <cellStyle name="Comma 2 2 2 23 6 2" xfId="6897"/>
    <cellStyle name="Comma 2 2 2 23 7" xfId="6898"/>
    <cellStyle name="Comma 2 2 2 23 7 2" xfId="6899"/>
    <cellStyle name="Comma 2 2 2 23 8" xfId="6900"/>
    <cellStyle name="Comma 2 2 2 23 8 2" xfId="6901"/>
    <cellStyle name="Comma 2 2 2 23 9" xfId="6902"/>
    <cellStyle name="Comma 2 2 2 23 9 2" xfId="6903"/>
    <cellStyle name="Comma 2 2 2 24" xfId="6904"/>
    <cellStyle name="Comma 2 2 2 24 10" xfId="6905"/>
    <cellStyle name="Comma 2 2 2 24 10 2" xfId="6906"/>
    <cellStyle name="Comma 2 2 2 24 11" xfId="6907"/>
    <cellStyle name="Comma 2 2 2 24 11 2" xfId="6908"/>
    <cellStyle name="Comma 2 2 2 24 12" xfId="6909"/>
    <cellStyle name="Comma 2 2 2 24 2" xfId="6910"/>
    <cellStyle name="Comma 2 2 2 24 2 2" xfId="6911"/>
    <cellStyle name="Comma 2 2 2 24 3" xfId="6912"/>
    <cellStyle name="Comma 2 2 2 24 3 2" xfId="6913"/>
    <cellStyle name="Comma 2 2 2 24 4" xfId="6914"/>
    <cellStyle name="Comma 2 2 2 24 4 2" xfId="6915"/>
    <cellStyle name="Comma 2 2 2 24 5" xfId="6916"/>
    <cellStyle name="Comma 2 2 2 24 5 2" xfId="6917"/>
    <cellStyle name="Comma 2 2 2 24 6" xfId="6918"/>
    <cellStyle name="Comma 2 2 2 24 6 2" xfId="6919"/>
    <cellStyle name="Comma 2 2 2 24 7" xfId="6920"/>
    <cellStyle name="Comma 2 2 2 24 7 2" xfId="6921"/>
    <cellStyle name="Comma 2 2 2 24 8" xfId="6922"/>
    <cellStyle name="Comma 2 2 2 24 8 2" xfId="6923"/>
    <cellStyle name="Comma 2 2 2 24 9" xfId="6924"/>
    <cellStyle name="Comma 2 2 2 24 9 2" xfId="6925"/>
    <cellStyle name="Comma 2 2 2 25" xfId="6926"/>
    <cellStyle name="Comma 2 2 2 25 10" xfId="6927"/>
    <cellStyle name="Comma 2 2 2 25 10 2" xfId="6928"/>
    <cellStyle name="Comma 2 2 2 25 11" xfId="6929"/>
    <cellStyle name="Comma 2 2 2 25 11 2" xfId="6930"/>
    <cellStyle name="Comma 2 2 2 25 12" xfId="6931"/>
    <cellStyle name="Comma 2 2 2 25 2" xfId="6932"/>
    <cellStyle name="Comma 2 2 2 25 2 2" xfId="6933"/>
    <cellStyle name="Comma 2 2 2 25 3" xfId="6934"/>
    <cellStyle name="Comma 2 2 2 25 3 2" xfId="6935"/>
    <cellStyle name="Comma 2 2 2 25 4" xfId="6936"/>
    <cellStyle name="Comma 2 2 2 25 4 2" xfId="6937"/>
    <cellStyle name="Comma 2 2 2 25 5" xfId="6938"/>
    <cellStyle name="Comma 2 2 2 25 5 2" xfId="6939"/>
    <cellStyle name="Comma 2 2 2 25 6" xfId="6940"/>
    <cellStyle name="Comma 2 2 2 25 6 2" xfId="6941"/>
    <cellStyle name="Comma 2 2 2 25 7" xfId="6942"/>
    <cellStyle name="Comma 2 2 2 25 7 2" xfId="6943"/>
    <cellStyle name="Comma 2 2 2 25 8" xfId="6944"/>
    <cellStyle name="Comma 2 2 2 25 8 2" xfId="6945"/>
    <cellStyle name="Comma 2 2 2 25 9" xfId="6946"/>
    <cellStyle name="Comma 2 2 2 25 9 2" xfId="6947"/>
    <cellStyle name="Comma 2 2 2 26" xfId="6948"/>
    <cellStyle name="Comma 2 2 2 26 10" xfId="6949"/>
    <cellStyle name="Comma 2 2 2 26 10 2" xfId="6950"/>
    <cellStyle name="Comma 2 2 2 26 11" xfId="6951"/>
    <cellStyle name="Comma 2 2 2 26 11 2" xfId="6952"/>
    <cellStyle name="Comma 2 2 2 26 12" xfId="6953"/>
    <cellStyle name="Comma 2 2 2 26 2" xfId="6954"/>
    <cellStyle name="Comma 2 2 2 26 2 2" xfId="6955"/>
    <cellStyle name="Comma 2 2 2 26 3" xfId="6956"/>
    <cellStyle name="Comma 2 2 2 26 3 2" xfId="6957"/>
    <cellStyle name="Comma 2 2 2 26 4" xfId="6958"/>
    <cellStyle name="Comma 2 2 2 26 4 2" xfId="6959"/>
    <cellStyle name="Comma 2 2 2 26 5" xfId="6960"/>
    <cellStyle name="Comma 2 2 2 26 5 2" xfId="6961"/>
    <cellStyle name="Comma 2 2 2 26 6" xfId="6962"/>
    <cellStyle name="Comma 2 2 2 26 6 2" xfId="6963"/>
    <cellStyle name="Comma 2 2 2 26 7" xfId="6964"/>
    <cellStyle name="Comma 2 2 2 26 7 2" xfId="6965"/>
    <cellStyle name="Comma 2 2 2 26 8" xfId="6966"/>
    <cellStyle name="Comma 2 2 2 26 8 2" xfId="6967"/>
    <cellStyle name="Comma 2 2 2 26 9" xfId="6968"/>
    <cellStyle name="Comma 2 2 2 26 9 2" xfId="6969"/>
    <cellStyle name="Comma 2 2 2 27" xfId="6970"/>
    <cellStyle name="Comma 2 2 2 27 10" xfId="6971"/>
    <cellStyle name="Comma 2 2 2 27 10 2" xfId="6972"/>
    <cellStyle name="Comma 2 2 2 27 11" xfId="6973"/>
    <cellStyle name="Comma 2 2 2 27 11 2" xfId="6974"/>
    <cellStyle name="Comma 2 2 2 27 12" xfId="6975"/>
    <cellStyle name="Comma 2 2 2 27 2" xfId="6976"/>
    <cellStyle name="Comma 2 2 2 27 2 2" xfId="6977"/>
    <cellStyle name="Comma 2 2 2 27 3" xfId="6978"/>
    <cellStyle name="Comma 2 2 2 27 3 2" xfId="6979"/>
    <cellStyle name="Comma 2 2 2 27 4" xfId="6980"/>
    <cellStyle name="Comma 2 2 2 27 4 2" xfId="6981"/>
    <cellStyle name="Comma 2 2 2 27 5" xfId="6982"/>
    <cellStyle name="Comma 2 2 2 27 5 2" xfId="6983"/>
    <cellStyle name="Comma 2 2 2 27 6" xfId="6984"/>
    <cellStyle name="Comma 2 2 2 27 6 2" xfId="6985"/>
    <cellStyle name="Comma 2 2 2 27 7" xfId="6986"/>
    <cellStyle name="Comma 2 2 2 27 7 2" xfId="6987"/>
    <cellStyle name="Comma 2 2 2 27 8" xfId="6988"/>
    <cellStyle name="Comma 2 2 2 27 8 2" xfId="6989"/>
    <cellStyle name="Comma 2 2 2 27 9" xfId="6990"/>
    <cellStyle name="Comma 2 2 2 27 9 2" xfId="6991"/>
    <cellStyle name="Comma 2 2 2 28" xfId="6992"/>
    <cellStyle name="Comma 2 2 2 28 10" xfId="6993"/>
    <cellStyle name="Comma 2 2 2 28 10 2" xfId="6994"/>
    <cellStyle name="Comma 2 2 2 28 11" xfId="6995"/>
    <cellStyle name="Comma 2 2 2 28 11 2" xfId="6996"/>
    <cellStyle name="Comma 2 2 2 28 12" xfId="6997"/>
    <cellStyle name="Comma 2 2 2 28 2" xfId="6998"/>
    <cellStyle name="Comma 2 2 2 28 2 2" xfId="6999"/>
    <cellStyle name="Comma 2 2 2 28 3" xfId="7000"/>
    <cellStyle name="Comma 2 2 2 28 3 2" xfId="7001"/>
    <cellStyle name="Comma 2 2 2 28 4" xfId="7002"/>
    <cellStyle name="Comma 2 2 2 28 4 2" xfId="7003"/>
    <cellStyle name="Comma 2 2 2 28 5" xfId="7004"/>
    <cellStyle name="Comma 2 2 2 28 5 2" xfId="7005"/>
    <cellStyle name="Comma 2 2 2 28 6" xfId="7006"/>
    <cellStyle name="Comma 2 2 2 28 6 2" xfId="7007"/>
    <cellStyle name="Comma 2 2 2 28 7" xfId="7008"/>
    <cellStyle name="Comma 2 2 2 28 7 2" xfId="7009"/>
    <cellStyle name="Comma 2 2 2 28 8" xfId="7010"/>
    <cellStyle name="Comma 2 2 2 28 8 2" xfId="7011"/>
    <cellStyle name="Comma 2 2 2 28 9" xfId="7012"/>
    <cellStyle name="Comma 2 2 2 28 9 2" xfId="7013"/>
    <cellStyle name="Comma 2 2 2 29" xfId="7014"/>
    <cellStyle name="Comma 2 2 2 29 10" xfId="7015"/>
    <cellStyle name="Comma 2 2 2 29 10 2" xfId="7016"/>
    <cellStyle name="Comma 2 2 2 29 11" xfId="7017"/>
    <cellStyle name="Comma 2 2 2 29 11 2" xfId="7018"/>
    <cellStyle name="Comma 2 2 2 29 12" xfId="7019"/>
    <cellStyle name="Comma 2 2 2 29 2" xfId="7020"/>
    <cellStyle name="Comma 2 2 2 29 2 2" xfId="7021"/>
    <cellStyle name="Comma 2 2 2 29 3" xfId="7022"/>
    <cellStyle name="Comma 2 2 2 29 3 2" xfId="7023"/>
    <cellStyle name="Comma 2 2 2 29 4" xfId="7024"/>
    <cellStyle name="Comma 2 2 2 29 4 2" xfId="7025"/>
    <cellStyle name="Comma 2 2 2 29 5" xfId="7026"/>
    <cellStyle name="Comma 2 2 2 29 5 2" xfId="7027"/>
    <cellStyle name="Comma 2 2 2 29 6" xfId="7028"/>
    <cellStyle name="Comma 2 2 2 29 6 2" xfId="7029"/>
    <cellStyle name="Comma 2 2 2 29 7" xfId="7030"/>
    <cellStyle name="Comma 2 2 2 29 7 2" xfId="7031"/>
    <cellStyle name="Comma 2 2 2 29 8" xfId="7032"/>
    <cellStyle name="Comma 2 2 2 29 8 2" xfId="7033"/>
    <cellStyle name="Comma 2 2 2 29 9" xfId="7034"/>
    <cellStyle name="Comma 2 2 2 29 9 2" xfId="7035"/>
    <cellStyle name="Comma 2 2 2 3" xfId="7036"/>
    <cellStyle name="Comma 2 2 2 3 10" xfId="7037"/>
    <cellStyle name="Comma 2 2 2 3 10 2" xfId="7038"/>
    <cellStyle name="Comma 2 2 2 3 11" xfId="7039"/>
    <cellStyle name="Comma 2 2 2 3 11 2" xfId="7040"/>
    <cellStyle name="Comma 2 2 2 3 12" xfId="7041"/>
    <cellStyle name="Comma 2 2 2 3 2" xfId="7042"/>
    <cellStyle name="Comma 2 2 2 3 2 2" xfId="7043"/>
    <cellStyle name="Comma 2 2 2 3 3" xfId="7044"/>
    <cellStyle name="Comma 2 2 2 3 3 2" xfId="7045"/>
    <cellStyle name="Comma 2 2 2 3 4" xfId="7046"/>
    <cellStyle name="Comma 2 2 2 3 4 2" xfId="7047"/>
    <cellStyle name="Comma 2 2 2 3 5" xfId="7048"/>
    <cellStyle name="Comma 2 2 2 3 5 2" xfId="7049"/>
    <cellStyle name="Comma 2 2 2 3 6" xfId="7050"/>
    <cellStyle name="Comma 2 2 2 3 6 2" xfId="7051"/>
    <cellStyle name="Comma 2 2 2 3 7" xfId="7052"/>
    <cellStyle name="Comma 2 2 2 3 7 2" xfId="7053"/>
    <cellStyle name="Comma 2 2 2 3 8" xfId="7054"/>
    <cellStyle name="Comma 2 2 2 3 8 2" xfId="7055"/>
    <cellStyle name="Comma 2 2 2 3 9" xfId="7056"/>
    <cellStyle name="Comma 2 2 2 3 9 2" xfId="7057"/>
    <cellStyle name="Comma 2 2 2 30" xfId="7058"/>
    <cellStyle name="Comma 2 2 2 30 10" xfId="7059"/>
    <cellStyle name="Comma 2 2 2 30 10 2" xfId="7060"/>
    <cellStyle name="Comma 2 2 2 30 11" xfId="7061"/>
    <cellStyle name="Comma 2 2 2 30 11 2" xfId="7062"/>
    <cellStyle name="Comma 2 2 2 30 12" xfId="7063"/>
    <cellStyle name="Comma 2 2 2 30 2" xfId="7064"/>
    <cellStyle name="Comma 2 2 2 30 2 2" xfId="7065"/>
    <cellStyle name="Comma 2 2 2 30 3" xfId="7066"/>
    <cellStyle name="Comma 2 2 2 30 3 2" xfId="7067"/>
    <cellStyle name="Comma 2 2 2 30 4" xfId="7068"/>
    <cellStyle name="Comma 2 2 2 30 4 2" xfId="7069"/>
    <cellStyle name="Comma 2 2 2 30 5" xfId="7070"/>
    <cellStyle name="Comma 2 2 2 30 5 2" xfId="7071"/>
    <cellStyle name="Comma 2 2 2 30 6" xfId="7072"/>
    <cellStyle name="Comma 2 2 2 30 6 2" xfId="7073"/>
    <cellStyle name="Comma 2 2 2 30 7" xfId="7074"/>
    <cellStyle name="Comma 2 2 2 30 7 2" xfId="7075"/>
    <cellStyle name="Comma 2 2 2 30 8" xfId="7076"/>
    <cellStyle name="Comma 2 2 2 30 8 2" xfId="7077"/>
    <cellStyle name="Comma 2 2 2 30 9" xfId="7078"/>
    <cellStyle name="Comma 2 2 2 30 9 2" xfId="7079"/>
    <cellStyle name="Comma 2 2 2 31" xfId="7080"/>
    <cellStyle name="Comma 2 2 2 31 10" xfId="7081"/>
    <cellStyle name="Comma 2 2 2 31 10 2" xfId="7082"/>
    <cellStyle name="Comma 2 2 2 31 11" xfId="7083"/>
    <cellStyle name="Comma 2 2 2 31 11 2" xfId="7084"/>
    <cellStyle name="Comma 2 2 2 31 12" xfId="7085"/>
    <cellStyle name="Comma 2 2 2 31 2" xfId="7086"/>
    <cellStyle name="Comma 2 2 2 31 2 2" xfId="7087"/>
    <cellStyle name="Comma 2 2 2 31 3" xfId="7088"/>
    <cellStyle name="Comma 2 2 2 31 3 2" xfId="7089"/>
    <cellStyle name="Comma 2 2 2 31 4" xfId="7090"/>
    <cellStyle name="Comma 2 2 2 31 4 2" xfId="7091"/>
    <cellStyle name="Comma 2 2 2 31 5" xfId="7092"/>
    <cellStyle name="Comma 2 2 2 31 5 2" xfId="7093"/>
    <cellStyle name="Comma 2 2 2 31 6" xfId="7094"/>
    <cellStyle name="Comma 2 2 2 31 6 2" xfId="7095"/>
    <cellStyle name="Comma 2 2 2 31 7" xfId="7096"/>
    <cellStyle name="Comma 2 2 2 31 7 2" xfId="7097"/>
    <cellStyle name="Comma 2 2 2 31 8" xfId="7098"/>
    <cellStyle name="Comma 2 2 2 31 8 2" xfId="7099"/>
    <cellStyle name="Comma 2 2 2 31 9" xfId="7100"/>
    <cellStyle name="Comma 2 2 2 31 9 2" xfId="7101"/>
    <cellStyle name="Comma 2 2 2 32" xfId="7102"/>
    <cellStyle name="Comma 2 2 2 32 10" xfId="7103"/>
    <cellStyle name="Comma 2 2 2 32 10 2" xfId="7104"/>
    <cellStyle name="Comma 2 2 2 32 11" xfId="7105"/>
    <cellStyle name="Comma 2 2 2 32 11 2" xfId="7106"/>
    <cellStyle name="Comma 2 2 2 32 12" xfId="7107"/>
    <cellStyle name="Comma 2 2 2 32 2" xfId="7108"/>
    <cellStyle name="Comma 2 2 2 32 2 2" xfId="7109"/>
    <cellStyle name="Comma 2 2 2 32 3" xfId="7110"/>
    <cellStyle name="Comma 2 2 2 32 3 2" xfId="7111"/>
    <cellStyle name="Comma 2 2 2 32 4" xfId="7112"/>
    <cellStyle name="Comma 2 2 2 32 4 2" xfId="7113"/>
    <cellStyle name="Comma 2 2 2 32 5" xfId="7114"/>
    <cellStyle name="Comma 2 2 2 32 5 2" xfId="7115"/>
    <cellStyle name="Comma 2 2 2 32 6" xfId="7116"/>
    <cellStyle name="Comma 2 2 2 32 6 2" xfId="7117"/>
    <cellStyle name="Comma 2 2 2 32 7" xfId="7118"/>
    <cellStyle name="Comma 2 2 2 32 7 2" xfId="7119"/>
    <cellStyle name="Comma 2 2 2 32 8" xfId="7120"/>
    <cellStyle name="Comma 2 2 2 32 8 2" xfId="7121"/>
    <cellStyle name="Comma 2 2 2 32 9" xfId="7122"/>
    <cellStyle name="Comma 2 2 2 32 9 2" xfId="7123"/>
    <cellStyle name="Comma 2 2 2 33" xfId="7124"/>
    <cellStyle name="Comma 2 2 2 33 10" xfId="7125"/>
    <cellStyle name="Comma 2 2 2 33 10 2" xfId="7126"/>
    <cellStyle name="Comma 2 2 2 33 11" xfId="7127"/>
    <cellStyle name="Comma 2 2 2 33 11 2" xfId="7128"/>
    <cellStyle name="Comma 2 2 2 33 12" xfId="7129"/>
    <cellStyle name="Comma 2 2 2 33 2" xfId="7130"/>
    <cellStyle name="Comma 2 2 2 33 2 2" xfId="7131"/>
    <cellStyle name="Comma 2 2 2 33 3" xfId="7132"/>
    <cellStyle name="Comma 2 2 2 33 3 2" xfId="7133"/>
    <cellStyle name="Comma 2 2 2 33 4" xfId="7134"/>
    <cellStyle name="Comma 2 2 2 33 4 2" xfId="7135"/>
    <cellStyle name="Comma 2 2 2 33 5" xfId="7136"/>
    <cellStyle name="Comma 2 2 2 33 5 2" xfId="7137"/>
    <cellStyle name="Comma 2 2 2 33 6" xfId="7138"/>
    <cellStyle name="Comma 2 2 2 33 6 2" xfId="7139"/>
    <cellStyle name="Comma 2 2 2 33 7" xfId="7140"/>
    <cellStyle name="Comma 2 2 2 33 7 2" xfId="7141"/>
    <cellStyle name="Comma 2 2 2 33 8" xfId="7142"/>
    <cellStyle name="Comma 2 2 2 33 8 2" xfId="7143"/>
    <cellStyle name="Comma 2 2 2 33 9" xfId="7144"/>
    <cellStyle name="Comma 2 2 2 33 9 2" xfId="7145"/>
    <cellStyle name="Comma 2 2 2 34" xfId="7146"/>
    <cellStyle name="Comma 2 2 2 34 10" xfId="7147"/>
    <cellStyle name="Comma 2 2 2 34 10 2" xfId="7148"/>
    <cellStyle name="Comma 2 2 2 34 11" xfId="7149"/>
    <cellStyle name="Comma 2 2 2 34 11 2" xfId="7150"/>
    <cellStyle name="Comma 2 2 2 34 12" xfId="7151"/>
    <cellStyle name="Comma 2 2 2 34 2" xfId="7152"/>
    <cellStyle name="Comma 2 2 2 34 2 2" xfId="7153"/>
    <cellStyle name="Comma 2 2 2 34 3" xfId="7154"/>
    <cellStyle name="Comma 2 2 2 34 3 2" xfId="7155"/>
    <cellStyle name="Comma 2 2 2 34 4" xfId="7156"/>
    <cellStyle name="Comma 2 2 2 34 4 2" xfId="7157"/>
    <cellStyle name="Comma 2 2 2 34 5" xfId="7158"/>
    <cellStyle name="Comma 2 2 2 34 5 2" xfId="7159"/>
    <cellStyle name="Comma 2 2 2 34 6" xfId="7160"/>
    <cellStyle name="Comma 2 2 2 34 6 2" xfId="7161"/>
    <cellStyle name="Comma 2 2 2 34 7" xfId="7162"/>
    <cellStyle name="Comma 2 2 2 34 7 2" xfId="7163"/>
    <cellStyle name="Comma 2 2 2 34 8" xfId="7164"/>
    <cellStyle name="Comma 2 2 2 34 8 2" xfId="7165"/>
    <cellStyle name="Comma 2 2 2 34 9" xfId="7166"/>
    <cellStyle name="Comma 2 2 2 34 9 2" xfId="7167"/>
    <cellStyle name="Comma 2 2 2 35" xfId="7168"/>
    <cellStyle name="Comma 2 2 2 35 10" xfId="7169"/>
    <cellStyle name="Comma 2 2 2 35 10 2" xfId="7170"/>
    <cellStyle name="Comma 2 2 2 35 11" xfId="7171"/>
    <cellStyle name="Comma 2 2 2 35 11 2" xfId="7172"/>
    <cellStyle name="Comma 2 2 2 35 12" xfId="7173"/>
    <cellStyle name="Comma 2 2 2 35 2" xfId="7174"/>
    <cellStyle name="Comma 2 2 2 35 2 2" xfId="7175"/>
    <cellStyle name="Comma 2 2 2 35 3" xfId="7176"/>
    <cellStyle name="Comma 2 2 2 35 3 2" xfId="7177"/>
    <cellStyle name="Comma 2 2 2 35 4" xfId="7178"/>
    <cellStyle name="Comma 2 2 2 35 4 2" xfId="7179"/>
    <cellStyle name="Comma 2 2 2 35 5" xfId="7180"/>
    <cellStyle name="Comma 2 2 2 35 5 2" xfId="7181"/>
    <cellStyle name="Comma 2 2 2 35 6" xfId="7182"/>
    <cellStyle name="Comma 2 2 2 35 6 2" xfId="7183"/>
    <cellStyle name="Comma 2 2 2 35 7" xfId="7184"/>
    <cellStyle name="Comma 2 2 2 35 7 2" xfId="7185"/>
    <cellStyle name="Comma 2 2 2 35 8" xfId="7186"/>
    <cellStyle name="Comma 2 2 2 35 8 2" xfId="7187"/>
    <cellStyle name="Comma 2 2 2 35 9" xfId="7188"/>
    <cellStyle name="Comma 2 2 2 35 9 2" xfId="7189"/>
    <cellStyle name="Comma 2 2 2 36" xfId="7190"/>
    <cellStyle name="Comma 2 2 2 36 10" xfId="7191"/>
    <cellStyle name="Comma 2 2 2 36 10 2" xfId="7192"/>
    <cellStyle name="Comma 2 2 2 36 11" xfId="7193"/>
    <cellStyle name="Comma 2 2 2 36 11 2" xfId="7194"/>
    <cellStyle name="Comma 2 2 2 36 12" xfId="7195"/>
    <cellStyle name="Comma 2 2 2 36 2" xfId="7196"/>
    <cellStyle name="Comma 2 2 2 36 2 2" xfId="7197"/>
    <cellStyle name="Comma 2 2 2 36 3" xfId="7198"/>
    <cellStyle name="Comma 2 2 2 36 3 2" xfId="7199"/>
    <cellStyle name="Comma 2 2 2 36 4" xfId="7200"/>
    <cellStyle name="Comma 2 2 2 36 4 2" xfId="7201"/>
    <cellStyle name="Comma 2 2 2 36 5" xfId="7202"/>
    <cellStyle name="Comma 2 2 2 36 5 2" xfId="7203"/>
    <cellStyle name="Comma 2 2 2 36 6" xfId="7204"/>
    <cellStyle name="Comma 2 2 2 36 6 2" xfId="7205"/>
    <cellStyle name="Comma 2 2 2 36 7" xfId="7206"/>
    <cellStyle name="Comma 2 2 2 36 7 2" xfId="7207"/>
    <cellStyle name="Comma 2 2 2 36 8" xfId="7208"/>
    <cellStyle name="Comma 2 2 2 36 8 2" xfId="7209"/>
    <cellStyle name="Comma 2 2 2 36 9" xfId="7210"/>
    <cellStyle name="Comma 2 2 2 36 9 2" xfId="7211"/>
    <cellStyle name="Comma 2 2 2 37" xfId="7212"/>
    <cellStyle name="Comma 2 2 2 37 10" xfId="7213"/>
    <cellStyle name="Comma 2 2 2 37 10 2" xfId="7214"/>
    <cellStyle name="Comma 2 2 2 37 11" xfId="7215"/>
    <cellStyle name="Comma 2 2 2 37 11 2" xfId="7216"/>
    <cellStyle name="Comma 2 2 2 37 12" xfId="7217"/>
    <cellStyle name="Comma 2 2 2 37 2" xfId="7218"/>
    <cellStyle name="Comma 2 2 2 37 2 2" xfId="7219"/>
    <cellStyle name="Comma 2 2 2 37 3" xfId="7220"/>
    <cellStyle name="Comma 2 2 2 37 3 2" xfId="7221"/>
    <cellStyle name="Comma 2 2 2 37 4" xfId="7222"/>
    <cellStyle name="Comma 2 2 2 37 4 2" xfId="7223"/>
    <cellStyle name="Comma 2 2 2 37 5" xfId="7224"/>
    <cellStyle name="Comma 2 2 2 37 5 2" xfId="7225"/>
    <cellStyle name="Comma 2 2 2 37 6" xfId="7226"/>
    <cellStyle name="Comma 2 2 2 37 6 2" xfId="7227"/>
    <cellStyle name="Comma 2 2 2 37 7" xfId="7228"/>
    <cellStyle name="Comma 2 2 2 37 7 2" xfId="7229"/>
    <cellStyle name="Comma 2 2 2 37 8" xfId="7230"/>
    <cellStyle name="Comma 2 2 2 37 8 2" xfId="7231"/>
    <cellStyle name="Comma 2 2 2 37 9" xfId="7232"/>
    <cellStyle name="Comma 2 2 2 37 9 2" xfId="7233"/>
    <cellStyle name="Comma 2 2 2 38" xfId="7234"/>
    <cellStyle name="Comma 2 2 2 38 10" xfId="7235"/>
    <cellStyle name="Comma 2 2 2 38 10 2" xfId="7236"/>
    <cellStyle name="Comma 2 2 2 38 11" xfId="7237"/>
    <cellStyle name="Comma 2 2 2 38 11 2" xfId="7238"/>
    <cellStyle name="Comma 2 2 2 38 12" xfId="7239"/>
    <cellStyle name="Comma 2 2 2 38 2" xfId="7240"/>
    <cellStyle name="Comma 2 2 2 38 2 2" xfId="7241"/>
    <cellStyle name="Comma 2 2 2 38 3" xfId="7242"/>
    <cellStyle name="Comma 2 2 2 38 3 2" xfId="7243"/>
    <cellStyle name="Comma 2 2 2 38 4" xfId="7244"/>
    <cellStyle name="Comma 2 2 2 38 4 2" xfId="7245"/>
    <cellStyle name="Comma 2 2 2 38 5" xfId="7246"/>
    <cellStyle name="Comma 2 2 2 38 5 2" xfId="7247"/>
    <cellStyle name="Comma 2 2 2 38 6" xfId="7248"/>
    <cellStyle name="Comma 2 2 2 38 6 2" xfId="7249"/>
    <cellStyle name="Comma 2 2 2 38 7" xfId="7250"/>
    <cellStyle name="Comma 2 2 2 38 7 2" xfId="7251"/>
    <cellStyle name="Comma 2 2 2 38 8" xfId="7252"/>
    <cellStyle name="Comma 2 2 2 38 8 2" xfId="7253"/>
    <cellStyle name="Comma 2 2 2 38 9" xfId="7254"/>
    <cellStyle name="Comma 2 2 2 38 9 2" xfId="7255"/>
    <cellStyle name="Comma 2 2 2 39" xfId="7256"/>
    <cellStyle name="Comma 2 2 2 39 10" xfId="7257"/>
    <cellStyle name="Comma 2 2 2 39 10 2" xfId="7258"/>
    <cellStyle name="Comma 2 2 2 39 11" xfId="7259"/>
    <cellStyle name="Comma 2 2 2 39 11 2" xfId="7260"/>
    <cellStyle name="Comma 2 2 2 39 12" xfId="7261"/>
    <cellStyle name="Comma 2 2 2 39 2" xfId="7262"/>
    <cellStyle name="Comma 2 2 2 39 2 2" xfId="7263"/>
    <cellStyle name="Comma 2 2 2 39 3" xfId="7264"/>
    <cellStyle name="Comma 2 2 2 39 3 2" xfId="7265"/>
    <cellStyle name="Comma 2 2 2 39 4" xfId="7266"/>
    <cellStyle name="Comma 2 2 2 39 4 2" xfId="7267"/>
    <cellStyle name="Comma 2 2 2 39 5" xfId="7268"/>
    <cellStyle name="Comma 2 2 2 39 5 2" xfId="7269"/>
    <cellStyle name="Comma 2 2 2 39 6" xfId="7270"/>
    <cellStyle name="Comma 2 2 2 39 6 2" xfId="7271"/>
    <cellStyle name="Comma 2 2 2 39 7" xfId="7272"/>
    <cellStyle name="Comma 2 2 2 39 7 2" xfId="7273"/>
    <cellStyle name="Comma 2 2 2 39 8" xfId="7274"/>
    <cellStyle name="Comma 2 2 2 39 8 2" xfId="7275"/>
    <cellStyle name="Comma 2 2 2 39 9" xfId="7276"/>
    <cellStyle name="Comma 2 2 2 39 9 2" xfId="7277"/>
    <cellStyle name="Comma 2 2 2 4" xfId="7278"/>
    <cellStyle name="Comma 2 2 2 4 10" xfId="7279"/>
    <cellStyle name="Comma 2 2 2 4 10 2" xfId="7280"/>
    <cellStyle name="Comma 2 2 2 4 11" xfId="7281"/>
    <cellStyle name="Comma 2 2 2 4 11 2" xfId="7282"/>
    <cellStyle name="Comma 2 2 2 4 12" xfId="7283"/>
    <cellStyle name="Comma 2 2 2 4 2" xfId="7284"/>
    <cellStyle name="Comma 2 2 2 4 2 2" xfId="7285"/>
    <cellStyle name="Comma 2 2 2 4 3" xfId="7286"/>
    <cellStyle name="Comma 2 2 2 4 3 2" xfId="7287"/>
    <cellStyle name="Comma 2 2 2 4 4" xfId="7288"/>
    <cellStyle name="Comma 2 2 2 4 4 2" xfId="7289"/>
    <cellStyle name="Comma 2 2 2 4 5" xfId="7290"/>
    <cellStyle name="Comma 2 2 2 4 5 2" xfId="7291"/>
    <cellStyle name="Comma 2 2 2 4 6" xfId="7292"/>
    <cellStyle name="Comma 2 2 2 4 6 2" xfId="7293"/>
    <cellStyle name="Comma 2 2 2 4 7" xfId="7294"/>
    <cellStyle name="Comma 2 2 2 4 7 2" xfId="7295"/>
    <cellStyle name="Comma 2 2 2 4 8" xfId="7296"/>
    <cellStyle name="Comma 2 2 2 4 8 2" xfId="7297"/>
    <cellStyle name="Comma 2 2 2 4 9" xfId="7298"/>
    <cellStyle name="Comma 2 2 2 4 9 2" xfId="7299"/>
    <cellStyle name="Comma 2 2 2 40" xfId="7300"/>
    <cellStyle name="Comma 2 2 2 40 2" xfId="7301"/>
    <cellStyle name="Comma 2 2 2 41" xfId="7302"/>
    <cellStyle name="Comma 2 2 2 41 2" xfId="7303"/>
    <cellStyle name="Comma 2 2 2 42" xfId="7304"/>
    <cellStyle name="Comma 2 2 2 42 2" xfId="7305"/>
    <cellStyle name="Comma 2 2 2 43" xfId="7306"/>
    <cellStyle name="Comma 2 2 2 43 2" xfId="7307"/>
    <cellStyle name="Comma 2 2 2 44" xfId="7308"/>
    <cellStyle name="Comma 2 2 2 44 2" xfId="7309"/>
    <cellStyle name="Comma 2 2 2 45" xfId="7310"/>
    <cellStyle name="Comma 2 2 2 45 2" xfId="7311"/>
    <cellStyle name="Comma 2 2 2 46" xfId="7312"/>
    <cellStyle name="Comma 2 2 2 46 2" xfId="7313"/>
    <cellStyle name="Comma 2 2 2 47" xfId="7314"/>
    <cellStyle name="Comma 2 2 2 47 2" xfId="7315"/>
    <cellStyle name="Comma 2 2 2 48" xfId="7316"/>
    <cellStyle name="Comma 2 2 2 48 2" xfId="7317"/>
    <cellStyle name="Comma 2 2 2 49" xfId="7318"/>
    <cellStyle name="Comma 2 2 2 49 2" xfId="7319"/>
    <cellStyle name="Comma 2 2 2 5" xfId="7320"/>
    <cellStyle name="Comma 2 2 2 5 10" xfId="7321"/>
    <cellStyle name="Comma 2 2 2 5 10 2" xfId="7322"/>
    <cellStyle name="Comma 2 2 2 5 11" xfId="7323"/>
    <cellStyle name="Comma 2 2 2 5 11 2" xfId="7324"/>
    <cellStyle name="Comma 2 2 2 5 12" xfId="7325"/>
    <cellStyle name="Comma 2 2 2 5 2" xfId="7326"/>
    <cellStyle name="Comma 2 2 2 5 2 2" xfId="7327"/>
    <cellStyle name="Comma 2 2 2 5 3" xfId="7328"/>
    <cellStyle name="Comma 2 2 2 5 3 2" xfId="7329"/>
    <cellStyle name="Comma 2 2 2 5 4" xfId="7330"/>
    <cellStyle name="Comma 2 2 2 5 4 2" xfId="7331"/>
    <cellStyle name="Comma 2 2 2 5 5" xfId="7332"/>
    <cellStyle name="Comma 2 2 2 5 5 2" xfId="7333"/>
    <cellStyle name="Comma 2 2 2 5 6" xfId="7334"/>
    <cellStyle name="Comma 2 2 2 5 6 2" xfId="7335"/>
    <cellStyle name="Comma 2 2 2 5 7" xfId="7336"/>
    <cellStyle name="Comma 2 2 2 5 7 2" xfId="7337"/>
    <cellStyle name="Comma 2 2 2 5 8" xfId="7338"/>
    <cellStyle name="Comma 2 2 2 5 8 2" xfId="7339"/>
    <cellStyle name="Comma 2 2 2 5 9" xfId="7340"/>
    <cellStyle name="Comma 2 2 2 5 9 2" xfId="7341"/>
    <cellStyle name="Comma 2 2 2 50" xfId="7342"/>
    <cellStyle name="Comma 2 2 2 50 2" xfId="7343"/>
    <cellStyle name="Comma 2 2 2 51" xfId="7344"/>
    <cellStyle name="Comma 2 2 2 51 2" xfId="7345"/>
    <cellStyle name="Comma 2 2 2 52" xfId="7346"/>
    <cellStyle name="Comma 2 2 2 6" xfId="7347"/>
    <cellStyle name="Comma 2 2 2 6 10" xfId="7348"/>
    <cellStyle name="Comma 2 2 2 6 10 2" xfId="7349"/>
    <cellStyle name="Comma 2 2 2 6 11" xfId="7350"/>
    <cellStyle name="Comma 2 2 2 6 11 2" xfId="7351"/>
    <cellStyle name="Comma 2 2 2 6 12" xfId="7352"/>
    <cellStyle name="Comma 2 2 2 6 2" xfId="7353"/>
    <cellStyle name="Comma 2 2 2 6 2 2" xfId="7354"/>
    <cellStyle name="Comma 2 2 2 6 3" xfId="7355"/>
    <cellStyle name="Comma 2 2 2 6 3 2" xfId="7356"/>
    <cellStyle name="Comma 2 2 2 6 4" xfId="7357"/>
    <cellStyle name="Comma 2 2 2 6 4 2" xfId="7358"/>
    <cellStyle name="Comma 2 2 2 6 5" xfId="7359"/>
    <cellStyle name="Comma 2 2 2 6 5 2" xfId="7360"/>
    <cellStyle name="Comma 2 2 2 6 6" xfId="7361"/>
    <cellStyle name="Comma 2 2 2 6 6 2" xfId="7362"/>
    <cellStyle name="Comma 2 2 2 6 7" xfId="7363"/>
    <cellStyle name="Comma 2 2 2 6 7 2" xfId="7364"/>
    <cellStyle name="Comma 2 2 2 6 8" xfId="7365"/>
    <cellStyle name="Comma 2 2 2 6 8 2" xfId="7366"/>
    <cellStyle name="Comma 2 2 2 6 9" xfId="7367"/>
    <cellStyle name="Comma 2 2 2 6 9 2" xfId="7368"/>
    <cellStyle name="Comma 2 2 2 7" xfId="7369"/>
    <cellStyle name="Comma 2 2 2 7 10" xfId="7370"/>
    <cellStyle name="Comma 2 2 2 7 10 2" xfId="7371"/>
    <cellStyle name="Comma 2 2 2 7 11" xfId="7372"/>
    <cellStyle name="Comma 2 2 2 7 11 2" xfId="7373"/>
    <cellStyle name="Comma 2 2 2 7 12" xfId="7374"/>
    <cellStyle name="Comma 2 2 2 7 2" xfId="7375"/>
    <cellStyle name="Comma 2 2 2 7 2 2" xfId="7376"/>
    <cellStyle name="Comma 2 2 2 7 3" xfId="7377"/>
    <cellStyle name="Comma 2 2 2 7 3 2" xfId="7378"/>
    <cellStyle name="Comma 2 2 2 7 4" xfId="7379"/>
    <cellStyle name="Comma 2 2 2 7 4 2" xfId="7380"/>
    <cellStyle name="Comma 2 2 2 7 5" xfId="7381"/>
    <cellStyle name="Comma 2 2 2 7 5 2" xfId="7382"/>
    <cellStyle name="Comma 2 2 2 7 6" xfId="7383"/>
    <cellStyle name="Comma 2 2 2 7 6 2" xfId="7384"/>
    <cellStyle name="Comma 2 2 2 7 7" xfId="7385"/>
    <cellStyle name="Comma 2 2 2 7 7 2" xfId="7386"/>
    <cellStyle name="Comma 2 2 2 7 8" xfId="7387"/>
    <cellStyle name="Comma 2 2 2 7 8 2" xfId="7388"/>
    <cellStyle name="Comma 2 2 2 7 9" xfId="7389"/>
    <cellStyle name="Comma 2 2 2 7 9 2" xfId="7390"/>
    <cellStyle name="Comma 2 2 2 8" xfId="7391"/>
    <cellStyle name="Comma 2 2 2 8 10" xfId="7392"/>
    <cellStyle name="Comma 2 2 2 8 10 2" xfId="7393"/>
    <cellStyle name="Comma 2 2 2 8 11" xfId="7394"/>
    <cellStyle name="Comma 2 2 2 8 11 2" xfId="7395"/>
    <cellStyle name="Comma 2 2 2 8 12" xfId="7396"/>
    <cellStyle name="Comma 2 2 2 8 2" xfId="7397"/>
    <cellStyle name="Comma 2 2 2 8 2 2" xfId="7398"/>
    <cellStyle name="Comma 2 2 2 8 3" xfId="7399"/>
    <cellStyle name="Comma 2 2 2 8 3 2" xfId="7400"/>
    <cellStyle name="Comma 2 2 2 8 4" xfId="7401"/>
    <cellStyle name="Comma 2 2 2 8 4 2" xfId="7402"/>
    <cellStyle name="Comma 2 2 2 8 5" xfId="7403"/>
    <cellStyle name="Comma 2 2 2 8 5 2" xfId="7404"/>
    <cellStyle name="Comma 2 2 2 8 6" xfId="7405"/>
    <cellStyle name="Comma 2 2 2 8 6 2" xfId="7406"/>
    <cellStyle name="Comma 2 2 2 8 7" xfId="7407"/>
    <cellStyle name="Comma 2 2 2 8 7 2" xfId="7408"/>
    <cellStyle name="Comma 2 2 2 8 8" xfId="7409"/>
    <cellStyle name="Comma 2 2 2 8 8 2" xfId="7410"/>
    <cellStyle name="Comma 2 2 2 8 9" xfId="7411"/>
    <cellStyle name="Comma 2 2 2 8 9 2" xfId="7412"/>
    <cellStyle name="Comma 2 2 2 9" xfId="7413"/>
    <cellStyle name="Comma 2 2 2 9 10" xfId="7414"/>
    <cellStyle name="Comma 2 2 2 9 10 2" xfId="7415"/>
    <cellStyle name="Comma 2 2 2 9 11" xfId="7416"/>
    <cellStyle name="Comma 2 2 2 9 11 2" xfId="7417"/>
    <cellStyle name="Comma 2 2 2 9 12" xfId="7418"/>
    <cellStyle name="Comma 2 2 2 9 2" xfId="7419"/>
    <cellStyle name="Comma 2 2 2 9 2 2" xfId="7420"/>
    <cellStyle name="Comma 2 2 2 9 3" xfId="7421"/>
    <cellStyle name="Comma 2 2 2 9 3 2" xfId="7422"/>
    <cellStyle name="Comma 2 2 2 9 4" xfId="7423"/>
    <cellStyle name="Comma 2 2 2 9 4 2" xfId="7424"/>
    <cellStyle name="Comma 2 2 2 9 5" xfId="7425"/>
    <cellStyle name="Comma 2 2 2 9 5 2" xfId="7426"/>
    <cellStyle name="Comma 2 2 2 9 6" xfId="7427"/>
    <cellStyle name="Comma 2 2 2 9 6 2" xfId="7428"/>
    <cellStyle name="Comma 2 2 2 9 7" xfId="7429"/>
    <cellStyle name="Comma 2 2 2 9 7 2" xfId="7430"/>
    <cellStyle name="Comma 2 2 2 9 8" xfId="7431"/>
    <cellStyle name="Comma 2 2 2 9 8 2" xfId="7432"/>
    <cellStyle name="Comma 2 2 2 9 9" xfId="7433"/>
    <cellStyle name="Comma 2 2 2 9 9 2" xfId="7434"/>
    <cellStyle name="Comma 2 2 20" xfId="7435"/>
    <cellStyle name="Comma 2 2 20 10" xfId="7436"/>
    <cellStyle name="Comma 2 2 20 10 2" xfId="7437"/>
    <cellStyle name="Comma 2 2 20 11" xfId="7438"/>
    <cellStyle name="Comma 2 2 20 11 2" xfId="7439"/>
    <cellStyle name="Comma 2 2 20 12" xfId="7440"/>
    <cellStyle name="Comma 2 2 20 2" xfId="7441"/>
    <cellStyle name="Comma 2 2 20 2 2" xfId="7442"/>
    <cellStyle name="Comma 2 2 20 3" xfId="7443"/>
    <cellStyle name="Comma 2 2 20 3 2" xfId="7444"/>
    <cellStyle name="Comma 2 2 20 4" xfId="7445"/>
    <cellStyle name="Comma 2 2 20 4 2" xfId="7446"/>
    <cellStyle name="Comma 2 2 20 5" xfId="7447"/>
    <cellStyle name="Comma 2 2 20 5 2" xfId="7448"/>
    <cellStyle name="Comma 2 2 20 6" xfId="7449"/>
    <cellStyle name="Comma 2 2 20 6 2" xfId="7450"/>
    <cellStyle name="Comma 2 2 20 7" xfId="7451"/>
    <cellStyle name="Comma 2 2 20 7 2" xfId="7452"/>
    <cellStyle name="Comma 2 2 20 8" xfId="7453"/>
    <cellStyle name="Comma 2 2 20 8 2" xfId="7454"/>
    <cellStyle name="Comma 2 2 20 9" xfId="7455"/>
    <cellStyle name="Comma 2 2 20 9 2" xfId="7456"/>
    <cellStyle name="Comma 2 2 21" xfId="7457"/>
    <cellStyle name="Comma 2 2 21 10" xfId="7458"/>
    <cellStyle name="Comma 2 2 21 10 2" xfId="7459"/>
    <cellStyle name="Comma 2 2 21 11" xfId="7460"/>
    <cellStyle name="Comma 2 2 21 11 2" xfId="7461"/>
    <cellStyle name="Comma 2 2 21 12" xfId="7462"/>
    <cellStyle name="Comma 2 2 21 2" xfId="7463"/>
    <cellStyle name="Comma 2 2 21 2 2" xfId="7464"/>
    <cellStyle name="Comma 2 2 21 3" xfId="7465"/>
    <cellStyle name="Comma 2 2 21 3 2" xfId="7466"/>
    <cellStyle name="Comma 2 2 21 4" xfId="7467"/>
    <cellStyle name="Comma 2 2 21 4 2" xfId="7468"/>
    <cellStyle name="Comma 2 2 21 5" xfId="7469"/>
    <cellStyle name="Comma 2 2 21 5 2" xfId="7470"/>
    <cellStyle name="Comma 2 2 21 6" xfId="7471"/>
    <cellStyle name="Comma 2 2 21 6 2" xfId="7472"/>
    <cellStyle name="Comma 2 2 21 7" xfId="7473"/>
    <cellStyle name="Comma 2 2 21 7 2" xfId="7474"/>
    <cellStyle name="Comma 2 2 21 8" xfId="7475"/>
    <cellStyle name="Comma 2 2 21 8 2" xfId="7476"/>
    <cellStyle name="Comma 2 2 21 9" xfId="7477"/>
    <cellStyle name="Comma 2 2 21 9 2" xfId="7478"/>
    <cellStyle name="Comma 2 2 22" xfId="7479"/>
    <cellStyle name="Comma 2 2 22 10" xfId="7480"/>
    <cellStyle name="Comma 2 2 22 10 2" xfId="7481"/>
    <cellStyle name="Comma 2 2 22 11" xfId="7482"/>
    <cellStyle name="Comma 2 2 22 11 2" xfId="7483"/>
    <cellStyle name="Comma 2 2 22 12" xfId="7484"/>
    <cellStyle name="Comma 2 2 22 2" xfId="7485"/>
    <cellStyle name="Comma 2 2 22 2 2" xfId="7486"/>
    <cellStyle name="Comma 2 2 22 3" xfId="7487"/>
    <cellStyle name="Comma 2 2 22 3 2" xfId="7488"/>
    <cellStyle name="Comma 2 2 22 4" xfId="7489"/>
    <cellStyle name="Comma 2 2 22 4 2" xfId="7490"/>
    <cellStyle name="Comma 2 2 22 5" xfId="7491"/>
    <cellStyle name="Comma 2 2 22 5 2" xfId="7492"/>
    <cellStyle name="Comma 2 2 22 6" xfId="7493"/>
    <cellStyle name="Comma 2 2 22 6 2" xfId="7494"/>
    <cellStyle name="Comma 2 2 22 7" xfId="7495"/>
    <cellStyle name="Comma 2 2 22 7 2" xfId="7496"/>
    <cellStyle name="Comma 2 2 22 8" xfId="7497"/>
    <cellStyle name="Comma 2 2 22 8 2" xfId="7498"/>
    <cellStyle name="Comma 2 2 22 9" xfId="7499"/>
    <cellStyle name="Comma 2 2 22 9 2" xfId="7500"/>
    <cellStyle name="Comma 2 2 23" xfId="7501"/>
    <cellStyle name="Comma 2 2 23 10" xfId="7502"/>
    <cellStyle name="Comma 2 2 23 10 2" xfId="7503"/>
    <cellStyle name="Comma 2 2 23 11" xfId="7504"/>
    <cellStyle name="Comma 2 2 23 11 2" xfId="7505"/>
    <cellStyle name="Comma 2 2 23 12" xfId="7506"/>
    <cellStyle name="Comma 2 2 23 2" xfId="7507"/>
    <cellStyle name="Comma 2 2 23 2 2" xfId="7508"/>
    <cellStyle name="Comma 2 2 23 3" xfId="7509"/>
    <cellStyle name="Comma 2 2 23 3 2" xfId="7510"/>
    <cellStyle name="Comma 2 2 23 4" xfId="7511"/>
    <cellStyle name="Comma 2 2 23 4 2" xfId="7512"/>
    <cellStyle name="Comma 2 2 23 5" xfId="7513"/>
    <cellStyle name="Comma 2 2 23 5 2" xfId="7514"/>
    <cellStyle name="Comma 2 2 23 6" xfId="7515"/>
    <cellStyle name="Comma 2 2 23 6 2" xfId="7516"/>
    <cellStyle name="Comma 2 2 23 7" xfId="7517"/>
    <cellStyle name="Comma 2 2 23 7 2" xfId="7518"/>
    <cellStyle name="Comma 2 2 23 8" xfId="7519"/>
    <cellStyle name="Comma 2 2 23 8 2" xfId="7520"/>
    <cellStyle name="Comma 2 2 23 9" xfId="7521"/>
    <cellStyle name="Comma 2 2 23 9 2" xfId="7522"/>
    <cellStyle name="Comma 2 2 24" xfId="7523"/>
    <cellStyle name="Comma 2 2 24 10" xfId="7524"/>
    <cellStyle name="Comma 2 2 24 10 2" xfId="7525"/>
    <cellStyle name="Comma 2 2 24 11" xfId="7526"/>
    <cellStyle name="Comma 2 2 24 11 2" xfId="7527"/>
    <cellStyle name="Comma 2 2 24 12" xfId="7528"/>
    <cellStyle name="Comma 2 2 24 2" xfId="7529"/>
    <cellStyle name="Comma 2 2 24 2 2" xfId="7530"/>
    <cellStyle name="Comma 2 2 24 3" xfId="7531"/>
    <cellStyle name="Comma 2 2 24 3 2" xfId="7532"/>
    <cellStyle name="Comma 2 2 24 4" xfId="7533"/>
    <cellStyle name="Comma 2 2 24 4 2" xfId="7534"/>
    <cellStyle name="Comma 2 2 24 5" xfId="7535"/>
    <cellStyle name="Comma 2 2 24 5 2" xfId="7536"/>
    <cellStyle name="Comma 2 2 24 6" xfId="7537"/>
    <cellStyle name="Comma 2 2 24 6 2" xfId="7538"/>
    <cellStyle name="Comma 2 2 24 7" xfId="7539"/>
    <cellStyle name="Comma 2 2 24 7 2" xfId="7540"/>
    <cellStyle name="Comma 2 2 24 8" xfId="7541"/>
    <cellStyle name="Comma 2 2 24 8 2" xfId="7542"/>
    <cellStyle name="Comma 2 2 24 9" xfId="7543"/>
    <cellStyle name="Comma 2 2 24 9 2" xfId="7544"/>
    <cellStyle name="Comma 2 2 25" xfId="7545"/>
    <cellStyle name="Comma 2 2 25 10" xfId="7546"/>
    <cellStyle name="Comma 2 2 25 10 2" xfId="7547"/>
    <cellStyle name="Comma 2 2 25 11" xfId="7548"/>
    <cellStyle name="Comma 2 2 25 11 2" xfId="7549"/>
    <cellStyle name="Comma 2 2 25 12" xfId="7550"/>
    <cellStyle name="Comma 2 2 25 2" xfId="7551"/>
    <cellStyle name="Comma 2 2 25 2 2" xfId="7552"/>
    <cellStyle name="Comma 2 2 25 3" xfId="7553"/>
    <cellStyle name="Comma 2 2 25 3 2" xfId="7554"/>
    <cellStyle name="Comma 2 2 25 4" xfId="7555"/>
    <cellStyle name="Comma 2 2 25 4 2" xfId="7556"/>
    <cellStyle name="Comma 2 2 25 5" xfId="7557"/>
    <cellStyle name="Comma 2 2 25 5 2" xfId="7558"/>
    <cellStyle name="Comma 2 2 25 6" xfId="7559"/>
    <cellStyle name="Comma 2 2 25 6 2" xfId="7560"/>
    <cellStyle name="Comma 2 2 25 7" xfId="7561"/>
    <cellStyle name="Comma 2 2 25 7 2" xfId="7562"/>
    <cellStyle name="Comma 2 2 25 8" xfId="7563"/>
    <cellStyle name="Comma 2 2 25 8 2" xfId="7564"/>
    <cellStyle name="Comma 2 2 25 9" xfId="7565"/>
    <cellStyle name="Comma 2 2 25 9 2" xfId="7566"/>
    <cellStyle name="Comma 2 2 26" xfId="7567"/>
    <cellStyle name="Comma 2 2 26 10" xfId="7568"/>
    <cellStyle name="Comma 2 2 26 10 2" xfId="7569"/>
    <cellStyle name="Comma 2 2 26 11" xfId="7570"/>
    <cellStyle name="Comma 2 2 26 11 2" xfId="7571"/>
    <cellStyle name="Comma 2 2 26 12" xfId="7572"/>
    <cellStyle name="Comma 2 2 26 2" xfId="7573"/>
    <cellStyle name="Comma 2 2 26 2 2" xfId="7574"/>
    <cellStyle name="Comma 2 2 26 3" xfId="7575"/>
    <cellStyle name="Comma 2 2 26 3 2" xfId="7576"/>
    <cellStyle name="Comma 2 2 26 4" xfId="7577"/>
    <cellStyle name="Comma 2 2 26 4 2" xfId="7578"/>
    <cellStyle name="Comma 2 2 26 5" xfId="7579"/>
    <cellStyle name="Comma 2 2 26 5 2" xfId="7580"/>
    <cellStyle name="Comma 2 2 26 6" xfId="7581"/>
    <cellStyle name="Comma 2 2 26 6 2" xfId="7582"/>
    <cellStyle name="Comma 2 2 26 7" xfId="7583"/>
    <cellStyle name="Comma 2 2 26 7 2" xfId="7584"/>
    <cellStyle name="Comma 2 2 26 8" xfId="7585"/>
    <cellStyle name="Comma 2 2 26 8 2" xfId="7586"/>
    <cellStyle name="Comma 2 2 26 9" xfId="7587"/>
    <cellStyle name="Comma 2 2 26 9 2" xfId="7588"/>
    <cellStyle name="Comma 2 2 27" xfId="7589"/>
    <cellStyle name="Comma 2 2 27 10" xfId="7590"/>
    <cellStyle name="Comma 2 2 27 10 2" xfId="7591"/>
    <cellStyle name="Comma 2 2 27 11" xfId="7592"/>
    <cellStyle name="Comma 2 2 27 11 2" xfId="7593"/>
    <cellStyle name="Comma 2 2 27 12" xfId="7594"/>
    <cellStyle name="Comma 2 2 27 2" xfId="7595"/>
    <cellStyle name="Comma 2 2 27 2 2" xfId="7596"/>
    <cellStyle name="Comma 2 2 27 3" xfId="7597"/>
    <cellStyle name="Comma 2 2 27 3 2" xfId="7598"/>
    <cellStyle name="Comma 2 2 27 4" xfId="7599"/>
    <cellStyle name="Comma 2 2 27 4 2" xfId="7600"/>
    <cellStyle name="Comma 2 2 27 5" xfId="7601"/>
    <cellStyle name="Comma 2 2 27 5 2" xfId="7602"/>
    <cellStyle name="Comma 2 2 27 6" xfId="7603"/>
    <cellStyle name="Comma 2 2 27 6 2" xfId="7604"/>
    <cellStyle name="Comma 2 2 27 7" xfId="7605"/>
    <cellStyle name="Comma 2 2 27 7 2" xfId="7606"/>
    <cellStyle name="Comma 2 2 27 8" xfId="7607"/>
    <cellStyle name="Comma 2 2 27 8 2" xfId="7608"/>
    <cellStyle name="Comma 2 2 27 9" xfId="7609"/>
    <cellStyle name="Comma 2 2 27 9 2" xfId="7610"/>
    <cellStyle name="Comma 2 2 28" xfId="7611"/>
    <cellStyle name="Comma 2 2 28 10" xfId="7612"/>
    <cellStyle name="Comma 2 2 28 10 2" xfId="7613"/>
    <cellStyle name="Comma 2 2 28 11" xfId="7614"/>
    <cellStyle name="Comma 2 2 28 11 2" xfId="7615"/>
    <cellStyle name="Comma 2 2 28 12" xfId="7616"/>
    <cellStyle name="Comma 2 2 28 2" xfId="7617"/>
    <cellStyle name="Comma 2 2 28 2 2" xfId="7618"/>
    <cellStyle name="Comma 2 2 28 3" xfId="7619"/>
    <cellStyle name="Comma 2 2 28 3 2" xfId="7620"/>
    <cellStyle name="Comma 2 2 28 4" xfId="7621"/>
    <cellStyle name="Comma 2 2 28 4 2" xfId="7622"/>
    <cellStyle name="Comma 2 2 28 5" xfId="7623"/>
    <cellStyle name="Comma 2 2 28 5 2" xfId="7624"/>
    <cellStyle name="Comma 2 2 28 6" xfId="7625"/>
    <cellStyle name="Comma 2 2 28 6 2" xfId="7626"/>
    <cellStyle name="Comma 2 2 28 7" xfId="7627"/>
    <cellStyle name="Comma 2 2 28 7 2" xfId="7628"/>
    <cellStyle name="Comma 2 2 28 8" xfId="7629"/>
    <cellStyle name="Comma 2 2 28 8 2" xfId="7630"/>
    <cellStyle name="Comma 2 2 28 9" xfId="7631"/>
    <cellStyle name="Comma 2 2 28 9 2" xfId="7632"/>
    <cellStyle name="Comma 2 2 29" xfId="7633"/>
    <cellStyle name="Comma 2 2 29 10" xfId="7634"/>
    <cellStyle name="Comma 2 2 29 10 2" xfId="7635"/>
    <cellStyle name="Comma 2 2 29 11" xfId="7636"/>
    <cellStyle name="Comma 2 2 29 11 2" xfId="7637"/>
    <cellStyle name="Comma 2 2 29 12" xfId="7638"/>
    <cellStyle name="Comma 2 2 29 2" xfId="7639"/>
    <cellStyle name="Comma 2 2 29 2 2" xfId="7640"/>
    <cellStyle name="Comma 2 2 29 3" xfId="7641"/>
    <cellStyle name="Comma 2 2 29 3 2" xfId="7642"/>
    <cellStyle name="Comma 2 2 29 4" xfId="7643"/>
    <cellStyle name="Comma 2 2 29 4 2" xfId="7644"/>
    <cellStyle name="Comma 2 2 29 5" xfId="7645"/>
    <cellStyle name="Comma 2 2 29 5 2" xfId="7646"/>
    <cellStyle name="Comma 2 2 29 6" xfId="7647"/>
    <cellStyle name="Comma 2 2 29 6 2" xfId="7648"/>
    <cellStyle name="Comma 2 2 29 7" xfId="7649"/>
    <cellStyle name="Comma 2 2 29 7 2" xfId="7650"/>
    <cellStyle name="Comma 2 2 29 8" xfId="7651"/>
    <cellStyle name="Comma 2 2 29 8 2" xfId="7652"/>
    <cellStyle name="Comma 2 2 29 9" xfId="7653"/>
    <cellStyle name="Comma 2 2 29 9 2" xfId="7654"/>
    <cellStyle name="Comma 2 2 3" xfId="7655"/>
    <cellStyle name="Comma 2 2 3 10" xfId="7656"/>
    <cellStyle name="Comma 2 2 3 10 10" xfId="7657"/>
    <cellStyle name="Comma 2 2 3 10 10 2" xfId="7658"/>
    <cellStyle name="Comma 2 2 3 10 11" xfId="7659"/>
    <cellStyle name="Comma 2 2 3 10 11 2" xfId="7660"/>
    <cellStyle name="Comma 2 2 3 10 12" xfId="7661"/>
    <cellStyle name="Comma 2 2 3 10 2" xfId="7662"/>
    <cellStyle name="Comma 2 2 3 10 2 2" xfId="7663"/>
    <cellStyle name="Comma 2 2 3 10 3" xfId="7664"/>
    <cellStyle name="Comma 2 2 3 10 3 2" xfId="7665"/>
    <cellStyle name="Comma 2 2 3 10 4" xfId="7666"/>
    <cellStyle name="Comma 2 2 3 10 4 2" xfId="7667"/>
    <cellStyle name="Comma 2 2 3 10 5" xfId="7668"/>
    <cellStyle name="Comma 2 2 3 10 5 2" xfId="7669"/>
    <cellStyle name="Comma 2 2 3 10 6" xfId="7670"/>
    <cellStyle name="Comma 2 2 3 10 6 2" xfId="7671"/>
    <cellStyle name="Comma 2 2 3 10 7" xfId="7672"/>
    <cellStyle name="Comma 2 2 3 10 7 2" xfId="7673"/>
    <cellStyle name="Comma 2 2 3 10 8" xfId="7674"/>
    <cellStyle name="Comma 2 2 3 10 8 2" xfId="7675"/>
    <cellStyle name="Comma 2 2 3 10 9" xfId="7676"/>
    <cellStyle name="Comma 2 2 3 10 9 2" xfId="7677"/>
    <cellStyle name="Comma 2 2 3 11" xfId="7678"/>
    <cellStyle name="Comma 2 2 3 11 10" xfId="7679"/>
    <cellStyle name="Comma 2 2 3 11 10 2" xfId="7680"/>
    <cellStyle name="Comma 2 2 3 11 11" xfId="7681"/>
    <cellStyle name="Comma 2 2 3 11 11 2" xfId="7682"/>
    <cellStyle name="Comma 2 2 3 11 12" xfId="7683"/>
    <cellStyle name="Comma 2 2 3 11 2" xfId="7684"/>
    <cellStyle name="Comma 2 2 3 11 2 2" xfId="7685"/>
    <cellStyle name="Comma 2 2 3 11 3" xfId="7686"/>
    <cellStyle name="Comma 2 2 3 11 3 2" xfId="7687"/>
    <cellStyle name="Comma 2 2 3 11 4" xfId="7688"/>
    <cellStyle name="Comma 2 2 3 11 4 2" xfId="7689"/>
    <cellStyle name="Comma 2 2 3 11 5" xfId="7690"/>
    <cellStyle name="Comma 2 2 3 11 5 2" xfId="7691"/>
    <cellStyle name="Comma 2 2 3 11 6" xfId="7692"/>
    <cellStyle name="Comma 2 2 3 11 6 2" xfId="7693"/>
    <cellStyle name="Comma 2 2 3 11 7" xfId="7694"/>
    <cellStyle name="Comma 2 2 3 11 7 2" xfId="7695"/>
    <cellStyle name="Comma 2 2 3 11 8" xfId="7696"/>
    <cellStyle name="Comma 2 2 3 11 8 2" xfId="7697"/>
    <cellStyle name="Comma 2 2 3 11 9" xfId="7698"/>
    <cellStyle name="Comma 2 2 3 11 9 2" xfId="7699"/>
    <cellStyle name="Comma 2 2 3 12" xfId="7700"/>
    <cellStyle name="Comma 2 2 3 12 10" xfId="7701"/>
    <cellStyle name="Comma 2 2 3 12 10 2" xfId="7702"/>
    <cellStyle name="Comma 2 2 3 12 11" xfId="7703"/>
    <cellStyle name="Comma 2 2 3 12 11 2" xfId="7704"/>
    <cellStyle name="Comma 2 2 3 12 12" xfId="7705"/>
    <cellStyle name="Comma 2 2 3 12 2" xfId="7706"/>
    <cellStyle name="Comma 2 2 3 12 2 2" xfId="7707"/>
    <cellStyle name="Comma 2 2 3 12 3" xfId="7708"/>
    <cellStyle name="Comma 2 2 3 12 3 2" xfId="7709"/>
    <cellStyle name="Comma 2 2 3 12 4" xfId="7710"/>
    <cellStyle name="Comma 2 2 3 12 4 2" xfId="7711"/>
    <cellStyle name="Comma 2 2 3 12 5" xfId="7712"/>
    <cellStyle name="Comma 2 2 3 12 5 2" xfId="7713"/>
    <cellStyle name="Comma 2 2 3 12 6" xfId="7714"/>
    <cellStyle name="Comma 2 2 3 12 6 2" xfId="7715"/>
    <cellStyle name="Comma 2 2 3 12 7" xfId="7716"/>
    <cellStyle name="Comma 2 2 3 12 7 2" xfId="7717"/>
    <cellStyle name="Comma 2 2 3 12 8" xfId="7718"/>
    <cellStyle name="Comma 2 2 3 12 8 2" xfId="7719"/>
    <cellStyle name="Comma 2 2 3 12 9" xfId="7720"/>
    <cellStyle name="Comma 2 2 3 12 9 2" xfId="7721"/>
    <cellStyle name="Comma 2 2 3 13" xfId="7722"/>
    <cellStyle name="Comma 2 2 3 13 10" xfId="7723"/>
    <cellStyle name="Comma 2 2 3 13 10 2" xfId="7724"/>
    <cellStyle name="Comma 2 2 3 13 11" xfId="7725"/>
    <cellStyle name="Comma 2 2 3 13 11 2" xfId="7726"/>
    <cellStyle name="Comma 2 2 3 13 12" xfId="7727"/>
    <cellStyle name="Comma 2 2 3 13 2" xfId="7728"/>
    <cellStyle name="Comma 2 2 3 13 2 2" xfId="7729"/>
    <cellStyle name="Comma 2 2 3 13 3" xfId="7730"/>
    <cellStyle name="Comma 2 2 3 13 3 2" xfId="7731"/>
    <cellStyle name="Comma 2 2 3 13 4" xfId="7732"/>
    <cellStyle name="Comma 2 2 3 13 4 2" xfId="7733"/>
    <cellStyle name="Comma 2 2 3 13 5" xfId="7734"/>
    <cellStyle name="Comma 2 2 3 13 5 2" xfId="7735"/>
    <cellStyle name="Comma 2 2 3 13 6" xfId="7736"/>
    <cellStyle name="Comma 2 2 3 13 6 2" xfId="7737"/>
    <cellStyle name="Comma 2 2 3 13 7" xfId="7738"/>
    <cellStyle name="Comma 2 2 3 13 7 2" xfId="7739"/>
    <cellStyle name="Comma 2 2 3 13 8" xfId="7740"/>
    <cellStyle name="Comma 2 2 3 13 8 2" xfId="7741"/>
    <cellStyle name="Comma 2 2 3 13 9" xfId="7742"/>
    <cellStyle name="Comma 2 2 3 13 9 2" xfId="7743"/>
    <cellStyle name="Comma 2 2 3 14" xfId="7744"/>
    <cellStyle name="Comma 2 2 3 14 10" xfId="7745"/>
    <cellStyle name="Comma 2 2 3 14 10 2" xfId="7746"/>
    <cellStyle name="Comma 2 2 3 14 11" xfId="7747"/>
    <cellStyle name="Comma 2 2 3 14 11 2" xfId="7748"/>
    <cellStyle name="Comma 2 2 3 14 12" xfId="7749"/>
    <cellStyle name="Comma 2 2 3 14 2" xfId="7750"/>
    <cellStyle name="Comma 2 2 3 14 2 2" xfId="7751"/>
    <cellStyle name="Comma 2 2 3 14 3" xfId="7752"/>
    <cellStyle name="Comma 2 2 3 14 3 2" xfId="7753"/>
    <cellStyle name="Comma 2 2 3 14 4" xfId="7754"/>
    <cellStyle name="Comma 2 2 3 14 4 2" xfId="7755"/>
    <cellStyle name="Comma 2 2 3 14 5" xfId="7756"/>
    <cellStyle name="Comma 2 2 3 14 5 2" xfId="7757"/>
    <cellStyle name="Comma 2 2 3 14 6" xfId="7758"/>
    <cellStyle name="Comma 2 2 3 14 6 2" xfId="7759"/>
    <cellStyle name="Comma 2 2 3 14 7" xfId="7760"/>
    <cellStyle name="Comma 2 2 3 14 7 2" xfId="7761"/>
    <cellStyle name="Comma 2 2 3 14 8" xfId="7762"/>
    <cellStyle name="Comma 2 2 3 14 8 2" xfId="7763"/>
    <cellStyle name="Comma 2 2 3 14 9" xfId="7764"/>
    <cellStyle name="Comma 2 2 3 14 9 2" xfId="7765"/>
    <cellStyle name="Comma 2 2 3 15" xfId="7766"/>
    <cellStyle name="Comma 2 2 3 15 10" xfId="7767"/>
    <cellStyle name="Comma 2 2 3 15 10 2" xfId="7768"/>
    <cellStyle name="Comma 2 2 3 15 11" xfId="7769"/>
    <cellStyle name="Comma 2 2 3 15 11 2" xfId="7770"/>
    <cellStyle name="Comma 2 2 3 15 12" xfId="7771"/>
    <cellStyle name="Comma 2 2 3 15 2" xfId="7772"/>
    <cellStyle name="Comma 2 2 3 15 2 2" xfId="7773"/>
    <cellStyle name="Comma 2 2 3 15 3" xfId="7774"/>
    <cellStyle name="Comma 2 2 3 15 3 2" xfId="7775"/>
    <cellStyle name="Comma 2 2 3 15 4" xfId="7776"/>
    <cellStyle name="Comma 2 2 3 15 4 2" xfId="7777"/>
    <cellStyle name="Comma 2 2 3 15 5" xfId="7778"/>
    <cellStyle name="Comma 2 2 3 15 5 2" xfId="7779"/>
    <cellStyle name="Comma 2 2 3 15 6" xfId="7780"/>
    <cellStyle name="Comma 2 2 3 15 6 2" xfId="7781"/>
    <cellStyle name="Comma 2 2 3 15 7" xfId="7782"/>
    <cellStyle name="Comma 2 2 3 15 7 2" xfId="7783"/>
    <cellStyle name="Comma 2 2 3 15 8" xfId="7784"/>
    <cellStyle name="Comma 2 2 3 15 8 2" xfId="7785"/>
    <cellStyle name="Comma 2 2 3 15 9" xfId="7786"/>
    <cellStyle name="Comma 2 2 3 15 9 2" xfId="7787"/>
    <cellStyle name="Comma 2 2 3 16" xfId="7788"/>
    <cellStyle name="Comma 2 2 3 16 10" xfId="7789"/>
    <cellStyle name="Comma 2 2 3 16 10 2" xfId="7790"/>
    <cellStyle name="Comma 2 2 3 16 11" xfId="7791"/>
    <cellStyle name="Comma 2 2 3 16 11 2" xfId="7792"/>
    <cellStyle name="Comma 2 2 3 16 12" xfId="7793"/>
    <cellStyle name="Comma 2 2 3 16 2" xfId="7794"/>
    <cellStyle name="Comma 2 2 3 16 2 2" xfId="7795"/>
    <cellStyle name="Comma 2 2 3 16 3" xfId="7796"/>
    <cellStyle name="Comma 2 2 3 16 3 2" xfId="7797"/>
    <cellStyle name="Comma 2 2 3 16 4" xfId="7798"/>
    <cellStyle name="Comma 2 2 3 16 4 2" xfId="7799"/>
    <cellStyle name="Comma 2 2 3 16 5" xfId="7800"/>
    <cellStyle name="Comma 2 2 3 16 5 2" xfId="7801"/>
    <cellStyle name="Comma 2 2 3 16 6" xfId="7802"/>
    <cellStyle name="Comma 2 2 3 16 6 2" xfId="7803"/>
    <cellStyle name="Comma 2 2 3 16 7" xfId="7804"/>
    <cellStyle name="Comma 2 2 3 16 7 2" xfId="7805"/>
    <cellStyle name="Comma 2 2 3 16 8" xfId="7806"/>
    <cellStyle name="Comma 2 2 3 16 8 2" xfId="7807"/>
    <cellStyle name="Comma 2 2 3 16 9" xfId="7808"/>
    <cellStyle name="Comma 2 2 3 16 9 2" xfId="7809"/>
    <cellStyle name="Comma 2 2 3 17" xfId="7810"/>
    <cellStyle name="Comma 2 2 3 17 10" xfId="7811"/>
    <cellStyle name="Comma 2 2 3 17 10 2" xfId="7812"/>
    <cellStyle name="Comma 2 2 3 17 11" xfId="7813"/>
    <cellStyle name="Comma 2 2 3 17 11 2" xfId="7814"/>
    <cellStyle name="Comma 2 2 3 17 12" xfId="7815"/>
    <cellStyle name="Comma 2 2 3 17 2" xfId="7816"/>
    <cellStyle name="Comma 2 2 3 17 2 2" xfId="7817"/>
    <cellStyle name="Comma 2 2 3 17 3" xfId="7818"/>
    <cellStyle name="Comma 2 2 3 17 3 2" xfId="7819"/>
    <cellStyle name="Comma 2 2 3 17 4" xfId="7820"/>
    <cellStyle name="Comma 2 2 3 17 4 2" xfId="7821"/>
    <cellStyle name="Comma 2 2 3 17 5" xfId="7822"/>
    <cellStyle name="Comma 2 2 3 17 5 2" xfId="7823"/>
    <cellStyle name="Comma 2 2 3 17 6" xfId="7824"/>
    <cellStyle name="Comma 2 2 3 17 6 2" xfId="7825"/>
    <cellStyle name="Comma 2 2 3 17 7" xfId="7826"/>
    <cellStyle name="Comma 2 2 3 17 7 2" xfId="7827"/>
    <cellStyle name="Comma 2 2 3 17 8" xfId="7828"/>
    <cellStyle name="Comma 2 2 3 17 8 2" xfId="7829"/>
    <cellStyle name="Comma 2 2 3 17 9" xfId="7830"/>
    <cellStyle name="Comma 2 2 3 17 9 2" xfId="7831"/>
    <cellStyle name="Comma 2 2 3 18" xfId="7832"/>
    <cellStyle name="Comma 2 2 3 18 10" xfId="7833"/>
    <cellStyle name="Comma 2 2 3 18 10 2" xfId="7834"/>
    <cellStyle name="Comma 2 2 3 18 11" xfId="7835"/>
    <cellStyle name="Comma 2 2 3 18 11 2" xfId="7836"/>
    <cellStyle name="Comma 2 2 3 18 12" xfId="7837"/>
    <cellStyle name="Comma 2 2 3 18 2" xfId="7838"/>
    <cellStyle name="Comma 2 2 3 18 2 2" xfId="7839"/>
    <cellStyle name="Comma 2 2 3 18 3" xfId="7840"/>
    <cellStyle name="Comma 2 2 3 18 3 2" xfId="7841"/>
    <cellStyle name="Comma 2 2 3 18 4" xfId="7842"/>
    <cellStyle name="Comma 2 2 3 18 4 2" xfId="7843"/>
    <cellStyle name="Comma 2 2 3 18 5" xfId="7844"/>
    <cellStyle name="Comma 2 2 3 18 5 2" xfId="7845"/>
    <cellStyle name="Comma 2 2 3 18 6" xfId="7846"/>
    <cellStyle name="Comma 2 2 3 18 6 2" xfId="7847"/>
    <cellStyle name="Comma 2 2 3 18 7" xfId="7848"/>
    <cellStyle name="Comma 2 2 3 18 7 2" xfId="7849"/>
    <cellStyle name="Comma 2 2 3 18 8" xfId="7850"/>
    <cellStyle name="Comma 2 2 3 18 8 2" xfId="7851"/>
    <cellStyle name="Comma 2 2 3 18 9" xfId="7852"/>
    <cellStyle name="Comma 2 2 3 18 9 2" xfId="7853"/>
    <cellStyle name="Comma 2 2 3 19" xfId="7854"/>
    <cellStyle name="Comma 2 2 3 19 10" xfId="7855"/>
    <cellStyle name="Comma 2 2 3 19 10 2" xfId="7856"/>
    <cellStyle name="Comma 2 2 3 19 11" xfId="7857"/>
    <cellStyle name="Comma 2 2 3 19 11 2" xfId="7858"/>
    <cellStyle name="Comma 2 2 3 19 12" xfId="7859"/>
    <cellStyle name="Comma 2 2 3 19 2" xfId="7860"/>
    <cellStyle name="Comma 2 2 3 19 2 2" xfId="7861"/>
    <cellStyle name="Comma 2 2 3 19 3" xfId="7862"/>
    <cellStyle name="Comma 2 2 3 19 3 2" xfId="7863"/>
    <cellStyle name="Comma 2 2 3 19 4" xfId="7864"/>
    <cellStyle name="Comma 2 2 3 19 4 2" xfId="7865"/>
    <cellStyle name="Comma 2 2 3 19 5" xfId="7866"/>
    <cellStyle name="Comma 2 2 3 19 5 2" xfId="7867"/>
    <cellStyle name="Comma 2 2 3 19 6" xfId="7868"/>
    <cellStyle name="Comma 2 2 3 19 6 2" xfId="7869"/>
    <cellStyle name="Comma 2 2 3 19 7" xfId="7870"/>
    <cellStyle name="Comma 2 2 3 19 7 2" xfId="7871"/>
    <cellStyle name="Comma 2 2 3 19 8" xfId="7872"/>
    <cellStyle name="Comma 2 2 3 19 8 2" xfId="7873"/>
    <cellStyle name="Comma 2 2 3 19 9" xfId="7874"/>
    <cellStyle name="Comma 2 2 3 19 9 2" xfId="7875"/>
    <cellStyle name="Comma 2 2 3 2" xfId="7876"/>
    <cellStyle name="Comma 2 2 3 2 10" xfId="7877"/>
    <cellStyle name="Comma 2 2 3 2 10 2" xfId="7878"/>
    <cellStyle name="Comma 2 2 3 2 11" xfId="7879"/>
    <cellStyle name="Comma 2 2 3 2 11 2" xfId="7880"/>
    <cellStyle name="Comma 2 2 3 2 12" xfId="7881"/>
    <cellStyle name="Comma 2 2 3 2 2" xfId="7882"/>
    <cellStyle name="Comma 2 2 3 2 2 2" xfId="7883"/>
    <cellStyle name="Comma 2 2 3 2 3" xfId="7884"/>
    <cellStyle name="Comma 2 2 3 2 3 2" xfId="7885"/>
    <cellStyle name="Comma 2 2 3 2 4" xfId="7886"/>
    <cellStyle name="Comma 2 2 3 2 4 2" xfId="7887"/>
    <cellStyle name="Comma 2 2 3 2 5" xfId="7888"/>
    <cellStyle name="Comma 2 2 3 2 5 2" xfId="7889"/>
    <cellStyle name="Comma 2 2 3 2 6" xfId="7890"/>
    <cellStyle name="Comma 2 2 3 2 6 2" xfId="7891"/>
    <cellStyle name="Comma 2 2 3 2 7" xfId="7892"/>
    <cellStyle name="Comma 2 2 3 2 7 2" xfId="7893"/>
    <cellStyle name="Comma 2 2 3 2 8" xfId="7894"/>
    <cellStyle name="Comma 2 2 3 2 8 2" xfId="7895"/>
    <cellStyle name="Comma 2 2 3 2 9" xfId="7896"/>
    <cellStyle name="Comma 2 2 3 2 9 2" xfId="7897"/>
    <cellStyle name="Comma 2 2 3 20" xfId="7898"/>
    <cellStyle name="Comma 2 2 3 20 10" xfId="7899"/>
    <cellStyle name="Comma 2 2 3 20 10 2" xfId="7900"/>
    <cellStyle name="Comma 2 2 3 20 11" xfId="7901"/>
    <cellStyle name="Comma 2 2 3 20 11 2" xfId="7902"/>
    <cellStyle name="Comma 2 2 3 20 12" xfId="7903"/>
    <cellStyle name="Comma 2 2 3 20 2" xfId="7904"/>
    <cellStyle name="Comma 2 2 3 20 2 2" xfId="7905"/>
    <cellStyle name="Comma 2 2 3 20 3" xfId="7906"/>
    <cellStyle name="Comma 2 2 3 20 3 2" xfId="7907"/>
    <cellStyle name="Comma 2 2 3 20 4" xfId="7908"/>
    <cellStyle name="Comma 2 2 3 20 4 2" xfId="7909"/>
    <cellStyle name="Comma 2 2 3 20 5" xfId="7910"/>
    <cellStyle name="Comma 2 2 3 20 5 2" xfId="7911"/>
    <cellStyle name="Comma 2 2 3 20 6" xfId="7912"/>
    <cellStyle name="Comma 2 2 3 20 6 2" xfId="7913"/>
    <cellStyle name="Comma 2 2 3 20 7" xfId="7914"/>
    <cellStyle name="Comma 2 2 3 20 7 2" xfId="7915"/>
    <cellStyle name="Comma 2 2 3 20 8" xfId="7916"/>
    <cellStyle name="Comma 2 2 3 20 8 2" xfId="7917"/>
    <cellStyle name="Comma 2 2 3 20 9" xfId="7918"/>
    <cellStyle name="Comma 2 2 3 20 9 2" xfId="7919"/>
    <cellStyle name="Comma 2 2 3 21" xfId="7920"/>
    <cellStyle name="Comma 2 2 3 21 10" xfId="7921"/>
    <cellStyle name="Comma 2 2 3 21 10 2" xfId="7922"/>
    <cellStyle name="Comma 2 2 3 21 11" xfId="7923"/>
    <cellStyle name="Comma 2 2 3 21 11 2" xfId="7924"/>
    <cellStyle name="Comma 2 2 3 21 12" xfId="7925"/>
    <cellStyle name="Comma 2 2 3 21 2" xfId="7926"/>
    <cellStyle name="Comma 2 2 3 21 2 2" xfId="7927"/>
    <cellStyle name="Comma 2 2 3 21 3" xfId="7928"/>
    <cellStyle name="Comma 2 2 3 21 3 2" xfId="7929"/>
    <cellStyle name="Comma 2 2 3 21 4" xfId="7930"/>
    <cellStyle name="Comma 2 2 3 21 4 2" xfId="7931"/>
    <cellStyle name="Comma 2 2 3 21 5" xfId="7932"/>
    <cellStyle name="Comma 2 2 3 21 5 2" xfId="7933"/>
    <cellStyle name="Comma 2 2 3 21 6" xfId="7934"/>
    <cellStyle name="Comma 2 2 3 21 6 2" xfId="7935"/>
    <cellStyle name="Comma 2 2 3 21 7" xfId="7936"/>
    <cellStyle name="Comma 2 2 3 21 7 2" xfId="7937"/>
    <cellStyle name="Comma 2 2 3 21 8" xfId="7938"/>
    <cellStyle name="Comma 2 2 3 21 8 2" xfId="7939"/>
    <cellStyle name="Comma 2 2 3 21 9" xfId="7940"/>
    <cellStyle name="Comma 2 2 3 21 9 2" xfId="7941"/>
    <cellStyle name="Comma 2 2 3 22" xfId="7942"/>
    <cellStyle name="Comma 2 2 3 22 10" xfId="7943"/>
    <cellStyle name="Comma 2 2 3 22 10 2" xfId="7944"/>
    <cellStyle name="Comma 2 2 3 22 11" xfId="7945"/>
    <cellStyle name="Comma 2 2 3 22 11 2" xfId="7946"/>
    <cellStyle name="Comma 2 2 3 22 12" xfId="7947"/>
    <cellStyle name="Comma 2 2 3 22 2" xfId="7948"/>
    <cellStyle name="Comma 2 2 3 22 2 2" xfId="7949"/>
    <cellStyle name="Comma 2 2 3 22 3" xfId="7950"/>
    <cellStyle name="Comma 2 2 3 22 3 2" xfId="7951"/>
    <cellStyle name="Comma 2 2 3 22 4" xfId="7952"/>
    <cellStyle name="Comma 2 2 3 22 4 2" xfId="7953"/>
    <cellStyle name="Comma 2 2 3 22 5" xfId="7954"/>
    <cellStyle name="Comma 2 2 3 22 5 2" xfId="7955"/>
    <cellStyle name="Comma 2 2 3 22 6" xfId="7956"/>
    <cellStyle name="Comma 2 2 3 22 6 2" xfId="7957"/>
    <cellStyle name="Comma 2 2 3 22 7" xfId="7958"/>
    <cellStyle name="Comma 2 2 3 22 7 2" xfId="7959"/>
    <cellStyle name="Comma 2 2 3 22 8" xfId="7960"/>
    <cellStyle name="Comma 2 2 3 22 8 2" xfId="7961"/>
    <cellStyle name="Comma 2 2 3 22 9" xfId="7962"/>
    <cellStyle name="Comma 2 2 3 22 9 2" xfId="7963"/>
    <cellStyle name="Comma 2 2 3 23" xfId="7964"/>
    <cellStyle name="Comma 2 2 3 23 10" xfId="7965"/>
    <cellStyle name="Comma 2 2 3 23 10 2" xfId="7966"/>
    <cellStyle name="Comma 2 2 3 23 11" xfId="7967"/>
    <cellStyle name="Comma 2 2 3 23 11 2" xfId="7968"/>
    <cellStyle name="Comma 2 2 3 23 12" xfId="7969"/>
    <cellStyle name="Comma 2 2 3 23 2" xfId="7970"/>
    <cellStyle name="Comma 2 2 3 23 2 2" xfId="7971"/>
    <cellStyle name="Comma 2 2 3 23 3" xfId="7972"/>
    <cellStyle name="Comma 2 2 3 23 3 2" xfId="7973"/>
    <cellStyle name="Comma 2 2 3 23 4" xfId="7974"/>
    <cellStyle name="Comma 2 2 3 23 4 2" xfId="7975"/>
    <cellStyle name="Comma 2 2 3 23 5" xfId="7976"/>
    <cellStyle name="Comma 2 2 3 23 5 2" xfId="7977"/>
    <cellStyle name="Comma 2 2 3 23 6" xfId="7978"/>
    <cellStyle name="Comma 2 2 3 23 6 2" xfId="7979"/>
    <cellStyle name="Comma 2 2 3 23 7" xfId="7980"/>
    <cellStyle name="Comma 2 2 3 23 7 2" xfId="7981"/>
    <cellStyle name="Comma 2 2 3 23 8" xfId="7982"/>
    <cellStyle name="Comma 2 2 3 23 8 2" xfId="7983"/>
    <cellStyle name="Comma 2 2 3 23 9" xfId="7984"/>
    <cellStyle name="Comma 2 2 3 23 9 2" xfId="7985"/>
    <cellStyle name="Comma 2 2 3 24" xfId="7986"/>
    <cellStyle name="Comma 2 2 3 24 10" xfId="7987"/>
    <cellStyle name="Comma 2 2 3 24 10 2" xfId="7988"/>
    <cellStyle name="Comma 2 2 3 24 11" xfId="7989"/>
    <cellStyle name="Comma 2 2 3 24 11 2" xfId="7990"/>
    <cellStyle name="Comma 2 2 3 24 12" xfId="7991"/>
    <cellStyle name="Comma 2 2 3 24 2" xfId="7992"/>
    <cellStyle name="Comma 2 2 3 24 2 2" xfId="7993"/>
    <cellStyle name="Comma 2 2 3 24 3" xfId="7994"/>
    <cellStyle name="Comma 2 2 3 24 3 2" xfId="7995"/>
    <cellStyle name="Comma 2 2 3 24 4" xfId="7996"/>
    <cellStyle name="Comma 2 2 3 24 4 2" xfId="7997"/>
    <cellStyle name="Comma 2 2 3 24 5" xfId="7998"/>
    <cellStyle name="Comma 2 2 3 24 5 2" xfId="7999"/>
    <cellStyle name="Comma 2 2 3 24 6" xfId="8000"/>
    <cellStyle name="Comma 2 2 3 24 6 2" xfId="8001"/>
    <cellStyle name="Comma 2 2 3 24 7" xfId="8002"/>
    <cellStyle name="Comma 2 2 3 24 7 2" xfId="8003"/>
    <cellStyle name="Comma 2 2 3 24 8" xfId="8004"/>
    <cellStyle name="Comma 2 2 3 24 8 2" xfId="8005"/>
    <cellStyle name="Comma 2 2 3 24 9" xfId="8006"/>
    <cellStyle name="Comma 2 2 3 24 9 2" xfId="8007"/>
    <cellStyle name="Comma 2 2 3 25" xfId="8008"/>
    <cellStyle name="Comma 2 2 3 25 10" xfId="8009"/>
    <cellStyle name="Comma 2 2 3 25 10 2" xfId="8010"/>
    <cellStyle name="Comma 2 2 3 25 11" xfId="8011"/>
    <cellStyle name="Comma 2 2 3 25 11 2" xfId="8012"/>
    <cellStyle name="Comma 2 2 3 25 12" xfId="8013"/>
    <cellStyle name="Comma 2 2 3 25 2" xfId="8014"/>
    <cellStyle name="Comma 2 2 3 25 2 2" xfId="8015"/>
    <cellStyle name="Comma 2 2 3 25 3" xfId="8016"/>
    <cellStyle name="Comma 2 2 3 25 3 2" xfId="8017"/>
    <cellStyle name="Comma 2 2 3 25 4" xfId="8018"/>
    <cellStyle name="Comma 2 2 3 25 4 2" xfId="8019"/>
    <cellStyle name="Comma 2 2 3 25 5" xfId="8020"/>
    <cellStyle name="Comma 2 2 3 25 5 2" xfId="8021"/>
    <cellStyle name="Comma 2 2 3 25 6" xfId="8022"/>
    <cellStyle name="Comma 2 2 3 25 6 2" xfId="8023"/>
    <cellStyle name="Comma 2 2 3 25 7" xfId="8024"/>
    <cellStyle name="Comma 2 2 3 25 7 2" xfId="8025"/>
    <cellStyle name="Comma 2 2 3 25 8" xfId="8026"/>
    <cellStyle name="Comma 2 2 3 25 8 2" xfId="8027"/>
    <cellStyle name="Comma 2 2 3 25 9" xfId="8028"/>
    <cellStyle name="Comma 2 2 3 25 9 2" xfId="8029"/>
    <cellStyle name="Comma 2 2 3 26" xfId="8030"/>
    <cellStyle name="Comma 2 2 3 26 10" xfId="8031"/>
    <cellStyle name="Comma 2 2 3 26 10 2" xfId="8032"/>
    <cellStyle name="Comma 2 2 3 26 11" xfId="8033"/>
    <cellStyle name="Comma 2 2 3 26 11 2" xfId="8034"/>
    <cellStyle name="Comma 2 2 3 26 12" xfId="8035"/>
    <cellStyle name="Comma 2 2 3 26 2" xfId="8036"/>
    <cellStyle name="Comma 2 2 3 26 2 2" xfId="8037"/>
    <cellStyle name="Comma 2 2 3 26 3" xfId="8038"/>
    <cellStyle name="Comma 2 2 3 26 3 2" xfId="8039"/>
    <cellStyle name="Comma 2 2 3 26 4" xfId="8040"/>
    <cellStyle name="Comma 2 2 3 26 4 2" xfId="8041"/>
    <cellStyle name="Comma 2 2 3 26 5" xfId="8042"/>
    <cellStyle name="Comma 2 2 3 26 5 2" xfId="8043"/>
    <cellStyle name="Comma 2 2 3 26 6" xfId="8044"/>
    <cellStyle name="Comma 2 2 3 26 6 2" xfId="8045"/>
    <cellStyle name="Comma 2 2 3 26 7" xfId="8046"/>
    <cellStyle name="Comma 2 2 3 26 7 2" xfId="8047"/>
    <cellStyle name="Comma 2 2 3 26 8" xfId="8048"/>
    <cellStyle name="Comma 2 2 3 26 8 2" xfId="8049"/>
    <cellStyle name="Comma 2 2 3 26 9" xfId="8050"/>
    <cellStyle name="Comma 2 2 3 26 9 2" xfId="8051"/>
    <cellStyle name="Comma 2 2 3 27" xfId="8052"/>
    <cellStyle name="Comma 2 2 3 27 10" xfId="8053"/>
    <cellStyle name="Comma 2 2 3 27 10 2" xfId="8054"/>
    <cellStyle name="Comma 2 2 3 27 11" xfId="8055"/>
    <cellStyle name="Comma 2 2 3 27 11 2" xfId="8056"/>
    <cellStyle name="Comma 2 2 3 27 12" xfId="8057"/>
    <cellStyle name="Comma 2 2 3 27 2" xfId="8058"/>
    <cellStyle name="Comma 2 2 3 27 2 2" xfId="8059"/>
    <cellStyle name="Comma 2 2 3 27 3" xfId="8060"/>
    <cellStyle name="Comma 2 2 3 27 3 2" xfId="8061"/>
    <cellStyle name="Comma 2 2 3 27 4" xfId="8062"/>
    <cellStyle name="Comma 2 2 3 27 4 2" xfId="8063"/>
    <cellStyle name="Comma 2 2 3 27 5" xfId="8064"/>
    <cellStyle name="Comma 2 2 3 27 5 2" xfId="8065"/>
    <cellStyle name="Comma 2 2 3 27 6" xfId="8066"/>
    <cellStyle name="Comma 2 2 3 27 6 2" xfId="8067"/>
    <cellStyle name="Comma 2 2 3 27 7" xfId="8068"/>
    <cellStyle name="Comma 2 2 3 27 7 2" xfId="8069"/>
    <cellStyle name="Comma 2 2 3 27 8" xfId="8070"/>
    <cellStyle name="Comma 2 2 3 27 8 2" xfId="8071"/>
    <cellStyle name="Comma 2 2 3 27 9" xfId="8072"/>
    <cellStyle name="Comma 2 2 3 27 9 2" xfId="8073"/>
    <cellStyle name="Comma 2 2 3 28" xfId="8074"/>
    <cellStyle name="Comma 2 2 3 28 10" xfId="8075"/>
    <cellStyle name="Comma 2 2 3 28 10 2" xfId="8076"/>
    <cellStyle name="Comma 2 2 3 28 11" xfId="8077"/>
    <cellStyle name="Comma 2 2 3 28 11 2" xfId="8078"/>
    <cellStyle name="Comma 2 2 3 28 12" xfId="8079"/>
    <cellStyle name="Comma 2 2 3 28 2" xfId="8080"/>
    <cellStyle name="Comma 2 2 3 28 2 2" xfId="8081"/>
    <cellStyle name="Comma 2 2 3 28 3" xfId="8082"/>
    <cellStyle name="Comma 2 2 3 28 3 2" xfId="8083"/>
    <cellStyle name="Comma 2 2 3 28 4" xfId="8084"/>
    <cellStyle name="Comma 2 2 3 28 4 2" xfId="8085"/>
    <cellStyle name="Comma 2 2 3 28 5" xfId="8086"/>
    <cellStyle name="Comma 2 2 3 28 5 2" xfId="8087"/>
    <cellStyle name="Comma 2 2 3 28 6" xfId="8088"/>
    <cellStyle name="Comma 2 2 3 28 6 2" xfId="8089"/>
    <cellStyle name="Comma 2 2 3 28 7" xfId="8090"/>
    <cellStyle name="Comma 2 2 3 28 7 2" xfId="8091"/>
    <cellStyle name="Comma 2 2 3 28 8" xfId="8092"/>
    <cellStyle name="Comma 2 2 3 28 8 2" xfId="8093"/>
    <cellStyle name="Comma 2 2 3 28 9" xfId="8094"/>
    <cellStyle name="Comma 2 2 3 28 9 2" xfId="8095"/>
    <cellStyle name="Comma 2 2 3 29" xfId="8096"/>
    <cellStyle name="Comma 2 2 3 29 10" xfId="8097"/>
    <cellStyle name="Comma 2 2 3 29 10 2" xfId="8098"/>
    <cellStyle name="Comma 2 2 3 29 11" xfId="8099"/>
    <cellStyle name="Comma 2 2 3 29 11 2" xfId="8100"/>
    <cellStyle name="Comma 2 2 3 29 12" xfId="8101"/>
    <cellStyle name="Comma 2 2 3 29 2" xfId="8102"/>
    <cellStyle name="Comma 2 2 3 29 2 2" xfId="8103"/>
    <cellStyle name="Comma 2 2 3 29 3" xfId="8104"/>
    <cellStyle name="Comma 2 2 3 29 3 2" xfId="8105"/>
    <cellStyle name="Comma 2 2 3 29 4" xfId="8106"/>
    <cellStyle name="Comma 2 2 3 29 4 2" xfId="8107"/>
    <cellStyle name="Comma 2 2 3 29 5" xfId="8108"/>
    <cellStyle name="Comma 2 2 3 29 5 2" xfId="8109"/>
    <cellStyle name="Comma 2 2 3 29 6" xfId="8110"/>
    <cellStyle name="Comma 2 2 3 29 6 2" xfId="8111"/>
    <cellStyle name="Comma 2 2 3 29 7" xfId="8112"/>
    <cellStyle name="Comma 2 2 3 29 7 2" xfId="8113"/>
    <cellStyle name="Comma 2 2 3 29 8" xfId="8114"/>
    <cellStyle name="Comma 2 2 3 29 8 2" xfId="8115"/>
    <cellStyle name="Comma 2 2 3 29 9" xfId="8116"/>
    <cellStyle name="Comma 2 2 3 29 9 2" xfId="8117"/>
    <cellStyle name="Comma 2 2 3 3" xfId="8118"/>
    <cellStyle name="Comma 2 2 3 3 10" xfId="8119"/>
    <cellStyle name="Comma 2 2 3 3 10 2" xfId="8120"/>
    <cellStyle name="Comma 2 2 3 3 11" xfId="8121"/>
    <cellStyle name="Comma 2 2 3 3 11 2" xfId="8122"/>
    <cellStyle name="Comma 2 2 3 3 12" xfId="8123"/>
    <cellStyle name="Comma 2 2 3 3 2" xfId="8124"/>
    <cellStyle name="Comma 2 2 3 3 2 2" xfId="8125"/>
    <cellStyle name="Comma 2 2 3 3 3" xfId="8126"/>
    <cellStyle name="Comma 2 2 3 3 3 2" xfId="8127"/>
    <cellStyle name="Comma 2 2 3 3 4" xfId="8128"/>
    <cellStyle name="Comma 2 2 3 3 4 2" xfId="8129"/>
    <cellStyle name="Comma 2 2 3 3 5" xfId="8130"/>
    <cellStyle name="Comma 2 2 3 3 5 2" xfId="8131"/>
    <cellStyle name="Comma 2 2 3 3 6" xfId="8132"/>
    <cellStyle name="Comma 2 2 3 3 6 2" xfId="8133"/>
    <cellStyle name="Comma 2 2 3 3 7" xfId="8134"/>
    <cellStyle name="Comma 2 2 3 3 7 2" xfId="8135"/>
    <cellStyle name="Comma 2 2 3 3 8" xfId="8136"/>
    <cellStyle name="Comma 2 2 3 3 8 2" xfId="8137"/>
    <cellStyle name="Comma 2 2 3 3 9" xfId="8138"/>
    <cellStyle name="Comma 2 2 3 3 9 2" xfId="8139"/>
    <cellStyle name="Comma 2 2 3 30" xfId="8140"/>
    <cellStyle name="Comma 2 2 3 30 10" xfId="8141"/>
    <cellStyle name="Comma 2 2 3 30 10 2" xfId="8142"/>
    <cellStyle name="Comma 2 2 3 30 11" xfId="8143"/>
    <cellStyle name="Comma 2 2 3 30 11 2" xfId="8144"/>
    <cellStyle name="Comma 2 2 3 30 12" xfId="8145"/>
    <cellStyle name="Comma 2 2 3 30 2" xfId="8146"/>
    <cellStyle name="Comma 2 2 3 30 2 2" xfId="8147"/>
    <cellStyle name="Comma 2 2 3 30 3" xfId="8148"/>
    <cellStyle name="Comma 2 2 3 30 3 2" xfId="8149"/>
    <cellStyle name="Comma 2 2 3 30 4" xfId="8150"/>
    <cellStyle name="Comma 2 2 3 30 4 2" xfId="8151"/>
    <cellStyle name="Comma 2 2 3 30 5" xfId="8152"/>
    <cellStyle name="Comma 2 2 3 30 5 2" xfId="8153"/>
    <cellStyle name="Comma 2 2 3 30 6" xfId="8154"/>
    <cellStyle name="Comma 2 2 3 30 6 2" xfId="8155"/>
    <cellStyle name="Comma 2 2 3 30 7" xfId="8156"/>
    <cellStyle name="Comma 2 2 3 30 7 2" xfId="8157"/>
    <cellStyle name="Comma 2 2 3 30 8" xfId="8158"/>
    <cellStyle name="Comma 2 2 3 30 8 2" xfId="8159"/>
    <cellStyle name="Comma 2 2 3 30 9" xfId="8160"/>
    <cellStyle name="Comma 2 2 3 30 9 2" xfId="8161"/>
    <cellStyle name="Comma 2 2 3 31" xfId="8162"/>
    <cellStyle name="Comma 2 2 3 31 10" xfId="8163"/>
    <cellStyle name="Comma 2 2 3 31 10 2" xfId="8164"/>
    <cellStyle name="Comma 2 2 3 31 11" xfId="8165"/>
    <cellStyle name="Comma 2 2 3 31 11 2" xfId="8166"/>
    <cellStyle name="Comma 2 2 3 31 12" xfId="8167"/>
    <cellStyle name="Comma 2 2 3 31 2" xfId="8168"/>
    <cellStyle name="Comma 2 2 3 31 2 2" xfId="8169"/>
    <cellStyle name="Comma 2 2 3 31 3" xfId="8170"/>
    <cellStyle name="Comma 2 2 3 31 3 2" xfId="8171"/>
    <cellStyle name="Comma 2 2 3 31 4" xfId="8172"/>
    <cellStyle name="Comma 2 2 3 31 4 2" xfId="8173"/>
    <cellStyle name="Comma 2 2 3 31 5" xfId="8174"/>
    <cellStyle name="Comma 2 2 3 31 5 2" xfId="8175"/>
    <cellStyle name="Comma 2 2 3 31 6" xfId="8176"/>
    <cellStyle name="Comma 2 2 3 31 6 2" xfId="8177"/>
    <cellStyle name="Comma 2 2 3 31 7" xfId="8178"/>
    <cellStyle name="Comma 2 2 3 31 7 2" xfId="8179"/>
    <cellStyle name="Comma 2 2 3 31 8" xfId="8180"/>
    <cellStyle name="Comma 2 2 3 31 8 2" xfId="8181"/>
    <cellStyle name="Comma 2 2 3 31 9" xfId="8182"/>
    <cellStyle name="Comma 2 2 3 31 9 2" xfId="8183"/>
    <cellStyle name="Comma 2 2 3 32" xfId="8184"/>
    <cellStyle name="Comma 2 2 3 32 10" xfId="8185"/>
    <cellStyle name="Comma 2 2 3 32 10 2" xfId="8186"/>
    <cellStyle name="Comma 2 2 3 32 11" xfId="8187"/>
    <cellStyle name="Comma 2 2 3 32 11 2" xfId="8188"/>
    <cellStyle name="Comma 2 2 3 32 12" xfId="8189"/>
    <cellStyle name="Comma 2 2 3 32 2" xfId="8190"/>
    <cellStyle name="Comma 2 2 3 32 2 2" xfId="8191"/>
    <cellStyle name="Comma 2 2 3 32 3" xfId="8192"/>
    <cellStyle name="Comma 2 2 3 32 3 2" xfId="8193"/>
    <cellStyle name="Comma 2 2 3 32 4" xfId="8194"/>
    <cellStyle name="Comma 2 2 3 32 4 2" xfId="8195"/>
    <cellStyle name="Comma 2 2 3 32 5" xfId="8196"/>
    <cellStyle name="Comma 2 2 3 32 5 2" xfId="8197"/>
    <cellStyle name="Comma 2 2 3 32 6" xfId="8198"/>
    <cellStyle name="Comma 2 2 3 32 6 2" xfId="8199"/>
    <cellStyle name="Comma 2 2 3 32 7" xfId="8200"/>
    <cellStyle name="Comma 2 2 3 32 7 2" xfId="8201"/>
    <cellStyle name="Comma 2 2 3 32 8" xfId="8202"/>
    <cellStyle name="Comma 2 2 3 32 8 2" xfId="8203"/>
    <cellStyle name="Comma 2 2 3 32 9" xfId="8204"/>
    <cellStyle name="Comma 2 2 3 32 9 2" xfId="8205"/>
    <cellStyle name="Comma 2 2 3 33" xfId="8206"/>
    <cellStyle name="Comma 2 2 3 33 10" xfId="8207"/>
    <cellStyle name="Comma 2 2 3 33 10 2" xfId="8208"/>
    <cellStyle name="Comma 2 2 3 33 11" xfId="8209"/>
    <cellStyle name="Comma 2 2 3 33 11 2" xfId="8210"/>
    <cellStyle name="Comma 2 2 3 33 12" xfId="8211"/>
    <cellStyle name="Comma 2 2 3 33 2" xfId="8212"/>
    <cellStyle name="Comma 2 2 3 33 2 2" xfId="8213"/>
    <cellStyle name="Comma 2 2 3 33 3" xfId="8214"/>
    <cellStyle name="Comma 2 2 3 33 3 2" xfId="8215"/>
    <cellStyle name="Comma 2 2 3 33 4" xfId="8216"/>
    <cellStyle name="Comma 2 2 3 33 4 2" xfId="8217"/>
    <cellStyle name="Comma 2 2 3 33 5" xfId="8218"/>
    <cellStyle name="Comma 2 2 3 33 5 2" xfId="8219"/>
    <cellStyle name="Comma 2 2 3 33 6" xfId="8220"/>
    <cellStyle name="Comma 2 2 3 33 6 2" xfId="8221"/>
    <cellStyle name="Comma 2 2 3 33 7" xfId="8222"/>
    <cellStyle name="Comma 2 2 3 33 7 2" xfId="8223"/>
    <cellStyle name="Comma 2 2 3 33 8" xfId="8224"/>
    <cellStyle name="Comma 2 2 3 33 8 2" xfId="8225"/>
    <cellStyle name="Comma 2 2 3 33 9" xfId="8226"/>
    <cellStyle name="Comma 2 2 3 33 9 2" xfId="8227"/>
    <cellStyle name="Comma 2 2 3 34" xfId="8228"/>
    <cellStyle name="Comma 2 2 3 34 10" xfId="8229"/>
    <cellStyle name="Comma 2 2 3 34 10 2" xfId="8230"/>
    <cellStyle name="Comma 2 2 3 34 11" xfId="8231"/>
    <cellStyle name="Comma 2 2 3 34 11 2" xfId="8232"/>
    <cellStyle name="Comma 2 2 3 34 12" xfId="8233"/>
    <cellStyle name="Comma 2 2 3 34 2" xfId="8234"/>
    <cellStyle name="Comma 2 2 3 34 2 2" xfId="8235"/>
    <cellStyle name="Comma 2 2 3 34 3" xfId="8236"/>
    <cellStyle name="Comma 2 2 3 34 3 2" xfId="8237"/>
    <cellStyle name="Comma 2 2 3 34 4" xfId="8238"/>
    <cellStyle name="Comma 2 2 3 34 4 2" xfId="8239"/>
    <cellStyle name="Comma 2 2 3 34 5" xfId="8240"/>
    <cellStyle name="Comma 2 2 3 34 5 2" xfId="8241"/>
    <cellStyle name="Comma 2 2 3 34 6" xfId="8242"/>
    <cellStyle name="Comma 2 2 3 34 6 2" xfId="8243"/>
    <cellStyle name="Comma 2 2 3 34 7" xfId="8244"/>
    <cellStyle name="Comma 2 2 3 34 7 2" xfId="8245"/>
    <cellStyle name="Comma 2 2 3 34 8" xfId="8246"/>
    <cellStyle name="Comma 2 2 3 34 8 2" xfId="8247"/>
    <cellStyle name="Comma 2 2 3 34 9" xfId="8248"/>
    <cellStyle name="Comma 2 2 3 34 9 2" xfId="8249"/>
    <cellStyle name="Comma 2 2 3 35" xfId="8250"/>
    <cellStyle name="Comma 2 2 3 35 10" xfId="8251"/>
    <cellStyle name="Comma 2 2 3 35 10 2" xfId="8252"/>
    <cellStyle name="Comma 2 2 3 35 11" xfId="8253"/>
    <cellStyle name="Comma 2 2 3 35 11 2" xfId="8254"/>
    <cellStyle name="Comma 2 2 3 35 12" xfId="8255"/>
    <cellStyle name="Comma 2 2 3 35 2" xfId="8256"/>
    <cellStyle name="Comma 2 2 3 35 2 2" xfId="8257"/>
    <cellStyle name="Comma 2 2 3 35 3" xfId="8258"/>
    <cellStyle name="Comma 2 2 3 35 3 2" xfId="8259"/>
    <cellStyle name="Comma 2 2 3 35 4" xfId="8260"/>
    <cellStyle name="Comma 2 2 3 35 4 2" xfId="8261"/>
    <cellStyle name="Comma 2 2 3 35 5" xfId="8262"/>
    <cellStyle name="Comma 2 2 3 35 5 2" xfId="8263"/>
    <cellStyle name="Comma 2 2 3 35 6" xfId="8264"/>
    <cellStyle name="Comma 2 2 3 35 6 2" xfId="8265"/>
    <cellStyle name="Comma 2 2 3 35 7" xfId="8266"/>
    <cellStyle name="Comma 2 2 3 35 7 2" xfId="8267"/>
    <cellStyle name="Comma 2 2 3 35 8" xfId="8268"/>
    <cellStyle name="Comma 2 2 3 35 8 2" xfId="8269"/>
    <cellStyle name="Comma 2 2 3 35 9" xfId="8270"/>
    <cellStyle name="Comma 2 2 3 35 9 2" xfId="8271"/>
    <cellStyle name="Comma 2 2 3 36" xfId="8272"/>
    <cellStyle name="Comma 2 2 3 36 10" xfId="8273"/>
    <cellStyle name="Comma 2 2 3 36 10 2" xfId="8274"/>
    <cellStyle name="Comma 2 2 3 36 11" xfId="8275"/>
    <cellStyle name="Comma 2 2 3 36 11 2" xfId="8276"/>
    <cellStyle name="Comma 2 2 3 36 12" xfId="8277"/>
    <cellStyle name="Comma 2 2 3 36 2" xfId="8278"/>
    <cellStyle name="Comma 2 2 3 36 2 2" xfId="8279"/>
    <cellStyle name="Comma 2 2 3 36 3" xfId="8280"/>
    <cellStyle name="Comma 2 2 3 36 3 2" xfId="8281"/>
    <cellStyle name="Comma 2 2 3 36 4" xfId="8282"/>
    <cellStyle name="Comma 2 2 3 36 4 2" xfId="8283"/>
    <cellStyle name="Comma 2 2 3 36 5" xfId="8284"/>
    <cellStyle name="Comma 2 2 3 36 5 2" xfId="8285"/>
    <cellStyle name="Comma 2 2 3 36 6" xfId="8286"/>
    <cellStyle name="Comma 2 2 3 36 6 2" xfId="8287"/>
    <cellStyle name="Comma 2 2 3 36 7" xfId="8288"/>
    <cellStyle name="Comma 2 2 3 36 7 2" xfId="8289"/>
    <cellStyle name="Comma 2 2 3 36 8" xfId="8290"/>
    <cellStyle name="Comma 2 2 3 36 8 2" xfId="8291"/>
    <cellStyle name="Comma 2 2 3 36 9" xfId="8292"/>
    <cellStyle name="Comma 2 2 3 36 9 2" xfId="8293"/>
    <cellStyle name="Comma 2 2 3 37" xfId="8294"/>
    <cellStyle name="Comma 2 2 3 37 10" xfId="8295"/>
    <cellStyle name="Comma 2 2 3 37 10 2" xfId="8296"/>
    <cellStyle name="Comma 2 2 3 37 11" xfId="8297"/>
    <cellStyle name="Comma 2 2 3 37 11 2" xfId="8298"/>
    <cellStyle name="Comma 2 2 3 37 12" xfId="8299"/>
    <cellStyle name="Comma 2 2 3 37 2" xfId="8300"/>
    <cellStyle name="Comma 2 2 3 37 2 2" xfId="8301"/>
    <cellStyle name="Comma 2 2 3 37 3" xfId="8302"/>
    <cellStyle name="Comma 2 2 3 37 3 2" xfId="8303"/>
    <cellStyle name="Comma 2 2 3 37 4" xfId="8304"/>
    <cellStyle name="Comma 2 2 3 37 4 2" xfId="8305"/>
    <cellStyle name="Comma 2 2 3 37 5" xfId="8306"/>
    <cellStyle name="Comma 2 2 3 37 5 2" xfId="8307"/>
    <cellStyle name="Comma 2 2 3 37 6" xfId="8308"/>
    <cellStyle name="Comma 2 2 3 37 6 2" xfId="8309"/>
    <cellStyle name="Comma 2 2 3 37 7" xfId="8310"/>
    <cellStyle name="Comma 2 2 3 37 7 2" xfId="8311"/>
    <cellStyle name="Comma 2 2 3 37 8" xfId="8312"/>
    <cellStyle name="Comma 2 2 3 37 8 2" xfId="8313"/>
    <cellStyle name="Comma 2 2 3 37 9" xfId="8314"/>
    <cellStyle name="Comma 2 2 3 37 9 2" xfId="8315"/>
    <cellStyle name="Comma 2 2 3 38" xfId="8316"/>
    <cellStyle name="Comma 2 2 3 38 10" xfId="8317"/>
    <cellStyle name="Comma 2 2 3 38 10 2" xfId="8318"/>
    <cellStyle name="Comma 2 2 3 38 11" xfId="8319"/>
    <cellStyle name="Comma 2 2 3 38 11 2" xfId="8320"/>
    <cellStyle name="Comma 2 2 3 38 12" xfId="8321"/>
    <cellStyle name="Comma 2 2 3 38 2" xfId="8322"/>
    <cellStyle name="Comma 2 2 3 38 2 2" xfId="8323"/>
    <cellStyle name="Comma 2 2 3 38 3" xfId="8324"/>
    <cellStyle name="Comma 2 2 3 38 3 2" xfId="8325"/>
    <cellStyle name="Comma 2 2 3 38 4" xfId="8326"/>
    <cellStyle name="Comma 2 2 3 38 4 2" xfId="8327"/>
    <cellStyle name="Comma 2 2 3 38 5" xfId="8328"/>
    <cellStyle name="Comma 2 2 3 38 5 2" xfId="8329"/>
    <cellStyle name="Comma 2 2 3 38 6" xfId="8330"/>
    <cellStyle name="Comma 2 2 3 38 6 2" xfId="8331"/>
    <cellStyle name="Comma 2 2 3 38 7" xfId="8332"/>
    <cellStyle name="Comma 2 2 3 38 7 2" xfId="8333"/>
    <cellStyle name="Comma 2 2 3 38 8" xfId="8334"/>
    <cellStyle name="Comma 2 2 3 38 8 2" xfId="8335"/>
    <cellStyle name="Comma 2 2 3 38 9" xfId="8336"/>
    <cellStyle name="Comma 2 2 3 38 9 2" xfId="8337"/>
    <cellStyle name="Comma 2 2 3 39" xfId="8338"/>
    <cellStyle name="Comma 2 2 3 39 10" xfId="8339"/>
    <cellStyle name="Comma 2 2 3 39 10 2" xfId="8340"/>
    <cellStyle name="Comma 2 2 3 39 11" xfId="8341"/>
    <cellStyle name="Comma 2 2 3 39 11 2" xfId="8342"/>
    <cellStyle name="Comma 2 2 3 39 12" xfId="8343"/>
    <cellStyle name="Comma 2 2 3 39 2" xfId="8344"/>
    <cellStyle name="Comma 2 2 3 39 2 2" xfId="8345"/>
    <cellStyle name="Comma 2 2 3 39 3" xfId="8346"/>
    <cellStyle name="Comma 2 2 3 39 3 2" xfId="8347"/>
    <cellStyle name="Comma 2 2 3 39 4" xfId="8348"/>
    <cellStyle name="Comma 2 2 3 39 4 2" xfId="8349"/>
    <cellStyle name="Comma 2 2 3 39 5" xfId="8350"/>
    <cellStyle name="Comma 2 2 3 39 5 2" xfId="8351"/>
    <cellStyle name="Comma 2 2 3 39 6" xfId="8352"/>
    <cellStyle name="Comma 2 2 3 39 6 2" xfId="8353"/>
    <cellStyle name="Comma 2 2 3 39 7" xfId="8354"/>
    <cellStyle name="Comma 2 2 3 39 7 2" xfId="8355"/>
    <cellStyle name="Comma 2 2 3 39 8" xfId="8356"/>
    <cellStyle name="Comma 2 2 3 39 8 2" xfId="8357"/>
    <cellStyle name="Comma 2 2 3 39 9" xfId="8358"/>
    <cellStyle name="Comma 2 2 3 39 9 2" xfId="8359"/>
    <cellStyle name="Comma 2 2 3 4" xfId="8360"/>
    <cellStyle name="Comma 2 2 3 4 10" xfId="8361"/>
    <cellStyle name="Comma 2 2 3 4 10 2" xfId="8362"/>
    <cellStyle name="Comma 2 2 3 4 11" xfId="8363"/>
    <cellStyle name="Comma 2 2 3 4 11 2" xfId="8364"/>
    <cellStyle name="Comma 2 2 3 4 12" xfId="8365"/>
    <cellStyle name="Comma 2 2 3 4 2" xfId="8366"/>
    <cellStyle name="Comma 2 2 3 4 2 2" xfId="8367"/>
    <cellStyle name="Comma 2 2 3 4 3" xfId="8368"/>
    <cellStyle name="Comma 2 2 3 4 3 2" xfId="8369"/>
    <cellStyle name="Comma 2 2 3 4 4" xfId="8370"/>
    <cellStyle name="Comma 2 2 3 4 4 2" xfId="8371"/>
    <cellStyle name="Comma 2 2 3 4 5" xfId="8372"/>
    <cellStyle name="Comma 2 2 3 4 5 2" xfId="8373"/>
    <cellStyle name="Comma 2 2 3 4 6" xfId="8374"/>
    <cellStyle name="Comma 2 2 3 4 6 2" xfId="8375"/>
    <cellStyle name="Comma 2 2 3 4 7" xfId="8376"/>
    <cellStyle name="Comma 2 2 3 4 7 2" xfId="8377"/>
    <cellStyle name="Comma 2 2 3 4 8" xfId="8378"/>
    <cellStyle name="Comma 2 2 3 4 8 2" xfId="8379"/>
    <cellStyle name="Comma 2 2 3 4 9" xfId="8380"/>
    <cellStyle name="Comma 2 2 3 4 9 2" xfId="8381"/>
    <cellStyle name="Comma 2 2 3 40" xfId="8382"/>
    <cellStyle name="Comma 2 2 3 40 2" xfId="8383"/>
    <cellStyle name="Comma 2 2 3 41" xfId="8384"/>
    <cellStyle name="Comma 2 2 3 41 2" xfId="8385"/>
    <cellStyle name="Comma 2 2 3 42" xfId="8386"/>
    <cellStyle name="Comma 2 2 3 42 2" xfId="8387"/>
    <cellStyle name="Comma 2 2 3 43" xfId="8388"/>
    <cellStyle name="Comma 2 2 3 43 2" xfId="8389"/>
    <cellStyle name="Comma 2 2 3 44" xfId="8390"/>
    <cellStyle name="Comma 2 2 3 44 2" xfId="8391"/>
    <cellStyle name="Comma 2 2 3 45" xfId="8392"/>
    <cellStyle name="Comma 2 2 3 45 2" xfId="8393"/>
    <cellStyle name="Comma 2 2 3 46" xfId="8394"/>
    <cellStyle name="Comma 2 2 3 46 2" xfId="8395"/>
    <cellStyle name="Comma 2 2 3 47" xfId="8396"/>
    <cellStyle name="Comma 2 2 3 47 2" xfId="8397"/>
    <cellStyle name="Comma 2 2 3 48" xfId="8398"/>
    <cellStyle name="Comma 2 2 3 48 2" xfId="8399"/>
    <cellStyle name="Comma 2 2 3 49" xfId="8400"/>
    <cellStyle name="Comma 2 2 3 49 2" xfId="8401"/>
    <cellStyle name="Comma 2 2 3 5" xfId="8402"/>
    <cellStyle name="Comma 2 2 3 5 10" xfId="8403"/>
    <cellStyle name="Comma 2 2 3 5 10 2" xfId="8404"/>
    <cellStyle name="Comma 2 2 3 5 11" xfId="8405"/>
    <cellStyle name="Comma 2 2 3 5 11 2" xfId="8406"/>
    <cellStyle name="Comma 2 2 3 5 12" xfId="8407"/>
    <cellStyle name="Comma 2 2 3 5 2" xfId="8408"/>
    <cellStyle name="Comma 2 2 3 5 2 2" xfId="8409"/>
    <cellStyle name="Comma 2 2 3 5 3" xfId="8410"/>
    <cellStyle name="Comma 2 2 3 5 3 2" xfId="8411"/>
    <cellStyle name="Comma 2 2 3 5 4" xfId="8412"/>
    <cellStyle name="Comma 2 2 3 5 4 2" xfId="8413"/>
    <cellStyle name="Comma 2 2 3 5 5" xfId="8414"/>
    <cellStyle name="Comma 2 2 3 5 5 2" xfId="8415"/>
    <cellStyle name="Comma 2 2 3 5 6" xfId="8416"/>
    <cellStyle name="Comma 2 2 3 5 6 2" xfId="8417"/>
    <cellStyle name="Comma 2 2 3 5 7" xfId="8418"/>
    <cellStyle name="Comma 2 2 3 5 7 2" xfId="8419"/>
    <cellStyle name="Comma 2 2 3 5 8" xfId="8420"/>
    <cellStyle name="Comma 2 2 3 5 8 2" xfId="8421"/>
    <cellStyle name="Comma 2 2 3 5 9" xfId="8422"/>
    <cellStyle name="Comma 2 2 3 5 9 2" xfId="8423"/>
    <cellStyle name="Comma 2 2 3 50" xfId="8424"/>
    <cellStyle name="Comma 2 2 3 50 2" xfId="8425"/>
    <cellStyle name="Comma 2 2 3 51" xfId="8426"/>
    <cellStyle name="Comma 2 2 3 51 2" xfId="8427"/>
    <cellStyle name="Comma 2 2 3 52" xfId="8428"/>
    <cellStyle name="Comma 2 2 3 6" xfId="8429"/>
    <cellStyle name="Comma 2 2 3 6 10" xfId="8430"/>
    <cellStyle name="Comma 2 2 3 6 10 2" xfId="8431"/>
    <cellStyle name="Comma 2 2 3 6 11" xfId="8432"/>
    <cellStyle name="Comma 2 2 3 6 11 2" xfId="8433"/>
    <cellStyle name="Comma 2 2 3 6 12" xfId="8434"/>
    <cellStyle name="Comma 2 2 3 6 2" xfId="8435"/>
    <cellStyle name="Comma 2 2 3 6 2 2" xfId="8436"/>
    <cellStyle name="Comma 2 2 3 6 3" xfId="8437"/>
    <cellStyle name="Comma 2 2 3 6 3 2" xfId="8438"/>
    <cellStyle name="Comma 2 2 3 6 4" xfId="8439"/>
    <cellStyle name="Comma 2 2 3 6 4 2" xfId="8440"/>
    <cellStyle name="Comma 2 2 3 6 5" xfId="8441"/>
    <cellStyle name="Comma 2 2 3 6 5 2" xfId="8442"/>
    <cellStyle name="Comma 2 2 3 6 6" xfId="8443"/>
    <cellStyle name="Comma 2 2 3 6 6 2" xfId="8444"/>
    <cellStyle name="Comma 2 2 3 6 7" xfId="8445"/>
    <cellStyle name="Comma 2 2 3 6 7 2" xfId="8446"/>
    <cellStyle name="Comma 2 2 3 6 8" xfId="8447"/>
    <cellStyle name="Comma 2 2 3 6 8 2" xfId="8448"/>
    <cellStyle name="Comma 2 2 3 6 9" xfId="8449"/>
    <cellStyle name="Comma 2 2 3 6 9 2" xfId="8450"/>
    <cellStyle name="Comma 2 2 3 7" xfId="8451"/>
    <cellStyle name="Comma 2 2 3 7 10" xfId="8452"/>
    <cellStyle name="Comma 2 2 3 7 10 2" xfId="8453"/>
    <cellStyle name="Comma 2 2 3 7 11" xfId="8454"/>
    <cellStyle name="Comma 2 2 3 7 11 2" xfId="8455"/>
    <cellStyle name="Comma 2 2 3 7 12" xfId="8456"/>
    <cellStyle name="Comma 2 2 3 7 2" xfId="8457"/>
    <cellStyle name="Comma 2 2 3 7 2 2" xfId="8458"/>
    <cellStyle name="Comma 2 2 3 7 3" xfId="8459"/>
    <cellStyle name="Comma 2 2 3 7 3 2" xfId="8460"/>
    <cellStyle name="Comma 2 2 3 7 4" xfId="8461"/>
    <cellStyle name="Comma 2 2 3 7 4 2" xfId="8462"/>
    <cellStyle name="Comma 2 2 3 7 5" xfId="8463"/>
    <cellStyle name="Comma 2 2 3 7 5 2" xfId="8464"/>
    <cellStyle name="Comma 2 2 3 7 6" xfId="8465"/>
    <cellStyle name="Comma 2 2 3 7 6 2" xfId="8466"/>
    <cellStyle name="Comma 2 2 3 7 7" xfId="8467"/>
    <cellStyle name="Comma 2 2 3 7 7 2" xfId="8468"/>
    <cellStyle name="Comma 2 2 3 7 8" xfId="8469"/>
    <cellStyle name="Comma 2 2 3 7 8 2" xfId="8470"/>
    <cellStyle name="Comma 2 2 3 7 9" xfId="8471"/>
    <cellStyle name="Comma 2 2 3 7 9 2" xfId="8472"/>
    <cellStyle name="Comma 2 2 3 8" xfId="8473"/>
    <cellStyle name="Comma 2 2 3 8 10" xfId="8474"/>
    <cellStyle name="Comma 2 2 3 8 10 2" xfId="8475"/>
    <cellStyle name="Comma 2 2 3 8 11" xfId="8476"/>
    <cellStyle name="Comma 2 2 3 8 11 2" xfId="8477"/>
    <cellStyle name="Comma 2 2 3 8 12" xfId="8478"/>
    <cellStyle name="Comma 2 2 3 8 2" xfId="8479"/>
    <cellStyle name="Comma 2 2 3 8 2 2" xfId="8480"/>
    <cellStyle name="Comma 2 2 3 8 3" xfId="8481"/>
    <cellStyle name="Comma 2 2 3 8 3 2" xfId="8482"/>
    <cellStyle name="Comma 2 2 3 8 4" xfId="8483"/>
    <cellStyle name="Comma 2 2 3 8 4 2" xfId="8484"/>
    <cellStyle name="Comma 2 2 3 8 5" xfId="8485"/>
    <cellStyle name="Comma 2 2 3 8 5 2" xfId="8486"/>
    <cellStyle name="Comma 2 2 3 8 6" xfId="8487"/>
    <cellStyle name="Comma 2 2 3 8 6 2" xfId="8488"/>
    <cellStyle name="Comma 2 2 3 8 7" xfId="8489"/>
    <cellStyle name="Comma 2 2 3 8 7 2" xfId="8490"/>
    <cellStyle name="Comma 2 2 3 8 8" xfId="8491"/>
    <cellStyle name="Comma 2 2 3 8 8 2" xfId="8492"/>
    <cellStyle name="Comma 2 2 3 8 9" xfId="8493"/>
    <cellStyle name="Comma 2 2 3 8 9 2" xfId="8494"/>
    <cellStyle name="Comma 2 2 3 9" xfId="8495"/>
    <cellStyle name="Comma 2 2 3 9 10" xfId="8496"/>
    <cellStyle name="Comma 2 2 3 9 10 2" xfId="8497"/>
    <cellStyle name="Comma 2 2 3 9 11" xfId="8498"/>
    <cellStyle name="Comma 2 2 3 9 11 2" xfId="8499"/>
    <cellStyle name="Comma 2 2 3 9 12" xfId="8500"/>
    <cellStyle name="Comma 2 2 3 9 2" xfId="8501"/>
    <cellStyle name="Comma 2 2 3 9 2 2" xfId="8502"/>
    <cellStyle name="Comma 2 2 3 9 3" xfId="8503"/>
    <cellStyle name="Comma 2 2 3 9 3 2" xfId="8504"/>
    <cellStyle name="Comma 2 2 3 9 4" xfId="8505"/>
    <cellStyle name="Comma 2 2 3 9 4 2" xfId="8506"/>
    <cellStyle name="Comma 2 2 3 9 5" xfId="8507"/>
    <cellStyle name="Comma 2 2 3 9 5 2" xfId="8508"/>
    <cellStyle name="Comma 2 2 3 9 6" xfId="8509"/>
    <cellStyle name="Comma 2 2 3 9 6 2" xfId="8510"/>
    <cellStyle name="Comma 2 2 3 9 7" xfId="8511"/>
    <cellStyle name="Comma 2 2 3 9 7 2" xfId="8512"/>
    <cellStyle name="Comma 2 2 3 9 8" xfId="8513"/>
    <cellStyle name="Comma 2 2 3 9 8 2" xfId="8514"/>
    <cellStyle name="Comma 2 2 3 9 9" xfId="8515"/>
    <cellStyle name="Comma 2 2 3 9 9 2" xfId="8516"/>
    <cellStyle name="Comma 2 2 30" xfId="8517"/>
    <cellStyle name="Comma 2 2 30 10" xfId="8518"/>
    <cellStyle name="Comma 2 2 30 10 2" xfId="8519"/>
    <cellStyle name="Comma 2 2 30 11" xfId="8520"/>
    <cellStyle name="Comma 2 2 30 11 2" xfId="8521"/>
    <cellStyle name="Comma 2 2 30 12" xfId="8522"/>
    <cellStyle name="Comma 2 2 30 2" xfId="8523"/>
    <cellStyle name="Comma 2 2 30 2 2" xfId="8524"/>
    <cellStyle name="Comma 2 2 30 3" xfId="8525"/>
    <cellStyle name="Comma 2 2 30 3 2" xfId="8526"/>
    <cellStyle name="Comma 2 2 30 4" xfId="8527"/>
    <cellStyle name="Comma 2 2 30 4 2" xfId="8528"/>
    <cellStyle name="Comma 2 2 30 5" xfId="8529"/>
    <cellStyle name="Comma 2 2 30 5 2" xfId="8530"/>
    <cellStyle name="Comma 2 2 30 6" xfId="8531"/>
    <cellStyle name="Comma 2 2 30 6 2" xfId="8532"/>
    <cellStyle name="Comma 2 2 30 7" xfId="8533"/>
    <cellStyle name="Comma 2 2 30 7 2" xfId="8534"/>
    <cellStyle name="Comma 2 2 30 8" xfId="8535"/>
    <cellStyle name="Comma 2 2 30 8 2" xfId="8536"/>
    <cellStyle name="Comma 2 2 30 9" xfId="8537"/>
    <cellStyle name="Comma 2 2 30 9 2" xfId="8538"/>
    <cellStyle name="Comma 2 2 31" xfId="8539"/>
    <cellStyle name="Comma 2 2 31 10" xfId="8540"/>
    <cellStyle name="Comma 2 2 31 10 2" xfId="8541"/>
    <cellStyle name="Comma 2 2 31 11" xfId="8542"/>
    <cellStyle name="Comma 2 2 31 11 2" xfId="8543"/>
    <cellStyle name="Comma 2 2 31 12" xfId="8544"/>
    <cellStyle name="Comma 2 2 31 2" xfId="8545"/>
    <cellStyle name="Comma 2 2 31 2 2" xfId="8546"/>
    <cellStyle name="Comma 2 2 31 3" xfId="8547"/>
    <cellStyle name="Comma 2 2 31 3 2" xfId="8548"/>
    <cellStyle name="Comma 2 2 31 4" xfId="8549"/>
    <cellStyle name="Comma 2 2 31 4 2" xfId="8550"/>
    <cellStyle name="Comma 2 2 31 5" xfId="8551"/>
    <cellStyle name="Comma 2 2 31 5 2" xfId="8552"/>
    <cellStyle name="Comma 2 2 31 6" xfId="8553"/>
    <cellStyle name="Comma 2 2 31 6 2" xfId="8554"/>
    <cellStyle name="Comma 2 2 31 7" xfId="8555"/>
    <cellStyle name="Comma 2 2 31 7 2" xfId="8556"/>
    <cellStyle name="Comma 2 2 31 8" xfId="8557"/>
    <cellStyle name="Comma 2 2 31 8 2" xfId="8558"/>
    <cellStyle name="Comma 2 2 31 9" xfId="8559"/>
    <cellStyle name="Comma 2 2 31 9 2" xfId="8560"/>
    <cellStyle name="Comma 2 2 32" xfId="8561"/>
    <cellStyle name="Comma 2 2 32 10" xfId="8562"/>
    <cellStyle name="Comma 2 2 32 10 2" xfId="8563"/>
    <cellStyle name="Comma 2 2 32 11" xfId="8564"/>
    <cellStyle name="Comma 2 2 32 11 2" xfId="8565"/>
    <cellStyle name="Comma 2 2 32 12" xfId="8566"/>
    <cellStyle name="Comma 2 2 32 2" xfId="8567"/>
    <cellStyle name="Comma 2 2 32 2 2" xfId="8568"/>
    <cellStyle name="Comma 2 2 32 3" xfId="8569"/>
    <cellStyle name="Comma 2 2 32 3 2" xfId="8570"/>
    <cellStyle name="Comma 2 2 32 4" xfId="8571"/>
    <cellStyle name="Comma 2 2 32 4 2" xfId="8572"/>
    <cellStyle name="Comma 2 2 32 5" xfId="8573"/>
    <cellStyle name="Comma 2 2 32 5 2" xfId="8574"/>
    <cellStyle name="Comma 2 2 32 6" xfId="8575"/>
    <cellStyle name="Comma 2 2 32 6 2" xfId="8576"/>
    <cellStyle name="Comma 2 2 32 7" xfId="8577"/>
    <cellStyle name="Comma 2 2 32 7 2" xfId="8578"/>
    <cellStyle name="Comma 2 2 32 8" xfId="8579"/>
    <cellStyle name="Comma 2 2 32 8 2" xfId="8580"/>
    <cellStyle name="Comma 2 2 32 9" xfId="8581"/>
    <cellStyle name="Comma 2 2 32 9 2" xfId="8582"/>
    <cellStyle name="Comma 2 2 33" xfId="8583"/>
    <cellStyle name="Comma 2 2 33 10" xfId="8584"/>
    <cellStyle name="Comma 2 2 33 10 2" xfId="8585"/>
    <cellStyle name="Comma 2 2 33 11" xfId="8586"/>
    <cellStyle name="Comma 2 2 33 11 2" xfId="8587"/>
    <cellStyle name="Comma 2 2 33 12" xfId="8588"/>
    <cellStyle name="Comma 2 2 33 2" xfId="8589"/>
    <cellStyle name="Comma 2 2 33 2 2" xfId="8590"/>
    <cellStyle name="Comma 2 2 33 3" xfId="8591"/>
    <cellStyle name="Comma 2 2 33 3 2" xfId="8592"/>
    <cellStyle name="Comma 2 2 33 4" xfId="8593"/>
    <cellStyle name="Comma 2 2 33 4 2" xfId="8594"/>
    <cellStyle name="Comma 2 2 33 5" xfId="8595"/>
    <cellStyle name="Comma 2 2 33 5 2" xfId="8596"/>
    <cellStyle name="Comma 2 2 33 6" xfId="8597"/>
    <cellStyle name="Comma 2 2 33 6 2" xfId="8598"/>
    <cellStyle name="Comma 2 2 33 7" xfId="8599"/>
    <cellStyle name="Comma 2 2 33 7 2" xfId="8600"/>
    <cellStyle name="Comma 2 2 33 8" xfId="8601"/>
    <cellStyle name="Comma 2 2 33 8 2" xfId="8602"/>
    <cellStyle name="Comma 2 2 33 9" xfId="8603"/>
    <cellStyle name="Comma 2 2 33 9 2" xfId="8604"/>
    <cellStyle name="Comma 2 2 34" xfId="8605"/>
    <cellStyle name="Comma 2 2 34 10" xfId="8606"/>
    <cellStyle name="Comma 2 2 34 10 2" xfId="8607"/>
    <cellStyle name="Comma 2 2 34 11" xfId="8608"/>
    <cellStyle name="Comma 2 2 34 11 2" xfId="8609"/>
    <cellStyle name="Comma 2 2 34 12" xfId="8610"/>
    <cellStyle name="Comma 2 2 34 2" xfId="8611"/>
    <cellStyle name="Comma 2 2 34 2 2" xfId="8612"/>
    <cellStyle name="Comma 2 2 34 3" xfId="8613"/>
    <cellStyle name="Comma 2 2 34 3 2" xfId="8614"/>
    <cellStyle name="Comma 2 2 34 4" xfId="8615"/>
    <cellStyle name="Comma 2 2 34 4 2" xfId="8616"/>
    <cellStyle name="Comma 2 2 34 5" xfId="8617"/>
    <cellStyle name="Comma 2 2 34 5 2" xfId="8618"/>
    <cellStyle name="Comma 2 2 34 6" xfId="8619"/>
    <cellStyle name="Comma 2 2 34 6 2" xfId="8620"/>
    <cellStyle name="Comma 2 2 34 7" xfId="8621"/>
    <cellStyle name="Comma 2 2 34 7 2" xfId="8622"/>
    <cellStyle name="Comma 2 2 34 8" xfId="8623"/>
    <cellStyle name="Comma 2 2 34 8 2" xfId="8624"/>
    <cellStyle name="Comma 2 2 34 9" xfId="8625"/>
    <cellStyle name="Comma 2 2 34 9 2" xfId="8626"/>
    <cellStyle name="Comma 2 2 35" xfId="8627"/>
    <cellStyle name="Comma 2 2 35 10" xfId="8628"/>
    <cellStyle name="Comma 2 2 35 10 2" xfId="8629"/>
    <cellStyle name="Comma 2 2 35 11" xfId="8630"/>
    <cellStyle name="Comma 2 2 35 11 2" xfId="8631"/>
    <cellStyle name="Comma 2 2 35 12" xfId="8632"/>
    <cellStyle name="Comma 2 2 35 2" xfId="8633"/>
    <cellStyle name="Comma 2 2 35 2 2" xfId="8634"/>
    <cellStyle name="Comma 2 2 35 3" xfId="8635"/>
    <cellStyle name="Comma 2 2 35 3 2" xfId="8636"/>
    <cellStyle name="Comma 2 2 35 4" xfId="8637"/>
    <cellStyle name="Comma 2 2 35 4 2" xfId="8638"/>
    <cellStyle name="Comma 2 2 35 5" xfId="8639"/>
    <cellStyle name="Comma 2 2 35 5 2" xfId="8640"/>
    <cellStyle name="Comma 2 2 35 6" xfId="8641"/>
    <cellStyle name="Comma 2 2 35 6 2" xfId="8642"/>
    <cellStyle name="Comma 2 2 35 7" xfId="8643"/>
    <cellStyle name="Comma 2 2 35 7 2" xfId="8644"/>
    <cellStyle name="Comma 2 2 35 8" xfId="8645"/>
    <cellStyle name="Comma 2 2 35 8 2" xfId="8646"/>
    <cellStyle name="Comma 2 2 35 9" xfId="8647"/>
    <cellStyle name="Comma 2 2 35 9 2" xfId="8648"/>
    <cellStyle name="Comma 2 2 36" xfId="8649"/>
    <cellStyle name="Comma 2 2 36 10" xfId="8650"/>
    <cellStyle name="Comma 2 2 36 10 2" xfId="8651"/>
    <cellStyle name="Comma 2 2 36 11" xfId="8652"/>
    <cellStyle name="Comma 2 2 36 11 2" xfId="8653"/>
    <cellStyle name="Comma 2 2 36 12" xfId="8654"/>
    <cellStyle name="Comma 2 2 36 2" xfId="8655"/>
    <cellStyle name="Comma 2 2 36 2 2" xfId="8656"/>
    <cellStyle name="Comma 2 2 36 3" xfId="8657"/>
    <cellStyle name="Comma 2 2 36 3 2" xfId="8658"/>
    <cellStyle name="Comma 2 2 36 4" xfId="8659"/>
    <cellStyle name="Comma 2 2 36 4 2" xfId="8660"/>
    <cellStyle name="Comma 2 2 36 5" xfId="8661"/>
    <cellStyle name="Comma 2 2 36 5 2" xfId="8662"/>
    <cellStyle name="Comma 2 2 36 6" xfId="8663"/>
    <cellStyle name="Comma 2 2 36 6 2" xfId="8664"/>
    <cellStyle name="Comma 2 2 36 7" xfId="8665"/>
    <cellStyle name="Comma 2 2 36 7 2" xfId="8666"/>
    <cellStyle name="Comma 2 2 36 8" xfId="8667"/>
    <cellStyle name="Comma 2 2 36 8 2" xfId="8668"/>
    <cellStyle name="Comma 2 2 36 9" xfId="8669"/>
    <cellStyle name="Comma 2 2 36 9 2" xfId="8670"/>
    <cellStyle name="Comma 2 2 37" xfId="8671"/>
    <cellStyle name="Comma 2 2 37 10" xfId="8672"/>
    <cellStyle name="Comma 2 2 37 10 2" xfId="8673"/>
    <cellStyle name="Comma 2 2 37 11" xfId="8674"/>
    <cellStyle name="Comma 2 2 37 11 2" xfId="8675"/>
    <cellStyle name="Comma 2 2 37 12" xfId="8676"/>
    <cellStyle name="Comma 2 2 37 2" xfId="8677"/>
    <cellStyle name="Comma 2 2 37 2 2" xfId="8678"/>
    <cellStyle name="Comma 2 2 37 3" xfId="8679"/>
    <cellStyle name="Comma 2 2 37 3 2" xfId="8680"/>
    <cellStyle name="Comma 2 2 37 4" xfId="8681"/>
    <cellStyle name="Comma 2 2 37 4 2" xfId="8682"/>
    <cellStyle name="Comma 2 2 37 5" xfId="8683"/>
    <cellStyle name="Comma 2 2 37 5 2" xfId="8684"/>
    <cellStyle name="Comma 2 2 37 6" xfId="8685"/>
    <cellStyle name="Comma 2 2 37 6 2" xfId="8686"/>
    <cellStyle name="Comma 2 2 37 7" xfId="8687"/>
    <cellStyle name="Comma 2 2 37 7 2" xfId="8688"/>
    <cellStyle name="Comma 2 2 37 8" xfId="8689"/>
    <cellStyle name="Comma 2 2 37 8 2" xfId="8690"/>
    <cellStyle name="Comma 2 2 37 9" xfId="8691"/>
    <cellStyle name="Comma 2 2 37 9 2" xfId="8692"/>
    <cellStyle name="Comma 2 2 38" xfId="8693"/>
    <cellStyle name="Comma 2 2 38 10" xfId="8694"/>
    <cellStyle name="Comma 2 2 38 10 2" xfId="8695"/>
    <cellStyle name="Comma 2 2 38 11" xfId="8696"/>
    <cellStyle name="Comma 2 2 38 11 2" xfId="8697"/>
    <cellStyle name="Comma 2 2 38 12" xfId="8698"/>
    <cellStyle name="Comma 2 2 38 2" xfId="8699"/>
    <cellStyle name="Comma 2 2 38 2 2" xfId="8700"/>
    <cellStyle name="Comma 2 2 38 3" xfId="8701"/>
    <cellStyle name="Comma 2 2 38 3 2" xfId="8702"/>
    <cellStyle name="Comma 2 2 38 4" xfId="8703"/>
    <cellStyle name="Comma 2 2 38 4 2" xfId="8704"/>
    <cellStyle name="Comma 2 2 38 5" xfId="8705"/>
    <cellStyle name="Comma 2 2 38 5 2" xfId="8706"/>
    <cellStyle name="Comma 2 2 38 6" xfId="8707"/>
    <cellStyle name="Comma 2 2 38 6 2" xfId="8708"/>
    <cellStyle name="Comma 2 2 38 7" xfId="8709"/>
    <cellStyle name="Comma 2 2 38 7 2" xfId="8710"/>
    <cellStyle name="Comma 2 2 38 8" xfId="8711"/>
    <cellStyle name="Comma 2 2 38 8 2" xfId="8712"/>
    <cellStyle name="Comma 2 2 38 9" xfId="8713"/>
    <cellStyle name="Comma 2 2 38 9 2" xfId="8714"/>
    <cellStyle name="Comma 2 2 39" xfId="8715"/>
    <cellStyle name="Comma 2 2 39 10" xfId="8716"/>
    <cellStyle name="Comma 2 2 39 10 2" xfId="8717"/>
    <cellStyle name="Comma 2 2 39 11" xfId="8718"/>
    <cellStyle name="Comma 2 2 39 11 2" xfId="8719"/>
    <cellStyle name="Comma 2 2 39 12" xfId="8720"/>
    <cellStyle name="Comma 2 2 39 2" xfId="8721"/>
    <cellStyle name="Comma 2 2 39 2 2" xfId="8722"/>
    <cellStyle name="Comma 2 2 39 3" xfId="8723"/>
    <cellStyle name="Comma 2 2 39 3 2" xfId="8724"/>
    <cellStyle name="Comma 2 2 39 4" xfId="8725"/>
    <cellStyle name="Comma 2 2 39 4 2" xfId="8726"/>
    <cellStyle name="Comma 2 2 39 5" xfId="8727"/>
    <cellStyle name="Comma 2 2 39 5 2" xfId="8728"/>
    <cellStyle name="Comma 2 2 39 6" xfId="8729"/>
    <cellStyle name="Comma 2 2 39 6 2" xfId="8730"/>
    <cellStyle name="Comma 2 2 39 7" xfId="8731"/>
    <cellStyle name="Comma 2 2 39 7 2" xfId="8732"/>
    <cellStyle name="Comma 2 2 39 8" xfId="8733"/>
    <cellStyle name="Comma 2 2 39 8 2" xfId="8734"/>
    <cellStyle name="Comma 2 2 39 9" xfId="8735"/>
    <cellStyle name="Comma 2 2 39 9 2" xfId="8736"/>
    <cellStyle name="Comma 2 2 4" xfId="8737"/>
    <cellStyle name="Comma 2 2 4 10" xfId="8738"/>
    <cellStyle name="Comma 2 2 4 10 10" xfId="8739"/>
    <cellStyle name="Comma 2 2 4 10 10 2" xfId="8740"/>
    <cellStyle name="Comma 2 2 4 10 11" xfId="8741"/>
    <cellStyle name="Comma 2 2 4 10 11 2" xfId="8742"/>
    <cellStyle name="Comma 2 2 4 10 12" xfId="8743"/>
    <cellStyle name="Comma 2 2 4 10 2" xfId="8744"/>
    <cellStyle name="Comma 2 2 4 10 2 2" xfId="8745"/>
    <cellStyle name="Comma 2 2 4 10 3" xfId="8746"/>
    <cellStyle name="Comma 2 2 4 10 3 2" xfId="8747"/>
    <cellStyle name="Comma 2 2 4 10 4" xfId="8748"/>
    <cellStyle name="Comma 2 2 4 10 4 2" xfId="8749"/>
    <cellStyle name="Comma 2 2 4 10 5" xfId="8750"/>
    <cellStyle name="Comma 2 2 4 10 5 2" xfId="8751"/>
    <cellStyle name="Comma 2 2 4 10 6" xfId="8752"/>
    <cellStyle name="Comma 2 2 4 10 6 2" xfId="8753"/>
    <cellStyle name="Comma 2 2 4 10 7" xfId="8754"/>
    <cellStyle name="Comma 2 2 4 10 7 2" xfId="8755"/>
    <cellStyle name="Comma 2 2 4 10 8" xfId="8756"/>
    <cellStyle name="Comma 2 2 4 10 8 2" xfId="8757"/>
    <cellStyle name="Comma 2 2 4 10 9" xfId="8758"/>
    <cellStyle name="Comma 2 2 4 10 9 2" xfId="8759"/>
    <cellStyle name="Comma 2 2 4 11" xfId="8760"/>
    <cellStyle name="Comma 2 2 4 11 10" xfId="8761"/>
    <cellStyle name="Comma 2 2 4 11 10 2" xfId="8762"/>
    <cellStyle name="Comma 2 2 4 11 11" xfId="8763"/>
    <cellStyle name="Comma 2 2 4 11 11 2" xfId="8764"/>
    <cellStyle name="Comma 2 2 4 11 12" xfId="8765"/>
    <cellStyle name="Comma 2 2 4 11 2" xfId="8766"/>
    <cellStyle name="Comma 2 2 4 11 2 2" xfId="8767"/>
    <cellStyle name="Comma 2 2 4 11 3" xfId="8768"/>
    <cellStyle name="Comma 2 2 4 11 3 2" xfId="8769"/>
    <cellStyle name="Comma 2 2 4 11 4" xfId="8770"/>
    <cellStyle name="Comma 2 2 4 11 4 2" xfId="8771"/>
    <cellStyle name="Comma 2 2 4 11 5" xfId="8772"/>
    <cellStyle name="Comma 2 2 4 11 5 2" xfId="8773"/>
    <cellStyle name="Comma 2 2 4 11 6" xfId="8774"/>
    <cellStyle name="Comma 2 2 4 11 6 2" xfId="8775"/>
    <cellStyle name="Comma 2 2 4 11 7" xfId="8776"/>
    <cellStyle name="Comma 2 2 4 11 7 2" xfId="8777"/>
    <cellStyle name="Comma 2 2 4 11 8" xfId="8778"/>
    <cellStyle name="Comma 2 2 4 11 8 2" xfId="8779"/>
    <cellStyle name="Comma 2 2 4 11 9" xfId="8780"/>
    <cellStyle name="Comma 2 2 4 11 9 2" xfId="8781"/>
    <cellStyle name="Comma 2 2 4 12" xfId="8782"/>
    <cellStyle name="Comma 2 2 4 12 10" xfId="8783"/>
    <cellStyle name="Comma 2 2 4 12 10 2" xfId="8784"/>
    <cellStyle name="Comma 2 2 4 12 11" xfId="8785"/>
    <cellStyle name="Comma 2 2 4 12 11 2" xfId="8786"/>
    <cellStyle name="Comma 2 2 4 12 12" xfId="8787"/>
    <cellStyle name="Comma 2 2 4 12 2" xfId="8788"/>
    <cellStyle name="Comma 2 2 4 12 2 2" xfId="8789"/>
    <cellStyle name="Comma 2 2 4 12 3" xfId="8790"/>
    <cellStyle name="Comma 2 2 4 12 3 2" xfId="8791"/>
    <cellStyle name="Comma 2 2 4 12 4" xfId="8792"/>
    <cellStyle name="Comma 2 2 4 12 4 2" xfId="8793"/>
    <cellStyle name="Comma 2 2 4 12 5" xfId="8794"/>
    <cellStyle name="Comma 2 2 4 12 5 2" xfId="8795"/>
    <cellStyle name="Comma 2 2 4 12 6" xfId="8796"/>
    <cellStyle name="Comma 2 2 4 12 6 2" xfId="8797"/>
    <cellStyle name="Comma 2 2 4 12 7" xfId="8798"/>
    <cellStyle name="Comma 2 2 4 12 7 2" xfId="8799"/>
    <cellStyle name="Comma 2 2 4 12 8" xfId="8800"/>
    <cellStyle name="Comma 2 2 4 12 8 2" xfId="8801"/>
    <cellStyle name="Comma 2 2 4 12 9" xfId="8802"/>
    <cellStyle name="Comma 2 2 4 12 9 2" xfId="8803"/>
    <cellStyle name="Comma 2 2 4 13" xfId="8804"/>
    <cellStyle name="Comma 2 2 4 13 10" xfId="8805"/>
    <cellStyle name="Comma 2 2 4 13 10 2" xfId="8806"/>
    <cellStyle name="Comma 2 2 4 13 11" xfId="8807"/>
    <cellStyle name="Comma 2 2 4 13 11 2" xfId="8808"/>
    <cellStyle name="Comma 2 2 4 13 12" xfId="8809"/>
    <cellStyle name="Comma 2 2 4 13 2" xfId="8810"/>
    <cellStyle name="Comma 2 2 4 13 2 2" xfId="8811"/>
    <cellStyle name="Comma 2 2 4 13 3" xfId="8812"/>
    <cellStyle name="Comma 2 2 4 13 3 2" xfId="8813"/>
    <cellStyle name="Comma 2 2 4 13 4" xfId="8814"/>
    <cellStyle name="Comma 2 2 4 13 4 2" xfId="8815"/>
    <cellStyle name="Comma 2 2 4 13 5" xfId="8816"/>
    <cellStyle name="Comma 2 2 4 13 5 2" xfId="8817"/>
    <cellStyle name="Comma 2 2 4 13 6" xfId="8818"/>
    <cellStyle name="Comma 2 2 4 13 6 2" xfId="8819"/>
    <cellStyle name="Comma 2 2 4 13 7" xfId="8820"/>
    <cellStyle name="Comma 2 2 4 13 7 2" xfId="8821"/>
    <cellStyle name="Comma 2 2 4 13 8" xfId="8822"/>
    <cellStyle name="Comma 2 2 4 13 8 2" xfId="8823"/>
    <cellStyle name="Comma 2 2 4 13 9" xfId="8824"/>
    <cellStyle name="Comma 2 2 4 13 9 2" xfId="8825"/>
    <cellStyle name="Comma 2 2 4 14" xfId="8826"/>
    <cellStyle name="Comma 2 2 4 14 10" xfId="8827"/>
    <cellStyle name="Comma 2 2 4 14 10 2" xfId="8828"/>
    <cellStyle name="Comma 2 2 4 14 11" xfId="8829"/>
    <cellStyle name="Comma 2 2 4 14 11 2" xfId="8830"/>
    <cellStyle name="Comma 2 2 4 14 12" xfId="8831"/>
    <cellStyle name="Comma 2 2 4 14 2" xfId="8832"/>
    <cellStyle name="Comma 2 2 4 14 2 2" xfId="8833"/>
    <cellStyle name="Comma 2 2 4 14 3" xfId="8834"/>
    <cellStyle name="Comma 2 2 4 14 3 2" xfId="8835"/>
    <cellStyle name="Comma 2 2 4 14 4" xfId="8836"/>
    <cellStyle name="Comma 2 2 4 14 4 2" xfId="8837"/>
    <cellStyle name="Comma 2 2 4 14 5" xfId="8838"/>
    <cellStyle name="Comma 2 2 4 14 5 2" xfId="8839"/>
    <cellStyle name="Comma 2 2 4 14 6" xfId="8840"/>
    <cellStyle name="Comma 2 2 4 14 6 2" xfId="8841"/>
    <cellStyle name="Comma 2 2 4 14 7" xfId="8842"/>
    <cellStyle name="Comma 2 2 4 14 7 2" xfId="8843"/>
    <cellStyle name="Comma 2 2 4 14 8" xfId="8844"/>
    <cellStyle name="Comma 2 2 4 14 8 2" xfId="8845"/>
    <cellStyle name="Comma 2 2 4 14 9" xfId="8846"/>
    <cellStyle name="Comma 2 2 4 14 9 2" xfId="8847"/>
    <cellStyle name="Comma 2 2 4 15" xfId="8848"/>
    <cellStyle name="Comma 2 2 4 15 10" xfId="8849"/>
    <cellStyle name="Comma 2 2 4 15 10 2" xfId="8850"/>
    <cellStyle name="Comma 2 2 4 15 11" xfId="8851"/>
    <cellStyle name="Comma 2 2 4 15 11 2" xfId="8852"/>
    <cellStyle name="Comma 2 2 4 15 12" xfId="8853"/>
    <cellStyle name="Comma 2 2 4 15 2" xfId="8854"/>
    <cellStyle name="Comma 2 2 4 15 2 2" xfId="8855"/>
    <cellStyle name="Comma 2 2 4 15 3" xfId="8856"/>
    <cellStyle name="Comma 2 2 4 15 3 2" xfId="8857"/>
    <cellStyle name="Comma 2 2 4 15 4" xfId="8858"/>
    <cellStyle name="Comma 2 2 4 15 4 2" xfId="8859"/>
    <cellStyle name="Comma 2 2 4 15 5" xfId="8860"/>
    <cellStyle name="Comma 2 2 4 15 5 2" xfId="8861"/>
    <cellStyle name="Comma 2 2 4 15 6" xfId="8862"/>
    <cellStyle name="Comma 2 2 4 15 6 2" xfId="8863"/>
    <cellStyle name="Comma 2 2 4 15 7" xfId="8864"/>
    <cellStyle name="Comma 2 2 4 15 7 2" xfId="8865"/>
    <cellStyle name="Comma 2 2 4 15 8" xfId="8866"/>
    <cellStyle name="Comma 2 2 4 15 8 2" xfId="8867"/>
    <cellStyle name="Comma 2 2 4 15 9" xfId="8868"/>
    <cellStyle name="Comma 2 2 4 15 9 2" xfId="8869"/>
    <cellStyle name="Comma 2 2 4 16" xfId="8870"/>
    <cellStyle name="Comma 2 2 4 16 10" xfId="8871"/>
    <cellStyle name="Comma 2 2 4 16 10 2" xfId="8872"/>
    <cellStyle name="Comma 2 2 4 16 11" xfId="8873"/>
    <cellStyle name="Comma 2 2 4 16 11 2" xfId="8874"/>
    <cellStyle name="Comma 2 2 4 16 12" xfId="8875"/>
    <cellStyle name="Comma 2 2 4 16 2" xfId="8876"/>
    <cellStyle name="Comma 2 2 4 16 2 2" xfId="8877"/>
    <cellStyle name="Comma 2 2 4 16 3" xfId="8878"/>
    <cellStyle name="Comma 2 2 4 16 3 2" xfId="8879"/>
    <cellStyle name="Comma 2 2 4 16 4" xfId="8880"/>
    <cellStyle name="Comma 2 2 4 16 4 2" xfId="8881"/>
    <cellStyle name="Comma 2 2 4 16 5" xfId="8882"/>
    <cellStyle name="Comma 2 2 4 16 5 2" xfId="8883"/>
    <cellStyle name="Comma 2 2 4 16 6" xfId="8884"/>
    <cellStyle name="Comma 2 2 4 16 6 2" xfId="8885"/>
    <cellStyle name="Comma 2 2 4 16 7" xfId="8886"/>
    <cellStyle name="Comma 2 2 4 16 7 2" xfId="8887"/>
    <cellStyle name="Comma 2 2 4 16 8" xfId="8888"/>
    <cellStyle name="Comma 2 2 4 16 8 2" xfId="8889"/>
    <cellStyle name="Comma 2 2 4 16 9" xfId="8890"/>
    <cellStyle name="Comma 2 2 4 16 9 2" xfId="8891"/>
    <cellStyle name="Comma 2 2 4 17" xfId="8892"/>
    <cellStyle name="Comma 2 2 4 17 10" xfId="8893"/>
    <cellStyle name="Comma 2 2 4 17 10 2" xfId="8894"/>
    <cellStyle name="Comma 2 2 4 17 11" xfId="8895"/>
    <cellStyle name="Comma 2 2 4 17 11 2" xfId="8896"/>
    <cellStyle name="Comma 2 2 4 17 12" xfId="8897"/>
    <cellStyle name="Comma 2 2 4 17 2" xfId="8898"/>
    <cellStyle name="Comma 2 2 4 17 2 2" xfId="8899"/>
    <cellStyle name="Comma 2 2 4 17 3" xfId="8900"/>
    <cellStyle name="Comma 2 2 4 17 3 2" xfId="8901"/>
    <cellStyle name="Comma 2 2 4 17 4" xfId="8902"/>
    <cellStyle name="Comma 2 2 4 17 4 2" xfId="8903"/>
    <cellStyle name="Comma 2 2 4 17 5" xfId="8904"/>
    <cellStyle name="Comma 2 2 4 17 5 2" xfId="8905"/>
    <cellStyle name="Comma 2 2 4 17 6" xfId="8906"/>
    <cellStyle name="Comma 2 2 4 17 6 2" xfId="8907"/>
    <cellStyle name="Comma 2 2 4 17 7" xfId="8908"/>
    <cellStyle name="Comma 2 2 4 17 7 2" xfId="8909"/>
    <cellStyle name="Comma 2 2 4 17 8" xfId="8910"/>
    <cellStyle name="Comma 2 2 4 17 8 2" xfId="8911"/>
    <cellStyle name="Comma 2 2 4 17 9" xfId="8912"/>
    <cellStyle name="Comma 2 2 4 17 9 2" xfId="8913"/>
    <cellStyle name="Comma 2 2 4 18" xfId="8914"/>
    <cellStyle name="Comma 2 2 4 18 10" xfId="8915"/>
    <cellStyle name="Comma 2 2 4 18 10 2" xfId="8916"/>
    <cellStyle name="Comma 2 2 4 18 11" xfId="8917"/>
    <cellStyle name="Comma 2 2 4 18 11 2" xfId="8918"/>
    <cellStyle name="Comma 2 2 4 18 12" xfId="8919"/>
    <cellStyle name="Comma 2 2 4 18 2" xfId="8920"/>
    <cellStyle name="Comma 2 2 4 18 2 2" xfId="8921"/>
    <cellStyle name="Comma 2 2 4 18 3" xfId="8922"/>
    <cellStyle name="Comma 2 2 4 18 3 2" xfId="8923"/>
    <cellStyle name="Comma 2 2 4 18 4" xfId="8924"/>
    <cellStyle name="Comma 2 2 4 18 4 2" xfId="8925"/>
    <cellStyle name="Comma 2 2 4 18 5" xfId="8926"/>
    <cellStyle name="Comma 2 2 4 18 5 2" xfId="8927"/>
    <cellStyle name="Comma 2 2 4 18 6" xfId="8928"/>
    <cellStyle name="Comma 2 2 4 18 6 2" xfId="8929"/>
    <cellStyle name="Comma 2 2 4 18 7" xfId="8930"/>
    <cellStyle name="Comma 2 2 4 18 7 2" xfId="8931"/>
    <cellStyle name="Comma 2 2 4 18 8" xfId="8932"/>
    <cellStyle name="Comma 2 2 4 18 8 2" xfId="8933"/>
    <cellStyle name="Comma 2 2 4 18 9" xfId="8934"/>
    <cellStyle name="Comma 2 2 4 18 9 2" xfId="8935"/>
    <cellStyle name="Comma 2 2 4 19" xfId="8936"/>
    <cellStyle name="Comma 2 2 4 19 10" xfId="8937"/>
    <cellStyle name="Comma 2 2 4 19 10 2" xfId="8938"/>
    <cellStyle name="Comma 2 2 4 19 11" xfId="8939"/>
    <cellStyle name="Comma 2 2 4 19 11 2" xfId="8940"/>
    <cellStyle name="Comma 2 2 4 19 12" xfId="8941"/>
    <cellStyle name="Comma 2 2 4 19 2" xfId="8942"/>
    <cellStyle name="Comma 2 2 4 19 2 2" xfId="8943"/>
    <cellStyle name="Comma 2 2 4 19 3" xfId="8944"/>
    <cellStyle name="Comma 2 2 4 19 3 2" xfId="8945"/>
    <cellStyle name="Comma 2 2 4 19 4" xfId="8946"/>
    <cellStyle name="Comma 2 2 4 19 4 2" xfId="8947"/>
    <cellStyle name="Comma 2 2 4 19 5" xfId="8948"/>
    <cellStyle name="Comma 2 2 4 19 5 2" xfId="8949"/>
    <cellStyle name="Comma 2 2 4 19 6" xfId="8950"/>
    <cellStyle name="Comma 2 2 4 19 6 2" xfId="8951"/>
    <cellStyle name="Comma 2 2 4 19 7" xfId="8952"/>
    <cellStyle name="Comma 2 2 4 19 7 2" xfId="8953"/>
    <cellStyle name="Comma 2 2 4 19 8" xfId="8954"/>
    <cellStyle name="Comma 2 2 4 19 8 2" xfId="8955"/>
    <cellStyle name="Comma 2 2 4 19 9" xfId="8956"/>
    <cellStyle name="Comma 2 2 4 19 9 2" xfId="8957"/>
    <cellStyle name="Comma 2 2 4 2" xfId="8958"/>
    <cellStyle name="Comma 2 2 4 2 10" xfId="8959"/>
    <cellStyle name="Comma 2 2 4 2 10 2" xfId="8960"/>
    <cellStyle name="Comma 2 2 4 2 11" xfId="8961"/>
    <cellStyle name="Comma 2 2 4 2 11 2" xfId="8962"/>
    <cellStyle name="Comma 2 2 4 2 12" xfId="8963"/>
    <cellStyle name="Comma 2 2 4 2 2" xfId="8964"/>
    <cellStyle name="Comma 2 2 4 2 2 2" xfId="8965"/>
    <cellStyle name="Comma 2 2 4 2 3" xfId="8966"/>
    <cellStyle name="Comma 2 2 4 2 3 2" xfId="8967"/>
    <cellStyle name="Comma 2 2 4 2 4" xfId="8968"/>
    <cellStyle name="Comma 2 2 4 2 4 2" xfId="8969"/>
    <cellStyle name="Comma 2 2 4 2 5" xfId="8970"/>
    <cellStyle name="Comma 2 2 4 2 5 2" xfId="8971"/>
    <cellStyle name="Comma 2 2 4 2 6" xfId="8972"/>
    <cellStyle name="Comma 2 2 4 2 6 2" xfId="8973"/>
    <cellStyle name="Comma 2 2 4 2 7" xfId="8974"/>
    <cellStyle name="Comma 2 2 4 2 7 2" xfId="8975"/>
    <cellStyle name="Comma 2 2 4 2 8" xfId="8976"/>
    <cellStyle name="Comma 2 2 4 2 8 2" xfId="8977"/>
    <cellStyle name="Comma 2 2 4 2 9" xfId="8978"/>
    <cellStyle name="Comma 2 2 4 2 9 2" xfId="8979"/>
    <cellStyle name="Comma 2 2 4 20" xfId="8980"/>
    <cellStyle name="Comma 2 2 4 20 10" xfId="8981"/>
    <cellStyle name="Comma 2 2 4 20 10 2" xfId="8982"/>
    <cellStyle name="Comma 2 2 4 20 11" xfId="8983"/>
    <cellStyle name="Comma 2 2 4 20 11 2" xfId="8984"/>
    <cellStyle name="Comma 2 2 4 20 12" xfId="8985"/>
    <cellStyle name="Comma 2 2 4 20 2" xfId="8986"/>
    <cellStyle name="Comma 2 2 4 20 2 2" xfId="8987"/>
    <cellStyle name="Comma 2 2 4 20 3" xfId="8988"/>
    <cellStyle name="Comma 2 2 4 20 3 2" xfId="8989"/>
    <cellStyle name="Comma 2 2 4 20 4" xfId="8990"/>
    <cellStyle name="Comma 2 2 4 20 4 2" xfId="8991"/>
    <cellStyle name="Comma 2 2 4 20 5" xfId="8992"/>
    <cellStyle name="Comma 2 2 4 20 5 2" xfId="8993"/>
    <cellStyle name="Comma 2 2 4 20 6" xfId="8994"/>
    <cellStyle name="Comma 2 2 4 20 6 2" xfId="8995"/>
    <cellStyle name="Comma 2 2 4 20 7" xfId="8996"/>
    <cellStyle name="Comma 2 2 4 20 7 2" xfId="8997"/>
    <cellStyle name="Comma 2 2 4 20 8" xfId="8998"/>
    <cellStyle name="Comma 2 2 4 20 8 2" xfId="8999"/>
    <cellStyle name="Comma 2 2 4 20 9" xfId="9000"/>
    <cellStyle name="Comma 2 2 4 20 9 2" xfId="9001"/>
    <cellStyle name="Comma 2 2 4 21" xfId="9002"/>
    <cellStyle name="Comma 2 2 4 21 10" xfId="9003"/>
    <cellStyle name="Comma 2 2 4 21 10 2" xfId="9004"/>
    <cellStyle name="Comma 2 2 4 21 11" xfId="9005"/>
    <cellStyle name="Comma 2 2 4 21 11 2" xfId="9006"/>
    <cellStyle name="Comma 2 2 4 21 12" xfId="9007"/>
    <cellStyle name="Comma 2 2 4 21 2" xfId="9008"/>
    <cellStyle name="Comma 2 2 4 21 2 2" xfId="9009"/>
    <cellStyle name="Comma 2 2 4 21 3" xfId="9010"/>
    <cellStyle name="Comma 2 2 4 21 3 2" xfId="9011"/>
    <cellStyle name="Comma 2 2 4 21 4" xfId="9012"/>
    <cellStyle name="Comma 2 2 4 21 4 2" xfId="9013"/>
    <cellStyle name="Comma 2 2 4 21 5" xfId="9014"/>
    <cellStyle name="Comma 2 2 4 21 5 2" xfId="9015"/>
    <cellStyle name="Comma 2 2 4 21 6" xfId="9016"/>
    <cellStyle name="Comma 2 2 4 21 6 2" xfId="9017"/>
    <cellStyle name="Comma 2 2 4 21 7" xfId="9018"/>
    <cellStyle name="Comma 2 2 4 21 7 2" xfId="9019"/>
    <cellStyle name="Comma 2 2 4 21 8" xfId="9020"/>
    <cellStyle name="Comma 2 2 4 21 8 2" xfId="9021"/>
    <cellStyle name="Comma 2 2 4 21 9" xfId="9022"/>
    <cellStyle name="Comma 2 2 4 21 9 2" xfId="9023"/>
    <cellStyle name="Comma 2 2 4 22" xfId="9024"/>
    <cellStyle name="Comma 2 2 4 22 10" xfId="9025"/>
    <cellStyle name="Comma 2 2 4 22 10 2" xfId="9026"/>
    <cellStyle name="Comma 2 2 4 22 11" xfId="9027"/>
    <cellStyle name="Comma 2 2 4 22 11 2" xfId="9028"/>
    <cellStyle name="Comma 2 2 4 22 12" xfId="9029"/>
    <cellStyle name="Comma 2 2 4 22 2" xfId="9030"/>
    <cellStyle name="Comma 2 2 4 22 2 2" xfId="9031"/>
    <cellStyle name="Comma 2 2 4 22 3" xfId="9032"/>
    <cellStyle name="Comma 2 2 4 22 3 2" xfId="9033"/>
    <cellStyle name="Comma 2 2 4 22 4" xfId="9034"/>
    <cellStyle name="Comma 2 2 4 22 4 2" xfId="9035"/>
    <cellStyle name="Comma 2 2 4 22 5" xfId="9036"/>
    <cellStyle name="Comma 2 2 4 22 5 2" xfId="9037"/>
    <cellStyle name="Comma 2 2 4 22 6" xfId="9038"/>
    <cellStyle name="Comma 2 2 4 22 6 2" xfId="9039"/>
    <cellStyle name="Comma 2 2 4 22 7" xfId="9040"/>
    <cellStyle name="Comma 2 2 4 22 7 2" xfId="9041"/>
    <cellStyle name="Comma 2 2 4 22 8" xfId="9042"/>
    <cellStyle name="Comma 2 2 4 22 8 2" xfId="9043"/>
    <cellStyle name="Comma 2 2 4 22 9" xfId="9044"/>
    <cellStyle name="Comma 2 2 4 22 9 2" xfId="9045"/>
    <cellStyle name="Comma 2 2 4 23" xfId="9046"/>
    <cellStyle name="Comma 2 2 4 23 10" xfId="9047"/>
    <cellStyle name="Comma 2 2 4 23 10 2" xfId="9048"/>
    <cellStyle name="Comma 2 2 4 23 11" xfId="9049"/>
    <cellStyle name="Comma 2 2 4 23 11 2" xfId="9050"/>
    <cellStyle name="Comma 2 2 4 23 12" xfId="9051"/>
    <cellStyle name="Comma 2 2 4 23 2" xfId="9052"/>
    <cellStyle name="Comma 2 2 4 23 2 2" xfId="9053"/>
    <cellStyle name="Comma 2 2 4 23 3" xfId="9054"/>
    <cellStyle name="Comma 2 2 4 23 3 2" xfId="9055"/>
    <cellStyle name="Comma 2 2 4 23 4" xfId="9056"/>
    <cellStyle name="Comma 2 2 4 23 4 2" xfId="9057"/>
    <cellStyle name="Comma 2 2 4 23 5" xfId="9058"/>
    <cellStyle name="Comma 2 2 4 23 5 2" xfId="9059"/>
    <cellStyle name="Comma 2 2 4 23 6" xfId="9060"/>
    <cellStyle name="Comma 2 2 4 23 6 2" xfId="9061"/>
    <cellStyle name="Comma 2 2 4 23 7" xfId="9062"/>
    <cellStyle name="Comma 2 2 4 23 7 2" xfId="9063"/>
    <cellStyle name="Comma 2 2 4 23 8" xfId="9064"/>
    <cellStyle name="Comma 2 2 4 23 8 2" xfId="9065"/>
    <cellStyle name="Comma 2 2 4 23 9" xfId="9066"/>
    <cellStyle name="Comma 2 2 4 23 9 2" xfId="9067"/>
    <cellStyle name="Comma 2 2 4 24" xfId="9068"/>
    <cellStyle name="Comma 2 2 4 24 10" xfId="9069"/>
    <cellStyle name="Comma 2 2 4 24 10 2" xfId="9070"/>
    <cellStyle name="Comma 2 2 4 24 11" xfId="9071"/>
    <cellStyle name="Comma 2 2 4 24 11 2" xfId="9072"/>
    <cellStyle name="Comma 2 2 4 24 12" xfId="9073"/>
    <cellStyle name="Comma 2 2 4 24 2" xfId="9074"/>
    <cellStyle name="Comma 2 2 4 24 2 2" xfId="9075"/>
    <cellStyle name="Comma 2 2 4 24 3" xfId="9076"/>
    <cellStyle name="Comma 2 2 4 24 3 2" xfId="9077"/>
    <cellStyle name="Comma 2 2 4 24 4" xfId="9078"/>
    <cellStyle name="Comma 2 2 4 24 4 2" xfId="9079"/>
    <cellStyle name="Comma 2 2 4 24 5" xfId="9080"/>
    <cellStyle name="Comma 2 2 4 24 5 2" xfId="9081"/>
    <cellStyle name="Comma 2 2 4 24 6" xfId="9082"/>
    <cellStyle name="Comma 2 2 4 24 6 2" xfId="9083"/>
    <cellStyle name="Comma 2 2 4 24 7" xfId="9084"/>
    <cellStyle name="Comma 2 2 4 24 7 2" xfId="9085"/>
    <cellStyle name="Comma 2 2 4 24 8" xfId="9086"/>
    <cellStyle name="Comma 2 2 4 24 8 2" xfId="9087"/>
    <cellStyle name="Comma 2 2 4 24 9" xfId="9088"/>
    <cellStyle name="Comma 2 2 4 24 9 2" xfId="9089"/>
    <cellStyle name="Comma 2 2 4 25" xfId="9090"/>
    <cellStyle name="Comma 2 2 4 25 10" xfId="9091"/>
    <cellStyle name="Comma 2 2 4 25 10 2" xfId="9092"/>
    <cellStyle name="Comma 2 2 4 25 11" xfId="9093"/>
    <cellStyle name="Comma 2 2 4 25 11 2" xfId="9094"/>
    <cellStyle name="Comma 2 2 4 25 12" xfId="9095"/>
    <cellStyle name="Comma 2 2 4 25 2" xfId="9096"/>
    <cellStyle name="Comma 2 2 4 25 2 2" xfId="9097"/>
    <cellStyle name="Comma 2 2 4 25 3" xfId="9098"/>
    <cellStyle name="Comma 2 2 4 25 3 2" xfId="9099"/>
    <cellStyle name="Comma 2 2 4 25 4" xfId="9100"/>
    <cellStyle name="Comma 2 2 4 25 4 2" xfId="9101"/>
    <cellStyle name="Comma 2 2 4 25 5" xfId="9102"/>
    <cellStyle name="Comma 2 2 4 25 5 2" xfId="9103"/>
    <cellStyle name="Comma 2 2 4 25 6" xfId="9104"/>
    <cellStyle name="Comma 2 2 4 25 6 2" xfId="9105"/>
    <cellStyle name="Comma 2 2 4 25 7" xfId="9106"/>
    <cellStyle name="Comma 2 2 4 25 7 2" xfId="9107"/>
    <cellStyle name="Comma 2 2 4 25 8" xfId="9108"/>
    <cellStyle name="Comma 2 2 4 25 8 2" xfId="9109"/>
    <cellStyle name="Comma 2 2 4 25 9" xfId="9110"/>
    <cellStyle name="Comma 2 2 4 25 9 2" xfId="9111"/>
    <cellStyle name="Comma 2 2 4 26" xfId="9112"/>
    <cellStyle name="Comma 2 2 4 26 10" xfId="9113"/>
    <cellStyle name="Comma 2 2 4 26 10 2" xfId="9114"/>
    <cellStyle name="Comma 2 2 4 26 11" xfId="9115"/>
    <cellStyle name="Comma 2 2 4 26 11 2" xfId="9116"/>
    <cellStyle name="Comma 2 2 4 26 12" xfId="9117"/>
    <cellStyle name="Comma 2 2 4 26 2" xfId="9118"/>
    <cellStyle name="Comma 2 2 4 26 2 2" xfId="9119"/>
    <cellStyle name="Comma 2 2 4 26 3" xfId="9120"/>
    <cellStyle name="Comma 2 2 4 26 3 2" xfId="9121"/>
    <cellStyle name="Comma 2 2 4 26 4" xfId="9122"/>
    <cellStyle name="Comma 2 2 4 26 4 2" xfId="9123"/>
    <cellStyle name="Comma 2 2 4 26 5" xfId="9124"/>
    <cellStyle name="Comma 2 2 4 26 5 2" xfId="9125"/>
    <cellStyle name="Comma 2 2 4 26 6" xfId="9126"/>
    <cellStyle name="Comma 2 2 4 26 6 2" xfId="9127"/>
    <cellStyle name="Comma 2 2 4 26 7" xfId="9128"/>
    <cellStyle name="Comma 2 2 4 26 7 2" xfId="9129"/>
    <cellStyle name="Comma 2 2 4 26 8" xfId="9130"/>
    <cellStyle name="Comma 2 2 4 26 8 2" xfId="9131"/>
    <cellStyle name="Comma 2 2 4 26 9" xfId="9132"/>
    <cellStyle name="Comma 2 2 4 26 9 2" xfId="9133"/>
    <cellStyle name="Comma 2 2 4 27" xfId="9134"/>
    <cellStyle name="Comma 2 2 4 27 10" xfId="9135"/>
    <cellStyle name="Comma 2 2 4 27 10 2" xfId="9136"/>
    <cellStyle name="Comma 2 2 4 27 11" xfId="9137"/>
    <cellStyle name="Comma 2 2 4 27 11 2" xfId="9138"/>
    <cellStyle name="Comma 2 2 4 27 12" xfId="9139"/>
    <cellStyle name="Comma 2 2 4 27 2" xfId="9140"/>
    <cellStyle name="Comma 2 2 4 27 2 2" xfId="9141"/>
    <cellStyle name="Comma 2 2 4 27 3" xfId="9142"/>
    <cellStyle name="Comma 2 2 4 27 3 2" xfId="9143"/>
    <cellStyle name="Comma 2 2 4 27 4" xfId="9144"/>
    <cellStyle name="Comma 2 2 4 27 4 2" xfId="9145"/>
    <cellStyle name="Comma 2 2 4 27 5" xfId="9146"/>
    <cellStyle name="Comma 2 2 4 27 5 2" xfId="9147"/>
    <cellStyle name="Comma 2 2 4 27 6" xfId="9148"/>
    <cellStyle name="Comma 2 2 4 27 6 2" xfId="9149"/>
    <cellStyle name="Comma 2 2 4 27 7" xfId="9150"/>
    <cellStyle name="Comma 2 2 4 27 7 2" xfId="9151"/>
    <cellStyle name="Comma 2 2 4 27 8" xfId="9152"/>
    <cellStyle name="Comma 2 2 4 27 8 2" xfId="9153"/>
    <cellStyle name="Comma 2 2 4 27 9" xfId="9154"/>
    <cellStyle name="Comma 2 2 4 27 9 2" xfId="9155"/>
    <cellStyle name="Comma 2 2 4 28" xfId="9156"/>
    <cellStyle name="Comma 2 2 4 28 10" xfId="9157"/>
    <cellStyle name="Comma 2 2 4 28 10 2" xfId="9158"/>
    <cellStyle name="Comma 2 2 4 28 11" xfId="9159"/>
    <cellStyle name="Comma 2 2 4 28 11 2" xfId="9160"/>
    <cellStyle name="Comma 2 2 4 28 12" xfId="9161"/>
    <cellStyle name="Comma 2 2 4 28 2" xfId="9162"/>
    <cellStyle name="Comma 2 2 4 28 2 2" xfId="9163"/>
    <cellStyle name="Comma 2 2 4 28 3" xfId="9164"/>
    <cellStyle name="Comma 2 2 4 28 3 2" xfId="9165"/>
    <cellStyle name="Comma 2 2 4 28 4" xfId="9166"/>
    <cellStyle name="Comma 2 2 4 28 4 2" xfId="9167"/>
    <cellStyle name="Comma 2 2 4 28 5" xfId="9168"/>
    <cellStyle name="Comma 2 2 4 28 5 2" xfId="9169"/>
    <cellStyle name="Comma 2 2 4 28 6" xfId="9170"/>
    <cellStyle name="Comma 2 2 4 28 6 2" xfId="9171"/>
    <cellStyle name="Comma 2 2 4 28 7" xfId="9172"/>
    <cellStyle name="Comma 2 2 4 28 7 2" xfId="9173"/>
    <cellStyle name="Comma 2 2 4 28 8" xfId="9174"/>
    <cellStyle name="Comma 2 2 4 28 8 2" xfId="9175"/>
    <cellStyle name="Comma 2 2 4 28 9" xfId="9176"/>
    <cellStyle name="Comma 2 2 4 28 9 2" xfId="9177"/>
    <cellStyle name="Comma 2 2 4 29" xfId="9178"/>
    <cellStyle name="Comma 2 2 4 29 10" xfId="9179"/>
    <cellStyle name="Comma 2 2 4 29 10 2" xfId="9180"/>
    <cellStyle name="Comma 2 2 4 29 11" xfId="9181"/>
    <cellStyle name="Comma 2 2 4 29 11 2" xfId="9182"/>
    <cellStyle name="Comma 2 2 4 29 12" xfId="9183"/>
    <cellStyle name="Comma 2 2 4 29 2" xfId="9184"/>
    <cellStyle name="Comma 2 2 4 29 2 2" xfId="9185"/>
    <cellStyle name="Comma 2 2 4 29 3" xfId="9186"/>
    <cellStyle name="Comma 2 2 4 29 3 2" xfId="9187"/>
    <cellStyle name="Comma 2 2 4 29 4" xfId="9188"/>
    <cellStyle name="Comma 2 2 4 29 4 2" xfId="9189"/>
    <cellStyle name="Comma 2 2 4 29 5" xfId="9190"/>
    <cellStyle name="Comma 2 2 4 29 5 2" xfId="9191"/>
    <cellStyle name="Comma 2 2 4 29 6" xfId="9192"/>
    <cellStyle name="Comma 2 2 4 29 6 2" xfId="9193"/>
    <cellStyle name="Comma 2 2 4 29 7" xfId="9194"/>
    <cellStyle name="Comma 2 2 4 29 7 2" xfId="9195"/>
    <cellStyle name="Comma 2 2 4 29 8" xfId="9196"/>
    <cellStyle name="Comma 2 2 4 29 8 2" xfId="9197"/>
    <cellStyle name="Comma 2 2 4 29 9" xfId="9198"/>
    <cellStyle name="Comma 2 2 4 29 9 2" xfId="9199"/>
    <cellStyle name="Comma 2 2 4 3" xfId="9200"/>
    <cellStyle name="Comma 2 2 4 3 10" xfId="9201"/>
    <cellStyle name="Comma 2 2 4 3 10 2" xfId="9202"/>
    <cellStyle name="Comma 2 2 4 3 11" xfId="9203"/>
    <cellStyle name="Comma 2 2 4 3 11 2" xfId="9204"/>
    <cellStyle name="Comma 2 2 4 3 12" xfId="9205"/>
    <cellStyle name="Comma 2 2 4 3 2" xfId="9206"/>
    <cellStyle name="Comma 2 2 4 3 2 2" xfId="9207"/>
    <cellStyle name="Comma 2 2 4 3 3" xfId="9208"/>
    <cellStyle name="Comma 2 2 4 3 3 2" xfId="9209"/>
    <cellStyle name="Comma 2 2 4 3 4" xfId="9210"/>
    <cellStyle name="Comma 2 2 4 3 4 2" xfId="9211"/>
    <cellStyle name="Comma 2 2 4 3 5" xfId="9212"/>
    <cellStyle name="Comma 2 2 4 3 5 2" xfId="9213"/>
    <cellStyle name="Comma 2 2 4 3 6" xfId="9214"/>
    <cellStyle name="Comma 2 2 4 3 6 2" xfId="9215"/>
    <cellStyle name="Comma 2 2 4 3 7" xfId="9216"/>
    <cellStyle name="Comma 2 2 4 3 7 2" xfId="9217"/>
    <cellStyle name="Comma 2 2 4 3 8" xfId="9218"/>
    <cellStyle name="Comma 2 2 4 3 8 2" xfId="9219"/>
    <cellStyle name="Comma 2 2 4 3 9" xfId="9220"/>
    <cellStyle name="Comma 2 2 4 3 9 2" xfId="9221"/>
    <cellStyle name="Comma 2 2 4 30" xfId="9222"/>
    <cellStyle name="Comma 2 2 4 30 10" xfId="9223"/>
    <cellStyle name="Comma 2 2 4 30 10 2" xfId="9224"/>
    <cellStyle name="Comma 2 2 4 30 11" xfId="9225"/>
    <cellStyle name="Comma 2 2 4 30 11 2" xfId="9226"/>
    <cellStyle name="Comma 2 2 4 30 12" xfId="9227"/>
    <cellStyle name="Comma 2 2 4 30 2" xfId="9228"/>
    <cellStyle name="Comma 2 2 4 30 2 2" xfId="9229"/>
    <cellStyle name="Comma 2 2 4 30 3" xfId="9230"/>
    <cellStyle name="Comma 2 2 4 30 3 2" xfId="9231"/>
    <cellStyle name="Comma 2 2 4 30 4" xfId="9232"/>
    <cellStyle name="Comma 2 2 4 30 4 2" xfId="9233"/>
    <cellStyle name="Comma 2 2 4 30 5" xfId="9234"/>
    <cellStyle name="Comma 2 2 4 30 5 2" xfId="9235"/>
    <cellStyle name="Comma 2 2 4 30 6" xfId="9236"/>
    <cellStyle name="Comma 2 2 4 30 6 2" xfId="9237"/>
    <cellStyle name="Comma 2 2 4 30 7" xfId="9238"/>
    <cellStyle name="Comma 2 2 4 30 7 2" xfId="9239"/>
    <cellStyle name="Comma 2 2 4 30 8" xfId="9240"/>
    <cellStyle name="Comma 2 2 4 30 8 2" xfId="9241"/>
    <cellStyle name="Comma 2 2 4 30 9" xfId="9242"/>
    <cellStyle name="Comma 2 2 4 30 9 2" xfId="9243"/>
    <cellStyle name="Comma 2 2 4 31" xfId="9244"/>
    <cellStyle name="Comma 2 2 4 31 10" xfId="9245"/>
    <cellStyle name="Comma 2 2 4 31 10 2" xfId="9246"/>
    <cellStyle name="Comma 2 2 4 31 11" xfId="9247"/>
    <cellStyle name="Comma 2 2 4 31 11 2" xfId="9248"/>
    <cellStyle name="Comma 2 2 4 31 12" xfId="9249"/>
    <cellStyle name="Comma 2 2 4 31 2" xfId="9250"/>
    <cellStyle name="Comma 2 2 4 31 2 2" xfId="9251"/>
    <cellStyle name="Comma 2 2 4 31 3" xfId="9252"/>
    <cellStyle name="Comma 2 2 4 31 3 2" xfId="9253"/>
    <cellStyle name="Comma 2 2 4 31 4" xfId="9254"/>
    <cellStyle name="Comma 2 2 4 31 4 2" xfId="9255"/>
    <cellStyle name="Comma 2 2 4 31 5" xfId="9256"/>
    <cellStyle name="Comma 2 2 4 31 5 2" xfId="9257"/>
    <cellStyle name="Comma 2 2 4 31 6" xfId="9258"/>
    <cellStyle name="Comma 2 2 4 31 6 2" xfId="9259"/>
    <cellStyle name="Comma 2 2 4 31 7" xfId="9260"/>
    <cellStyle name="Comma 2 2 4 31 7 2" xfId="9261"/>
    <cellStyle name="Comma 2 2 4 31 8" xfId="9262"/>
    <cellStyle name="Comma 2 2 4 31 8 2" xfId="9263"/>
    <cellStyle name="Comma 2 2 4 31 9" xfId="9264"/>
    <cellStyle name="Comma 2 2 4 31 9 2" xfId="9265"/>
    <cellStyle name="Comma 2 2 4 32" xfId="9266"/>
    <cellStyle name="Comma 2 2 4 32 10" xfId="9267"/>
    <cellStyle name="Comma 2 2 4 32 10 2" xfId="9268"/>
    <cellStyle name="Comma 2 2 4 32 11" xfId="9269"/>
    <cellStyle name="Comma 2 2 4 32 11 2" xfId="9270"/>
    <cellStyle name="Comma 2 2 4 32 12" xfId="9271"/>
    <cellStyle name="Comma 2 2 4 32 2" xfId="9272"/>
    <cellStyle name="Comma 2 2 4 32 2 2" xfId="9273"/>
    <cellStyle name="Comma 2 2 4 32 3" xfId="9274"/>
    <cellStyle name="Comma 2 2 4 32 3 2" xfId="9275"/>
    <cellStyle name="Comma 2 2 4 32 4" xfId="9276"/>
    <cellStyle name="Comma 2 2 4 32 4 2" xfId="9277"/>
    <cellStyle name="Comma 2 2 4 32 5" xfId="9278"/>
    <cellStyle name="Comma 2 2 4 32 5 2" xfId="9279"/>
    <cellStyle name="Comma 2 2 4 32 6" xfId="9280"/>
    <cellStyle name="Comma 2 2 4 32 6 2" xfId="9281"/>
    <cellStyle name="Comma 2 2 4 32 7" xfId="9282"/>
    <cellStyle name="Comma 2 2 4 32 7 2" xfId="9283"/>
    <cellStyle name="Comma 2 2 4 32 8" xfId="9284"/>
    <cellStyle name="Comma 2 2 4 32 8 2" xfId="9285"/>
    <cellStyle name="Comma 2 2 4 32 9" xfId="9286"/>
    <cellStyle name="Comma 2 2 4 32 9 2" xfId="9287"/>
    <cellStyle name="Comma 2 2 4 33" xfId="9288"/>
    <cellStyle name="Comma 2 2 4 33 10" xfId="9289"/>
    <cellStyle name="Comma 2 2 4 33 10 2" xfId="9290"/>
    <cellStyle name="Comma 2 2 4 33 11" xfId="9291"/>
    <cellStyle name="Comma 2 2 4 33 11 2" xfId="9292"/>
    <cellStyle name="Comma 2 2 4 33 12" xfId="9293"/>
    <cellStyle name="Comma 2 2 4 33 2" xfId="9294"/>
    <cellStyle name="Comma 2 2 4 33 2 2" xfId="9295"/>
    <cellStyle name="Comma 2 2 4 33 3" xfId="9296"/>
    <cellStyle name="Comma 2 2 4 33 3 2" xfId="9297"/>
    <cellStyle name="Comma 2 2 4 33 4" xfId="9298"/>
    <cellStyle name="Comma 2 2 4 33 4 2" xfId="9299"/>
    <cellStyle name="Comma 2 2 4 33 5" xfId="9300"/>
    <cellStyle name="Comma 2 2 4 33 5 2" xfId="9301"/>
    <cellStyle name="Comma 2 2 4 33 6" xfId="9302"/>
    <cellStyle name="Comma 2 2 4 33 6 2" xfId="9303"/>
    <cellStyle name="Comma 2 2 4 33 7" xfId="9304"/>
    <cellStyle name="Comma 2 2 4 33 7 2" xfId="9305"/>
    <cellStyle name="Comma 2 2 4 33 8" xfId="9306"/>
    <cellStyle name="Comma 2 2 4 33 8 2" xfId="9307"/>
    <cellStyle name="Comma 2 2 4 33 9" xfId="9308"/>
    <cellStyle name="Comma 2 2 4 33 9 2" xfId="9309"/>
    <cellStyle name="Comma 2 2 4 34" xfId="9310"/>
    <cellStyle name="Comma 2 2 4 34 10" xfId="9311"/>
    <cellStyle name="Comma 2 2 4 34 10 2" xfId="9312"/>
    <cellStyle name="Comma 2 2 4 34 11" xfId="9313"/>
    <cellStyle name="Comma 2 2 4 34 11 2" xfId="9314"/>
    <cellStyle name="Comma 2 2 4 34 12" xfId="9315"/>
    <cellStyle name="Comma 2 2 4 34 2" xfId="9316"/>
    <cellStyle name="Comma 2 2 4 34 2 2" xfId="9317"/>
    <cellStyle name="Comma 2 2 4 34 3" xfId="9318"/>
    <cellStyle name="Comma 2 2 4 34 3 2" xfId="9319"/>
    <cellStyle name="Comma 2 2 4 34 4" xfId="9320"/>
    <cellStyle name="Comma 2 2 4 34 4 2" xfId="9321"/>
    <cellStyle name="Comma 2 2 4 34 5" xfId="9322"/>
    <cellStyle name="Comma 2 2 4 34 5 2" xfId="9323"/>
    <cellStyle name="Comma 2 2 4 34 6" xfId="9324"/>
    <cellStyle name="Comma 2 2 4 34 6 2" xfId="9325"/>
    <cellStyle name="Comma 2 2 4 34 7" xfId="9326"/>
    <cellStyle name="Comma 2 2 4 34 7 2" xfId="9327"/>
    <cellStyle name="Comma 2 2 4 34 8" xfId="9328"/>
    <cellStyle name="Comma 2 2 4 34 8 2" xfId="9329"/>
    <cellStyle name="Comma 2 2 4 34 9" xfId="9330"/>
    <cellStyle name="Comma 2 2 4 34 9 2" xfId="9331"/>
    <cellStyle name="Comma 2 2 4 35" xfId="9332"/>
    <cellStyle name="Comma 2 2 4 35 10" xfId="9333"/>
    <cellStyle name="Comma 2 2 4 35 10 2" xfId="9334"/>
    <cellStyle name="Comma 2 2 4 35 11" xfId="9335"/>
    <cellStyle name="Comma 2 2 4 35 11 2" xfId="9336"/>
    <cellStyle name="Comma 2 2 4 35 12" xfId="9337"/>
    <cellStyle name="Comma 2 2 4 35 2" xfId="9338"/>
    <cellStyle name="Comma 2 2 4 35 2 2" xfId="9339"/>
    <cellStyle name="Comma 2 2 4 35 3" xfId="9340"/>
    <cellStyle name="Comma 2 2 4 35 3 2" xfId="9341"/>
    <cellStyle name="Comma 2 2 4 35 4" xfId="9342"/>
    <cellStyle name="Comma 2 2 4 35 4 2" xfId="9343"/>
    <cellStyle name="Comma 2 2 4 35 5" xfId="9344"/>
    <cellStyle name="Comma 2 2 4 35 5 2" xfId="9345"/>
    <cellStyle name="Comma 2 2 4 35 6" xfId="9346"/>
    <cellStyle name="Comma 2 2 4 35 6 2" xfId="9347"/>
    <cellStyle name="Comma 2 2 4 35 7" xfId="9348"/>
    <cellStyle name="Comma 2 2 4 35 7 2" xfId="9349"/>
    <cellStyle name="Comma 2 2 4 35 8" xfId="9350"/>
    <cellStyle name="Comma 2 2 4 35 8 2" xfId="9351"/>
    <cellStyle name="Comma 2 2 4 35 9" xfId="9352"/>
    <cellStyle name="Comma 2 2 4 35 9 2" xfId="9353"/>
    <cellStyle name="Comma 2 2 4 36" xfId="9354"/>
    <cellStyle name="Comma 2 2 4 36 10" xfId="9355"/>
    <cellStyle name="Comma 2 2 4 36 10 2" xfId="9356"/>
    <cellStyle name="Comma 2 2 4 36 11" xfId="9357"/>
    <cellStyle name="Comma 2 2 4 36 11 2" xfId="9358"/>
    <cellStyle name="Comma 2 2 4 36 12" xfId="9359"/>
    <cellStyle name="Comma 2 2 4 36 2" xfId="9360"/>
    <cellStyle name="Comma 2 2 4 36 2 2" xfId="9361"/>
    <cellStyle name="Comma 2 2 4 36 3" xfId="9362"/>
    <cellStyle name="Comma 2 2 4 36 3 2" xfId="9363"/>
    <cellStyle name="Comma 2 2 4 36 4" xfId="9364"/>
    <cellStyle name="Comma 2 2 4 36 4 2" xfId="9365"/>
    <cellStyle name="Comma 2 2 4 36 5" xfId="9366"/>
    <cellStyle name="Comma 2 2 4 36 5 2" xfId="9367"/>
    <cellStyle name="Comma 2 2 4 36 6" xfId="9368"/>
    <cellStyle name="Comma 2 2 4 36 6 2" xfId="9369"/>
    <cellStyle name="Comma 2 2 4 36 7" xfId="9370"/>
    <cellStyle name="Comma 2 2 4 36 7 2" xfId="9371"/>
    <cellStyle name="Comma 2 2 4 36 8" xfId="9372"/>
    <cellStyle name="Comma 2 2 4 36 8 2" xfId="9373"/>
    <cellStyle name="Comma 2 2 4 36 9" xfId="9374"/>
    <cellStyle name="Comma 2 2 4 36 9 2" xfId="9375"/>
    <cellStyle name="Comma 2 2 4 37" xfId="9376"/>
    <cellStyle name="Comma 2 2 4 37 10" xfId="9377"/>
    <cellStyle name="Comma 2 2 4 37 10 2" xfId="9378"/>
    <cellStyle name="Comma 2 2 4 37 11" xfId="9379"/>
    <cellStyle name="Comma 2 2 4 37 11 2" xfId="9380"/>
    <cellStyle name="Comma 2 2 4 37 12" xfId="9381"/>
    <cellStyle name="Comma 2 2 4 37 2" xfId="9382"/>
    <cellStyle name="Comma 2 2 4 37 2 2" xfId="9383"/>
    <cellStyle name="Comma 2 2 4 37 3" xfId="9384"/>
    <cellStyle name="Comma 2 2 4 37 3 2" xfId="9385"/>
    <cellStyle name="Comma 2 2 4 37 4" xfId="9386"/>
    <cellStyle name="Comma 2 2 4 37 4 2" xfId="9387"/>
    <cellStyle name="Comma 2 2 4 37 5" xfId="9388"/>
    <cellStyle name="Comma 2 2 4 37 5 2" xfId="9389"/>
    <cellStyle name="Comma 2 2 4 37 6" xfId="9390"/>
    <cellStyle name="Comma 2 2 4 37 6 2" xfId="9391"/>
    <cellStyle name="Comma 2 2 4 37 7" xfId="9392"/>
    <cellStyle name="Comma 2 2 4 37 7 2" xfId="9393"/>
    <cellStyle name="Comma 2 2 4 37 8" xfId="9394"/>
    <cellStyle name="Comma 2 2 4 37 8 2" xfId="9395"/>
    <cellStyle name="Comma 2 2 4 37 9" xfId="9396"/>
    <cellStyle name="Comma 2 2 4 37 9 2" xfId="9397"/>
    <cellStyle name="Comma 2 2 4 38" xfId="9398"/>
    <cellStyle name="Comma 2 2 4 38 10" xfId="9399"/>
    <cellStyle name="Comma 2 2 4 38 10 2" xfId="9400"/>
    <cellStyle name="Comma 2 2 4 38 11" xfId="9401"/>
    <cellStyle name="Comma 2 2 4 38 11 2" xfId="9402"/>
    <cellStyle name="Comma 2 2 4 38 12" xfId="9403"/>
    <cellStyle name="Comma 2 2 4 38 2" xfId="9404"/>
    <cellStyle name="Comma 2 2 4 38 2 2" xfId="9405"/>
    <cellStyle name="Comma 2 2 4 38 3" xfId="9406"/>
    <cellStyle name="Comma 2 2 4 38 3 2" xfId="9407"/>
    <cellStyle name="Comma 2 2 4 38 4" xfId="9408"/>
    <cellStyle name="Comma 2 2 4 38 4 2" xfId="9409"/>
    <cellStyle name="Comma 2 2 4 38 5" xfId="9410"/>
    <cellStyle name="Comma 2 2 4 38 5 2" xfId="9411"/>
    <cellStyle name="Comma 2 2 4 38 6" xfId="9412"/>
    <cellStyle name="Comma 2 2 4 38 6 2" xfId="9413"/>
    <cellStyle name="Comma 2 2 4 38 7" xfId="9414"/>
    <cellStyle name="Comma 2 2 4 38 7 2" xfId="9415"/>
    <cellStyle name="Comma 2 2 4 38 8" xfId="9416"/>
    <cellStyle name="Comma 2 2 4 38 8 2" xfId="9417"/>
    <cellStyle name="Comma 2 2 4 38 9" xfId="9418"/>
    <cellStyle name="Comma 2 2 4 38 9 2" xfId="9419"/>
    <cellStyle name="Comma 2 2 4 39" xfId="9420"/>
    <cellStyle name="Comma 2 2 4 39 10" xfId="9421"/>
    <cellStyle name="Comma 2 2 4 39 10 2" xfId="9422"/>
    <cellStyle name="Comma 2 2 4 39 11" xfId="9423"/>
    <cellStyle name="Comma 2 2 4 39 11 2" xfId="9424"/>
    <cellStyle name="Comma 2 2 4 39 12" xfId="9425"/>
    <cellStyle name="Comma 2 2 4 39 2" xfId="9426"/>
    <cellStyle name="Comma 2 2 4 39 2 2" xfId="9427"/>
    <cellStyle name="Comma 2 2 4 39 3" xfId="9428"/>
    <cellStyle name="Comma 2 2 4 39 3 2" xfId="9429"/>
    <cellStyle name="Comma 2 2 4 39 4" xfId="9430"/>
    <cellStyle name="Comma 2 2 4 39 4 2" xfId="9431"/>
    <cellStyle name="Comma 2 2 4 39 5" xfId="9432"/>
    <cellStyle name="Comma 2 2 4 39 5 2" xfId="9433"/>
    <cellStyle name="Comma 2 2 4 39 6" xfId="9434"/>
    <cellStyle name="Comma 2 2 4 39 6 2" xfId="9435"/>
    <cellStyle name="Comma 2 2 4 39 7" xfId="9436"/>
    <cellStyle name="Comma 2 2 4 39 7 2" xfId="9437"/>
    <cellStyle name="Comma 2 2 4 39 8" xfId="9438"/>
    <cellStyle name="Comma 2 2 4 39 8 2" xfId="9439"/>
    <cellStyle name="Comma 2 2 4 39 9" xfId="9440"/>
    <cellStyle name="Comma 2 2 4 39 9 2" xfId="9441"/>
    <cellStyle name="Comma 2 2 4 4" xfId="9442"/>
    <cellStyle name="Comma 2 2 4 4 10" xfId="9443"/>
    <cellStyle name="Comma 2 2 4 4 10 2" xfId="9444"/>
    <cellStyle name="Comma 2 2 4 4 11" xfId="9445"/>
    <cellStyle name="Comma 2 2 4 4 11 2" xfId="9446"/>
    <cellStyle name="Comma 2 2 4 4 12" xfId="9447"/>
    <cellStyle name="Comma 2 2 4 4 2" xfId="9448"/>
    <cellStyle name="Comma 2 2 4 4 2 2" xfId="9449"/>
    <cellStyle name="Comma 2 2 4 4 3" xfId="9450"/>
    <cellStyle name="Comma 2 2 4 4 3 2" xfId="9451"/>
    <cellStyle name="Comma 2 2 4 4 4" xfId="9452"/>
    <cellStyle name="Comma 2 2 4 4 4 2" xfId="9453"/>
    <cellStyle name="Comma 2 2 4 4 5" xfId="9454"/>
    <cellStyle name="Comma 2 2 4 4 5 2" xfId="9455"/>
    <cellStyle name="Comma 2 2 4 4 6" xfId="9456"/>
    <cellStyle name="Comma 2 2 4 4 6 2" xfId="9457"/>
    <cellStyle name="Comma 2 2 4 4 7" xfId="9458"/>
    <cellStyle name="Comma 2 2 4 4 7 2" xfId="9459"/>
    <cellStyle name="Comma 2 2 4 4 8" xfId="9460"/>
    <cellStyle name="Comma 2 2 4 4 8 2" xfId="9461"/>
    <cellStyle name="Comma 2 2 4 4 9" xfId="9462"/>
    <cellStyle name="Comma 2 2 4 4 9 2" xfId="9463"/>
    <cellStyle name="Comma 2 2 4 40" xfId="9464"/>
    <cellStyle name="Comma 2 2 4 40 2" xfId="9465"/>
    <cellStyle name="Comma 2 2 4 41" xfId="9466"/>
    <cellStyle name="Comma 2 2 4 41 2" xfId="9467"/>
    <cellStyle name="Comma 2 2 4 42" xfId="9468"/>
    <cellStyle name="Comma 2 2 4 42 2" xfId="9469"/>
    <cellStyle name="Comma 2 2 4 43" xfId="9470"/>
    <cellStyle name="Comma 2 2 4 43 2" xfId="9471"/>
    <cellStyle name="Comma 2 2 4 44" xfId="9472"/>
    <cellStyle name="Comma 2 2 4 44 2" xfId="9473"/>
    <cellStyle name="Comma 2 2 4 45" xfId="9474"/>
    <cellStyle name="Comma 2 2 4 45 2" xfId="9475"/>
    <cellStyle name="Comma 2 2 4 46" xfId="9476"/>
    <cellStyle name="Comma 2 2 4 46 2" xfId="9477"/>
    <cellStyle name="Comma 2 2 4 47" xfId="9478"/>
    <cellStyle name="Comma 2 2 4 47 2" xfId="9479"/>
    <cellStyle name="Comma 2 2 4 48" xfId="9480"/>
    <cellStyle name="Comma 2 2 4 48 2" xfId="9481"/>
    <cellStyle name="Comma 2 2 4 49" xfId="9482"/>
    <cellStyle name="Comma 2 2 4 49 2" xfId="9483"/>
    <cellStyle name="Comma 2 2 4 5" xfId="9484"/>
    <cellStyle name="Comma 2 2 4 5 10" xfId="9485"/>
    <cellStyle name="Comma 2 2 4 5 10 2" xfId="9486"/>
    <cellStyle name="Comma 2 2 4 5 11" xfId="9487"/>
    <cellStyle name="Comma 2 2 4 5 11 2" xfId="9488"/>
    <cellStyle name="Comma 2 2 4 5 12" xfId="9489"/>
    <cellStyle name="Comma 2 2 4 5 2" xfId="9490"/>
    <cellStyle name="Comma 2 2 4 5 2 2" xfId="9491"/>
    <cellStyle name="Comma 2 2 4 5 3" xfId="9492"/>
    <cellStyle name="Comma 2 2 4 5 3 2" xfId="9493"/>
    <cellStyle name="Comma 2 2 4 5 4" xfId="9494"/>
    <cellStyle name="Comma 2 2 4 5 4 2" xfId="9495"/>
    <cellStyle name="Comma 2 2 4 5 5" xfId="9496"/>
    <cellStyle name="Comma 2 2 4 5 5 2" xfId="9497"/>
    <cellStyle name="Comma 2 2 4 5 6" xfId="9498"/>
    <cellStyle name="Comma 2 2 4 5 6 2" xfId="9499"/>
    <cellStyle name="Comma 2 2 4 5 7" xfId="9500"/>
    <cellStyle name="Comma 2 2 4 5 7 2" xfId="9501"/>
    <cellStyle name="Comma 2 2 4 5 8" xfId="9502"/>
    <cellStyle name="Comma 2 2 4 5 8 2" xfId="9503"/>
    <cellStyle name="Comma 2 2 4 5 9" xfId="9504"/>
    <cellStyle name="Comma 2 2 4 5 9 2" xfId="9505"/>
    <cellStyle name="Comma 2 2 4 50" xfId="9506"/>
    <cellStyle name="Comma 2 2 4 50 2" xfId="9507"/>
    <cellStyle name="Comma 2 2 4 51" xfId="9508"/>
    <cellStyle name="Comma 2 2 4 51 2" xfId="9509"/>
    <cellStyle name="Comma 2 2 4 52" xfId="9510"/>
    <cellStyle name="Comma 2 2 4 6" xfId="9511"/>
    <cellStyle name="Comma 2 2 4 6 10" xfId="9512"/>
    <cellStyle name="Comma 2 2 4 6 10 2" xfId="9513"/>
    <cellStyle name="Comma 2 2 4 6 11" xfId="9514"/>
    <cellStyle name="Comma 2 2 4 6 11 2" xfId="9515"/>
    <cellStyle name="Comma 2 2 4 6 12" xfId="9516"/>
    <cellStyle name="Comma 2 2 4 6 2" xfId="9517"/>
    <cellStyle name="Comma 2 2 4 6 2 2" xfId="9518"/>
    <cellStyle name="Comma 2 2 4 6 3" xfId="9519"/>
    <cellStyle name="Comma 2 2 4 6 3 2" xfId="9520"/>
    <cellStyle name="Comma 2 2 4 6 4" xfId="9521"/>
    <cellStyle name="Comma 2 2 4 6 4 2" xfId="9522"/>
    <cellStyle name="Comma 2 2 4 6 5" xfId="9523"/>
    <cellStyle name="Comma 2 2 4 6 5 2" xfId="9524"/>
    <cellStyle name="Comma 2 2 4 6 6" xfId="9525"/>
    <cellStyle name="Comma 2 2 4 6 6 2" xfId="9526"/>
    <cellStyle name="Comma 2 2 4 6 7" xfId="9527"/>
    <cellStyle name="Comma 2 2 4 6 7 2" xfId="9528"/>
    <cellStyle name="Comma 2 2 4 6 8" xfId="9529"/>
    <cellStyle name="Comma 2 2 4 6 8 2" xfId="9530"/>
    <cellStyle name="Comma 2 2 4 6 9" xfId="9531"/>
    <cellStyle name="Comma 2 2 4 6 9 2" xfId="9532"/>
    <cellStyle name="Comma 2 2 4 7" xfId="9533"/>
    <cellStyle name="Comma 2 2 4 7 10" xfId="9534"/>
    <cellStyle name="Comma 2 2 4 7 10 2" xfId="9535"/>
    <cellStyle name="Comma 2 2 4 7 11" xfId="9536"/>
    <cellStyle name="Comma 2 2 4 7 11 2" xfId="9537"/>
    <cellStyle name="Comma 2 2 4 7 12" xfId="9538"/>
    <cellStyle name="Comma 2 2 4 7 2" xfId="9539"/>
    <cellStyle name="Comma 2 2 4 7 2 2" xfId="9540"/>
    <cellStyle name="Comma 2 2 4 7 3" xfId="9541"/>
    <cellStyle name="Comma 2 2 4 7 3 2" xfId="9542"/>
    <cellStyle name="Comma 2 2 4 7 4" xfId="9543"/>
    <cellStyle name="Comma 2 2 4 7 4 2" xfId="9544"/>
    <cellStyle name="Comma 2 2 4 7 5" xfId="9545"/>
    <cellStyle name="Comma 2 2 4 7 5 2" xfId="9546"/>
    <cellStyle name="Comma 2 2 4 7 6" xfId="9547"/>
    <cellStyle name="Comma 2 2 4 7 6 2" xfId="9548"/>
    <cellStyle name="Comma 2 2 4 7 7" xfId="9549"/>
    <cellStyle name="Comma 2 2 4 7 7 2" xfId="9550"/>
    <cellStyle name="Comma 2 2 4 7 8" xfId="9551"/>
    <cellStyle name="Comma 2 2 4 7 8 2" xfId="9552"/>
    <cellStyle name="Comma 2 2 4 7 9" xfId="9553"/>
    <cellStyle name="Comma 2 2 4 7 9 2" xfId="9554"/>
    <cellStyle name="Comma 2 2 4 8" xfId="9555"/>
    <cellStyle name="Comma 2 2 4 8 10" xfId="9556"/>
    <cellStyle name="Comma 2 2 4 8 10 2" xfId="9557"/>
    <cellStyle name="Comma 2 2 4 8 11" xfId="9558"/>
    <cellStyle name="Comma 2 2 4 8 11 2" xfId="9559"/>
    <cellStyle name="Comma 2 2 4 8 12" xfId="9560"/>
    <cellStyle name="Comma 2 2 4 8 2" xfId="9561"/>
    <cellStyle name="Comma 2 2 4 8 2 2" xfId="9562"/>
    <cellStyle name="Comma 2 2 4 8 3" xfId="9563"/>
    <cellStyle name="Comma 2 2 4 8 3 2" xfId="9564"/>
    <cellStyle name="Comma 2 2 4 8 4" xfId="9565"/>
    <cellStyle name="Comma 2 2 4 8 4 2" xfId="9566"/>
    <cellStyle name="Comma 2 2 4 8 5" xfId="9567"/>
    <cellStyle name="Comma 2 2 4 8 5 2" xfId="9568"/>
    <cellStyle name="Comma 2 2 4 8 6" xfId="9569"/>
    <cellStyle name="Comma 2 2 4 8 6 2" xfId="9570"/>
    <cellStyle name="Comma 2 2 4 8 7" xfId="9571"/>
    <cellStyle name="Comma 2 2 4 8 7 2" xfId="9572"/>
    <cellStyle name="Comma 2 2 4 8 8" xfId="9573"/>
    <cellStyle name="Comma 2 2 4 8 8 2" xfId="9574"/>
    <cellStyle name="Comma 2 2 4 8 9" xfId="9575"/>
    <cellStyle name="Comma 2 2 4 8 9 2" xfId="9576"/>
    <cellStyle name="Comma 2 2 4 9" xfId="9577"/>
    <cellStyle name="Comma 2 2 4 9 10" xfId="9578"/>
    <cellStyle name="Comma 2 2 4 9 10 2" xfId="9579"/>
    <cellStyle name="Comma 2 2 4 9 11" xfId="9580"/>
    <cellStyle name="Comma 2 2 4 9 11 2" xfId="9581"/>
    <cellStyle name="Comma 2 2 4 9 12" xfId="9582"/>
    <cellStyle name="Comma 2 2 4 9 2" xfId="9583"/>
    <cellStyle name="Comma 2 2 4 9 2 2" xfId="9584"/>
    <cellStyle name="Comma 2 2 4 9 3" xfId="9585"/>
    <cellStyle name="Comma 2 2 4 9 3 2" xfId="9586"/>
    <cellStyle name="Comma 2 2 4 9 4" xfId="9587"/>
    <cellStyle name="Comma 2 2 4 9 4 2" xfId="9588"/>
    <cellStyle name="Comma 2 2 4 9 5" xfId="9589"/>
    <cellStyle name="Comma 2 2 4 9 5 2" xfId="9590"/>
    <cellStyle name="Comma 2 2 4 9 6" xfId="9591"/>
    <cellStyle name="Comma 2 2 4 9 6 2" xfId="9592"/>
    <cellStyle name="Comma 2 2 4 9 7" xfId="9593"/>
    <cellStyle name="Comma 2 2 4 9 7 2" xfId="9594"/>
    <cellStyle name="Comma 2 2 4 9 8" xfId="9595"/>
    <cellStyle name="Comma 2 2 4 9 8 2" xfId="9596"/>
    <cellStyle name="Comma 2 2 4 9 9" xfId="9597"/>
    <cellStyle name="Comma 2 2 4 9 9 2" xfId="9598"/>
    <cellStyle name="Comma 2 2 40" xfId="9599"/>
    <cellStyle name="Comma 2 2 40 10" xfId="9600"/>
    <cellStyle name="Comma 2 2 40 10 2" xfId="9601"/>
    <cellStyle name="Comma 2 2 40 11" xfId="9602"/>
    <cellStyle name="Comma 2 2 40 11 2" xfId="9603"/>
    <cellStyle name="Comma 2 2 40 12" xfId="9604"/>
    <cellStyle name="Comma 2 2 40 2" xfId="9605"/>
    <cellStyle name="Comma 2 2 40 2 2" xfId="9606"/>
    <cellStyle name="Comma 2 2 40 3" xfId="9607"/>
    <cellStyle name="Comma 2 2 40 3 2" xfId="9608"/>
    <cellStyle name="Comma 2 2 40 4" xfId="9609"/>
    <cellStyle name="Comma 2 2 40 4 2" xfId="9610"/>
    <cellStyle name="Comma 2 2 40 5" xfId="9611"/>
    <cellStyle name="Comma 2 2 40 5 2" xfId="9612"/>
    <cellStyle name="Comma 2 2 40 6" xfId="9613"/>
    <cellStyle name="Comma 2 2 40 6 2" xfId="9614"/>
    <cellStyle name="Comma 2 2 40 7" xfId="9615"/>
    <cellStyle name="Comma 2 2 40 7 2" xfId="9616"/>
    <cellStyle name="Comma 2 2 40 8" xfId="9617"/>
    <cellStyle name="Comma 2 2 40 8 2" xfId="9618"/>
    <cellStyle name="Comma 2 2 40 9" xfId="9619"/>
    <cellStyle name="Comma 2 2 40 9 2" xfId="9620"/>
    <cellStyle name="Comma 2 2 41" xfId="9621"/>
    <cellStyle name="Comma 2 2 41 10" xfId="9622"/>
    <cellStyle name="Comma 2 2 41 10 2" xfId="9623"/>
    <cellStyle name="Comma 2 2 41 11" xfId="9624"/>
    <cellStyle name="Comma 2 2 41 11 2" xfId="9625"/>
    <cellStyle name="Comma 2 2 41 12" xfId="9626"/>
    <cellStyle name="Comma 2 2 41 2" xfId="9627"/>
    <cellStyle name="Comma 2 2 41 2 2" xfId="9628"/>
    <cellStyle name="Comma 2 2 41 3" xfId="9629"/>
    <cellStyle name="Comma 2 2 41 3 2" xfId="9630"/>
    <cellStyle name="Comma 2 2 41 4" xfId="9631"/>
    <cellStyle name="Comma 2 2 41 4 2" xfId="9632"/>
    <cellStyle name="Comma 2 2 41 5" xfId="9633"/>
    <cellStyle name="Comma 2 2 41 5 2" xfId="9634"/>
    <cellStyle name="Comma 2 2 41 6" xfId="9635"/>
    <cellStyle name="Comma 2 2 41 6 2" xfId="9636"/>
    <cellStyle name="Comma 2 2 41 7" xfId="9637"/>
    <cellStyle name="Comma 2 2 41 7 2" xfId="9638"/>
    <cellStyle name="Comma 2 2 41 8" xfId="9639"/>
    <cellStyle name="Comma 2 2 41 8 2" xfId="9640"/>
    <cellStyle name="Comma 2 2 41 9" xfId="9641"/>
    <cellStyle name="Comma 2 2 41 9 2" xfId="9642"/>
    <cellStyle name="Comma 2 2 42" xfId="9643"/>
    <cellStyle name="Comma 2 2 42 10" xfId="9644"/>
    <cellStyle name="Comma 2 2 42 10 2" xfId="9645"/>
    <cellStyle name="Comma 2 2 42 11" xfId="9646"/>
    <cellStyle name="Comma 2 2 42 11 2" xfId="9647"/>
    <cellStyle name="Comma 2 2 42 12" xfId="9648"/>
    <cellStyle name="Comma 2 2 42 2" xfId="9649"/>
    <cellStyle name="Comma 2 2 42 2 2" xfId="9650"/>
    <cellStyle name="Comma 2 2 42 3" xfId="9651"/>
    <cellStyle name="Comma 2 2 42 3 2" xfId="9652"/>
    <cellStyle name="Comma 2 2 42 4" xfId="9653"/>
    <cellStyle name="Comma 2 2 42 4 2" xfId="9654"/>
    <cellStyle name="Comma 2 2 42 5" xfId="9655"/>
    <cellStyle name="Comma 2 2 42 5 2" xfId="9656"/>
    <cellStyle name="Comma 2 2 42 6" xfId="9657"/>
    <cellStyle name="Comma 2 2 42 6 2" xfId="9658"/>
    <cellStyle name="Comma 2 2 42 7" xfId="9659"/>
    <cellStyle name="Comma 2 2 42 7 2" xfId="9660"/>
    <cellStyle name="Comma 2 2 42 8" xfId="9661"/>
    <cellStyle name="Comma 2 2 42 8 2" xfId="9662"/>
    <cellStyle name="Comma 2 2 42 9" xfId="9663"/>
    <cellStyle name="Comma 2 2 42 9 2" xfId="9664"/>
    <cellStyle name="Comma 2 2 43" xfId="9665"/>
    <cellStyle name="Comma 2 2 43 10" xfId="9666"/>
    <cellStyle name="Comma 2 2 43 10 2" xfId="9667"/>
    <cellStyle name="Comma 2 2 43 11" xfId="9668"/>
    <cellStyle name="Comma 2 2 43 11 2" xfId="9669"/>
    <cellStyle name="Comma 2 2 43 12" xfId="9670"/>
    <cellStyle name="Comma 2 2 43 2" xfId="9671"/>
    <cellStyle name="Comma 2 2 43 2 2" xfId="9672"/>
    <cellStyle name="Comma 2 2 43 3" xfId="9673"/>
    <cellStyle name="Comma 2 2 43 3 2" xfId="9674"/>
    <cellStyle name="Comma 2 2 43 4" xfId="9675"/>
    <cellStyle name="Comma 2 2 43 4 2" xfId="9676"/>
    <cellStyle name="Comma 2 2 43 5" xfId="9677"/>
    <cellStyle name="Comma 2 2 43 5 2" xfId="9678"/>
    <cellStyle name="Comma 2 2 43 6" xfId="9679"/>
    <cellStyle name="Comma 2 2 43 6 2" xfId="9680"/>
    <cellStyle name="Comma 2 2 43 7" xfId="9681"/>
    <cellStyle name="Comma 2 2 43 7 2" xfId="9682"/>
    <cellStyle name="Comma 2 2 43 8" xfId="9683"/>
    <cellStyle name="Comma 2 2 43 8 2" xfId="9684"/>
    <cellStyle name="Comma 2 2 43 9" xfId="9685"/>
    <cellStyle name="Comma 2 2 43 9 2" xfId="9686"/>
    <cellStyle name="Comma 2 2 44" xfId="9687"/>
    <cellStyle name="Comma 2 2 44 10" xfId="9688"/>
    <cellStyle name="Comma 2 2 44 10 2" xfId="9689"/>
    <cellStyle name="Comma 2 2 44 11" xfId="9690"/>
    <cellStyle name="Comma 2 2 44 11 2" xfId="9691"/>
    <cellStyle name="Comma 2 2 44 12" xfId="9692"/>
    <cellStyle name="Comma 2 2 44 2" xfId="9693"/>
    <cellStyle name="Comma 2 2 44 2 2" xfId="9694"/>
    <cellStyle name="Comma 2 2 44 3" xfId="9695"/>
    <cellStyle name="Comma 2 2 44 3 2" xfId="9696"/>
    <cellStyle name="Comma 2 2 44 4" xfId="9697"/>
    <cellStyle name="Comma 2 2 44 4 2" xfId="9698"/>
    <cellStyle name="Comma 2 2 44 5" xfId="9699"/>
    <cellStyle name="Comma 2 2 44 5 2" xfId="9700"/>
    <cellStyle name="Comma 2 2 44 6" xfId="9701"/>
    <cellStyle name="Comma 2 2 44 6 2" xfId="9702"/>
    <cellStyle name="Comma 2 2 44 7" xfId="9703"/>
    <cellStyle name="Comma 2 2 44 7 2" xfId="9704"/>
    <cellStyle name="Comma 2 2 44 8" xfId="9705"/>
    <cellStyle name="Comma 2 2 44 8 2" xfId="9706"/>
    <cellStyle name="Comma 2 2 44 9" xfId="9707"/>
    <cellStyle name="Comma 2 2 44 9 2" xfId="9708"/>
    <cellStyle name="Comma 2 2 45" xfId="9709"/>
    <cellStyle name="Comma 2 2 45 10" xfId="9710"/>
    <cellStyle name="Comma 2 2 45 10 2" xfId="9711"/>
    <cellStyle name="Comma 2 2 45 11" xfId="9712"/>
    <cellStyle name="Comma 2 2 45 11 2" xfId="9713"/>
    <cellStyle name="Comma 2 2 45 2" xfId="9714"/>
    <cellStyle name="Comma 2 2 45 2 2" xfId="9715"/>
    <cellStyle name="Comma 2 2 45 3" xfId="9716"/>
    <cellStyle name="Comma 2 2 45 3 2" xfId="9717"/>
    <cellStyle name="Comma 2 2 45 4" xfId="9718"/>
    <cellStyle name="Comma 2 2 45 4 2" xfId="9719"/>
    <cellStyle name="Comma 2 2 45 5" xfId="9720"/>
    <cellStyle name="Comma 2 2 45 5 2" xfId="9721"/>
    <cellStyle name="Comma 2 2 45 6" xfId="9722"/>
    <cellStyle name="Comma 2 2 45 6 2" xfId="9723"/>
    <cellStyle name="Comma 2 2 45 7" xfId="9724"/>
    <cellStyle name="Comma 2 2 45 7 2" xfId="9725"/>
    <cellStyle name="Comma 2 2 45 8" xfId="9726"/>
    <cellStyle name="Comma 2 2 45 8 2" xfId="9727"/>
    <cellStyle name="Comma 2 2 45 9" xfId="9728"/>
    <cellStyle name="Comma 2 2 45 9 2" xfId="9729"/>
    <cellStyle name="Comma 2 2 46" xfId="9730"/>
    <cellStyle name="Comma 2 2 46 2" xfId="9731"/>
    <cellStyle name="Comma 2 2 47" xfId="9732"/>
    <cellStyle name="Comma 2 2 47 2" xfId="9733"/>
    <cellStyle name="Comma 2 2 48" xfId="9734"/>
    <cellStyle name="Comma 2 2 48 2" xfId="9735"/>
    <cellStyle name="Comma 2 2 49" xfId="9736"/>
    <cellStyle name="Comma 2 2 49 2" xfId="9737"/>
    <cellStyle name="Comma 2 2 5" xfId="9738"/>
    <cellStyle name="Comma 2 2 5 10" xfId="9739"/>
    <cellStyle name="Comma 2 2 5 10 10" xfId="9740"/>
    <cellStyle name="Comma 2 2 5 10 10 2" xfId="9741"/>
    <cellStyle name="Comma 2 2 5 10 11" xfId="9742"/>
    <cellStyle name="Comma 2 2 5 10 11 2" xfId="9743"/>
    <cellStyle name="Comma 2 2 5 10 12" xfId="9744"/>
    <cellStyle name="Comma 2 2 5 10 2" xfId="9745"/>
    <cellStyle name="Comma 2 2 5 10 2 2" xfId="9746"/>
    <cellStyle name="Comma 2 2 5 10 3" xfId="9747"/>
    <cellStyle name="Comma 2 2 5 10 3 2" xfId="9748"/>
    <cellStyle name="Comma 2 2 5 10 4" xfId="9749"/>
    <cellStyle name="Comma 2 2 5 10 4 2" xfId="9750"/>
    <cellStyle name="Comma 2 2 5 10 5" xfId="9751"/>
    <cellStyle name="Comma 2 2 5 10 5 2" xfId="9752"/>
    <cellStyle name="Comma 2 2 5 10 6" xfId="9753"/>
    <cellStyle name="Comma 2 2 5 10 6 2" xfId="9754"/>
    <cellStyle name="Comma 2 2 5 10 7" xfId="9755"/>
    <cellStyle name="Comma 2 2 5 10 7 2" xfId="9756"/>
    <cellStyle name="Comma 2 2 5 10 8" xfId="9757"/>
    <cellStyle name="Comma 2 2 5 10 8 2" xfId="9758"/>
    <cellStyle name="Comma 2 2 5 10 9" xfId="9759"/>
    <cellStyle name="Comma 2 2 5 10 9 2" xfId="9760"/>
    <cellStyle name="Comma 2 2 5 11" xfId="9761"/>
    <cellStyle name="Comma 2 2 5 11 10" xfId="9762"/>
    <cellStyle name="Comma 2 2 5 11 10 2" xfId="9763"/>
    <cellStyle name="Comma 2 2 5 11 11" xfId="9764"/>
    <cellStyle name="Comma 2 2 5 11 11 2" xfId="9765"/>
    <cellStyle name="Comma 2 2 5 11 12" xfId="9766"/>
    <cellStyle name="Comma 2 2 5 11 2" xfId="9767"/>
    <cellStyle name="Comma 2 2 5 11 2 2" xfId="9768"/>
    <cellStyle name="Comma 2 2 5 11 3" xfId="9769"/>
    <cellStyle name="Comma 2 2 5 11 3 2" xfId="9770"/>
    <cellStyle name="Comma 2 2 5 11 4" xfId="9771"/>
    <cellStyle name="Comma 2 2 5 11 4 2" xfId="9772"/>
    <cellStyle name="Comma 2 2 5 11 5" xfId="9773"/>
    <cellStyle name="Comma 2 2 5 11 5 2" xfId="9774"/>
    <cellStyle name="Comma 2 2 5 11 6" xfId="9775"/>
    <cellStyle name="Comma 2 2 5 11 6 2" xfId="9776"/>
    <cellStyle name="Comma 2 2 5 11 7" xfId="9777"/>
    <cellStyle name="Comma 2 2 5 11 7 2" xfId="9778"/>
    <cellStyle name="Comma 2 2 5 11 8" xfId="9779"/>
    <cellStyle name="Comma 2 2 5 11 8 2" xfId="9780"/>
    <cellStyle name="Comma 2 2 5 11 9" xfId="9781"/>
    <cellStyle name="Comma 2 2 5 11 9 2" xfId="9782"/>
    <cellStyle name="Comma 2 2 5 12" xfId="9783"/>
    <cellStyle name="Comma 2 2 5 12 10" xfId="9784"/>
    <cellStyle name="Comma 2 2 5 12 10 2" xfId="9785"/>
    <cellStyle name="Comma 2 2 5 12 11" xfId="9786"/>
    <cellStyle name="Comma 2 2 5 12 11 2" xfId="9787"/>
    <cellStyle name="Comma 2 2 5 12 12" xfId="9788"/>
    <cellStyle name="Comma 2 2 5 12 2" xfId="9789"/>
    <cellStyle name="Comma 2 2 5 12 2 2" xfId="9790"/>
    <cellStyle name="Comma 2 2 5 12 3" xfId="9791"/>
    <cellStyle name="Comma 2 2 5 12 3 2" xfId="9792"/>
    <cellStyle name="Comma 2 2 5 12 4" xfId="9793"/>
    <cellStyle name="Comma 2 2 5 12 4 2" xfId="9794"/>
    <cellStyle name="Comma 2 2 5 12 5" xfId="9795"/>
    <cellStyle name="Comma 2 2 5 12 5 2" xfId="9796"/>
    <cellStyle name="Comma 2 2 5 12 6" xfId="9797"/>
    <cellStyle name="Comma 2 2 5 12 6 2" xfId="9798"/>
    <cellStyle name="Comma 2 2 5 12 7" xfId="9799"/>
    <cellStyle name="Comma 2 2 5 12 7 2" xfId="9800"/>
    <cellStyle name="Comma 2 2 5 12 8" xfId="9801"/>
    <cellStyle name="Comma 2 2 5 12 8 2" xfId="9802"/>
    <cellStyle name="Comma 2 2 5 12 9" xfId="9803"/>
    <cellStyle name="Comma 2 2 5 12 9 2" xfId="9804"/>
    <cellStyle name="Comma 2 2 5 13" xfId="9805"/>
    <cellStyle name="Comma 2 2 5 13 10" xfId="9806"/>
    <cellStyle name="Comma 2 2 5 13 10 2" xfId="9807"/>
    <cellStyle name="Comma 2 2 5 13 11" xfId="9808"/>
    <cellStyle name="Comma 2 2 5 13 11 2" xfId="9809"/>
    <cellStyle name="Comma 2 2 5 13 12" xfId="9810"/>
    <cellStyle name="Comma 2 2 5 13 2" xfId="9811"/>
    <cellStyle name="Comma 2 2 5 13 2 2" xfId="9812"/>
    <cellStyle name="Comma 2 2 5 13 3" xfId="9813"/>
    <cellStyle name="Comma 2 2 5 13 3 2" xfId="9814"/>
    <cellStyle name="Comma 2 2 5 13 4" xfId="9815"/>
    <cellStyle name="Comma 2 2 5 13 4 2" xfId="9816"/>
    <cellStyle name="Comma 2 2 5 13 5" xfId="9817"/>
    <cellStyle name="Comma 2 2 5 13 5 2" xfId="9818"/>
    <cellStyle name="Comma 2 2 5 13 6" xfId="9819"/>
    <cellStyle name="Comma 2 2 5 13 6 2" xfId="9820"/>
    <cellStyle name="Comma 2 2 5 13 7" xfId="9821"/>
    <cellStyle name="Comma 2 2 5 13 7 2" xfId="9822"/>
    <cellStyle name="Comma 2 2 5 13 8" xfId="9823"/>
    <cellStyle name="Comma 2 2 5 13 8 2" xfId="9824"/>
    <cellStyle name="Comma 2 2 5 13 9" xfId="9825"/>
    <cellStyle name="Comma 2 2 5 13 9 2" xfId="9826"/>
    <cellStyle name="Comma 2 2 5 14" xfId="9827"/>
    <cellStyle name="Comma 2 2 5 14 10" xfId="9828"/>
    <cellStyle name="Comma 2 2 5 14 10 2" xfId="9829"/>
    <cellStyle name="Comma 2 2 5 14 11" xfId="9830"/>
    <cellStyle name="Comma 2 2 5 14 11 2" xfId="9831"/>
    <cellStyle name="Comma 2 2 5 14 12" xfId="9832"/>
    <cellStyle name="Comma 2 2 5 14 2" xfId="9833"/>
    <cellStyle name="Comma 2 2 5 14 2 2" xfId="9834"/>
    <cellStyle name="Comma 2 2 5 14 3" xfId="9835"/>
    <cellStyle name="Comma 2 2 5 14 3 2" xfId="9836"/>
    <cellStyle name="Comma 2 2 5 14 4" xfId="9837"/>
    <cellStyle name="Comma 2 2 5 14 4 2" xfId="9838"/>
    <cellStyle name="Comma 2 2 5 14 5" xfId="9839"/>
    <cellStyle name="Comma 2 2 5 14 5 2" xfId="9840"/>
    <cellStyle name="Comma 2 2 5 14 6" xfId="9841"/>
    <cellStyle name="Comma 2 2 5 14 6 2" xfId="9842"/>
    <cellStyle name="Comma 2 2 5 14 7" xfId="9843"/>
    <cellStyle name="Comma 2 2 5 14 7 2" xfId="9844"/>
    <cellStyle name="Comma 2 2 5 14 8" xfId="9845"/>
    <cellStyle name="Comma 2 2 5 14 8 2" xfId="9846"/>
    <cellStyle name="Comma 2 2 5 14 9" xfId="9847"/>
    <cellStyle name="Comma 2 2 5 14 9 2" xfId="9848"/>
    <cellStyle name="Comma 2 2 5 15" xfId="9849"/>
    <cellStyle name="Comma 2 2 5 15 10" xfId="9850"/>
    <cellStyle name="Comma 2 2 5 15 10 2" xfId="9851"/>
    <cellStyle name="Comma 2 2 5 15 11" xfId="9852"/>
    <cellStyle name="Comma 2 2 5 15 11 2" xfId="9853"/>
    <cellStyle name="Comma 2 2 5 15 12" xfId="9854"/>
    <cellStyle name="Comma 2 2 5 15 2" xfId="9855"/>
    <cellStyle name="Comma 2 2 5 15 2 2" xfId="9856"/>
    <cellStyle name="Comma 2 2 5 15 3" xfId="9857"/>
    <cellStyle name="Comma 2 2 5 15 3 2" xfId="9858"/>
    <cellStyle name="Comma 2 2 5 15 4" xfId="9859"/>
    <cellStyle name="Comma 2 2 5 15 4 2" xfId="9860"/>
    <cellStyle name="Comma 2 2 5 15 5" xfId="9861"/>
    <cellStyle name="Comma 2 2 5 15 5 2" xfId="9862"/>
    <cellStyle name="Comma 2 2 5 15 6" xfId="9863"/>
    <cellStyle name="Comma 2 2 5 15 6 2" xfId="9864"/>
    <cellStyle name="Comma 2 2 5 15 7" xfId="9865"/>
    <cellStyle name="Comma 2 2 5 15 7 2" xfId="9866"/>
    <cellStyle name="Comma 2 2 5 15 8" xfId="9867"/>
    <cellStyle name="Comma 2 2 5 15 8 2" xfId="9868"/>
    <cellStyle name="Comma 2 2 5 15 9" xfId="9869"/>
    <cellStyle name="Comma 2 2 5 15 9 2" xfId="9870"/>
    <cellStyle name="Comma 2 2 5 16" xfId="9871"/>
    <cellStyle name="Comma 2 2 5 16 2" xfId="9872"/>
    <cellStyle name="Comma 2 2 5 17" xfId="9873"/>
    <cellStyle name="Comma 2 2 5 17 2" xfId="9874"/>
    <cellStyle name="Comma 2 2 5 18" xfId="9875"/>
    <cellStyle name="Comma 2 2 5 18 2" xfId="9876"/>
    <cellStyle name="Comma 2 2 5 19" xfId="9877"/>
    <cellStyle name="Comma 2 2 5 19 2" xfId="9878"/>
    <cellStyle name="Comma 2 2 5 2" xfId="9879"/>
    <cellStyle name="Comma 2 2 5 2 10" xfId="9880"/>
    <cellStyle name="Comma 2 2 5 2 10 2" xfId="9881"/>
    <cellStyle name="Comma 2 2 5 2 11" xfId="9882"/>
    <cellStyle name="Comma 2 2 5 2 11 2" xfId="9883"/>
    <cellStyle name="Comma 2 2 5 2 12" xfId="9884"/>
    <cellStyle name="Comma 2 2 5 2 2" xfId="9885"/>
    <cellStyle name="Comma 2 2 5 2 2 2" xfId="9886"/>
    <cellStyle name="Comma 2 2 5 2 3" xfId="9887"/>
    <cellStyle name="Comma 2 2 5 2 3 2" xfId="9888"/>
    <cellStyle name="Comma 2 2 5 2 4" xfId="9889"/>
    <cellStyle name="Comma 2 2 5 2 4 2" xfId="9890"/>
    <cellStyle name="Comma 2 2 5 2 5" xfId="9891"/>
    <cellStyle name="Comma 2 2 5 2 5 2" xfId="9892"/>
    <cellStyle name="Comma 2 2 5 2 6" xfId="9893"/>
    <cellStyle name="Comma 2 2 5 2 6 2" xfId="9894"/>
    <cellStyle name="Comma 2 2 5 2 7" xfId="9895"/>
    <cellStyle name="Comma 2 2 5 2 7 2" xfId="9896"/>
    <cellStyle name="Comma 2 2 5 2 8" xfId="9897"/>
    <cellStyle name="Comma 2 2 5 2 8 2" xfId="9898"/>
    <cellStyle name="Comma 2 2 5 2 9" xfId="9899"/>
    <cellStyle name="Comma 2 2 5 2 9 2" xfId="9900"/>
    <cellStyle name="Comma 2 2 5 20" xfId="9901"/>
    <cellStyle name="Comma 2 2 5 20 2" xfId="9902"/>
    <cellStyle name="Comma 2 2 5 21" xfId="9903"/>
    <cellStyle name="Comma 2 2 5 21 2" xfId="9904"/>
    <cellStyle name="Comma 2 2 5 22" xfId="9905"/>
    <cellStyle name="Comma 2 2 5 22 2" xfId="9906"/>
    <cellStyle name="Comma 2 2 5 23" xfId="9907"/>
    <cellStyle name="Comma 2 2 5 23 2" xfId="9908"/>
    <cellStyle name="Comma 2 2 5 24" xfId="9909"/>
    <cellStyle name="Comma 2 2 5 24 2" xfId="9910"/>
    <cellStyle name="Comma 2 2 5 25" xfId="9911"/>
    <cellStyle name="Comma 2 2 5 25 2" xfId="9912"/>
    <cellStyle name="Comma 2 2 5 26" xfId="9913"/>
    <cellStyle name="Comma 2 2 5 3" xfId="9914"/>
    <cellStyle name="Comma 2 2 5 3 10" xfId="9915"/>
    <cellStyle name="Comma 2 2 5 3 10 2" xfId="9916"/>
    <cellStyle name="Comma 2 2 5 3 11" xfId="9917"/>
    <cellStyle name="Comma 2 2 5 3 11 2" xfId="9918"/>
    <cellStyle name="Comma 2 2 5 3 12" xfId="9919"/>
    <cellStyle name="Comma 2 2 5 3 2" xfId="9920"/>
    <cellStyle name="Comma 2 2 5 3 2 2" xfId="9921"/>
    <cellStyle name="Comma 2 2 5 3 3" xfId="9922"/>
    <cellStyle name="Comma 2 2 5 3 3 2" xfId="9923"/>
    <cellStyle name="Comma 2 2 5 3 4" xfId="9924"/>
    <cellStyle name="Comma 2 2 5 3 4 2" xfId="9925"/>
    <cellStyle name="Comma 2 2 5 3 5" xfId="9926"/>
    <cellStyle name="Comma 2 2 5 3 5 2" xfId="9927"/>
    <cellStyle name="Comma 2 2 5 3 6" xfId="9928"/>
    <cellStyle name="Comma 2 2 5 3 6 2" xfId="9929"/>
    <cellStyle name="Comma 2 2 5 3 7" xfId="9930"/>
    <cellStyle name="Comma 2 2 5 3 7 2" xfId="9931"/>
    <cellStyle name="Comma 2 2 5 3 8" xfId="9932"/>
    <cellStyle name="Comma 2 2 5 3 8 2" xfId="9933"/>
    <cellStyle name="Comma 2 2 5 3 9" xfId="9934"/>
    <cellStyle name="Comma 2 2 5 3 9 2" xfId="9935"/>
    <cellStyle name="Comma 2 2 5 4" xfId="9936"/>
    <cellStyle name="Comma 2 2 5 4 10" xfId="9937"/>
    <cellStyle name="Comma 2 2 5 4 10 2" xfId="9938"/>
    <cellStyle name="Comma 2 2 5 4 11" xfId="9939"/>
    <cellStyle name="Comma 2 2 5 4 11 2" xfId="9940"/>
    <cellStyle name="Comma 2 2 5 4 12" xfId="9941"/>
    <cellStyle name="Comma 2 2 5 4 2" xfId="9942"/>
    <cellStyle name="Comma 2 2 5 4 2 2" xfId="9943"/>
    <cellStyle name="Comma 2 2 5 4 3" xfId="9944"/>
    <cellStyle name="Comma 2 2 5 4 3 2" xfId="9945"/>
    <cellStyle name="Comma 2 2 5 4 4" xfId="9946"/>
    <cellStyle name="Comma 2 2 5 4 4 2" xfId="9947"/>
    <cellStyle name="Comma 2 2 5 4 5" xfId="9948"/>
    <cellStyle name="Comma 2 2 5 4 5 2" xfId="9949"/>
    <cellStyle name="Comma 2 2 5 4 6" xfId="9950"/>
    <cellStyle name="Comma 2 2 5 4 6 2" xfId="9951"/>
    <cellStyle name="Comma 2 2 5 4 7" xfId="9952"/>
    <cellStyle name="Comma 2 2 5 4 7 2" xfId="9953"/>
    <cellStyle name="Comma 2 2 5 4 8" xfId="9954"/>
    <cellStyle name="Comma 2 2 5 4 8 2" xfId="9955"/>
    <cellStyle name="Comma 2 2 5 4 9" xfId="9956"/>
    <cellStyle name="Comma 2 2 5 4 9 2" xfId="9957"/>
    <cellStyle name="Comma 2 2 5 5" xfId="9958"/>
    <cellStyle name="Comma 2 2 5 5 10" xfId="9959"/>
    <cellStyle name="Comma 2 2 5 5 10 2" xfId="9960"/>
    <cellStyle name="Comma 2 2 5 5 11" xfId="9961"/>
    <cellStyle name="Comma 2 2 5 5 11 2" xfId="9962"/>
    <cellStyle name="Comma 2 2 5 5 12" xfId="9963"/>
    <cellStyle name="Comma 2 2 5 5 2" xfId="9964"/>
    <cellStyle name="Comma 2 2 5 5 2 2" xfId="9965"/>
    <cellStyle name="Comma 2 2 5 5 3" xfId="9966"/>
    <cellStyle name="Comma 2 2 5 5 3 2" xfId="9967"/>
    <cellStyle name="Comma 2 2 5 5 4" xfId="9968"/>
    <cellStyle name="Comma 2 2 5 5 4 2" xfId="9969"/>
    <cellStyle name="Comma 2 2 5 5 5" xfId="9970"/>
    <cellStyle name="Comma 2 2 5 5 5 2" xfId="9971"/>
    <cellStyle name="Comma 2 2 5 5 6" xfId="9972"/>
    <cellStyle name="Comma 2 2 5 5 6 2" xfId="9973"/>
    <cellStyle name="Comma 2 2 5 5 7" xfId="9974"/>
    <cellStyle name="Comma 2 2 5 5 7 2" xfId="9975"/>
    <cellStyle name="Comma 2 2 5 5 8" xfId="9976"/>
    <cellStyle name="Comma 2 2 5 5 8 2" xfId="9977"/>
    <cellStyle name="Comma 2 2 5 5 9" xfId="9978"/>
    <cellStyle name="Comma 2 2 5 5 9 2" xfId="9979"/>
    <cellStyle name="Comma 2 2 5 6" xfId="9980"/>
    <cellStyle name="Comma 2 2 5 6 10" xfId="9981"/>
    <cellStyle name="Comma 2 2 5 6 10 2" xfId="9982"/>
    <cellStyle name="Comma 2 2 5 6 11" xfId="9983"/>
    <cellStyle name="Comma 2 2 5 6 11 2" xfId="9984"/>
    <cellStyle name="Comma 2 2 5 6 12" xfId="9985"/>
    <cellStyle name="Comma 2 2 5 6 2" xfId="9986"/>
    <cellStyle name="Comma 2 2 5 6 2 2" xfId="9987"/>
    <cellStyle name="Comma 2 2 5 6 3" xfId="9988"/>
    <cellStyle name="Comma 2 2 5 6 3 2" xfId="9989"/>
    <cellStyle name="Comma 2 2 5 6 4" xfId="9990"/>
    <cellStyle name="Comma 2 2 5 6 4 2" xfId="9991"/>
    <cellStyle name="Comma 2 2 5 6 5" xfId="9992"/>
    <cellStyle name="Comma 2 2 5 6 5 2" xfId="9993"/>
    <cellStyle name="Comma 2 2 5 6 6" xfId="9994"/>
    <cellStyle name="Comma 2 2 5 6 6 2" xfId="9995"/>
    <cellStyle name="Comma 2 2 5 6 7" xfId="9996"/>
    <cellStyle name="Comma 2 2 5 6 7 2" xfId="9997"/>
    <cellStyle name="Comma 2 2 5 6 8" xfId="9998"/>
    <cellStyle name="Comma 2 2 5 6 8 2" xfId="9999"/>
    <cellStyle name="Comma 2 2 5 6 9" xfId="10000"/>
    <cellStyle name="Comma 2 2 5 6 9 2" xfId="10001"/>
    <cellStyle name="Comma 2 2 5 7" xfId="10002"/>
    <cellStyle name="Comma 2 2 5 7 10" xfId="10003"/>
    <cellStyle name="Comma 2 2 5 7 10 2" xfId="10004"/>
    <cellStyle name="Comma 2 2 5 7 11" xfId="10005"/>
    <cellStyle name="Comma 2 2 5 7 11 2" xfId="10006"/>
    <cellStyle name="Comma 2 2 5 7 12" xfId="10007"/>
    <cellStyle name="Comma 2 2 5 7 2" xfId="10008"/>
    <cellStyle name="Comma 2 2 5 7 2 2" xfId="10009"/>
    <cellStyle name="Comma 2 2 5 7 3" xfId="10010"/>
    <cellStyle name="Comma 2 2 5 7 3 2" xfId="10011"/>
    <cellStyle name="Comma 2 2 5 7 4" xfId="10012"/>
    <cellStyle name="Comma 2 2 5 7 4 2" xfId="10013"/>
    <cellStyle name="Comma 2 2 5 7 5" xfId="10014"/>
    <cellStyle name="Comma 2 2 5 7 5 2" xfId="10015"/>
    <cellStyle name="Comma 2 2 5 7 6" xfId="10016"/>
    <cellStyle name="Comma 2 2 5 7 6 2" xfId="10017"/>
    <cellStyle name="Comma 2 2 5 7 7" xfId="10018"/>
    <cellStyle name="Comma 2 2 5 7 7 2" xfId="10019"/>
    <cellStyle name="Comma 2 2 5 7 8" xfId="10020"/>
    <cellStyle name="Comma 2 2 5 7 8 2" xfId="10021"/>
    <cellStyle name="Comma 2 2 5 7 9" xfId="10022"/>
    <cellStyle name="Comma 2 2 5 7 9 2" xfId="10023"/>
    <cellStyle name="Comma 2 2 5 8" xfId="10024"/>
    <cellStyle name="Comma 2 2 5 8 10" xfId="10025"/>
    <cellStyle name="Comma 2 2 5 8 10 2" xfId="10026"/>
    <cellStyle name="Comma 2 2 5 8 11" xfId="10027"/>
    <cellStyle name="Comma 2 2 5 8 11 2" xfId="10028"/>
    <cellStyle name="Comma 2 2 5 8 12" xfId="10029"/>
    <cellStyle name="Comma 2 2 5 8 2" xfId="10030"/>
    <cellStyle name="Comma 2 2 5 8 2 2" xfId="10031"/>
    <cellStyle name="Comma 2 2 5 8 3" xfId="10032"/>
    <cellStyle name="Comma 2 2 5 8 3 2" xfId="10033"/>
    <cellStyle name="Comma 2 2 5 8 4" xfId="10034"/>
    <cellStyle name="Comma 2 2 5 8 4 2" xfId="10035"/>
    <cellStyle name="Comma 2 2 5 8 5" xfId="10036"/>
    <cellStyle name="Comma 2 2 5 8 5 2" xfId="10037"/>
    <cellStyle name="Comma 2 2 5 8 6" xfId="10038"/>
    <cellStyle name="Comma 2 2 5 8 6 2" xfId="10039"/>
    <cellStyle name="Comma 2 2 5 8 7" xfId="10040"/>
    <cellStyle name="Comma 2 2 5 8 7 2" xfId="10041"/>
    <cellStyle name="Comma 2 2 5 8 8" xfId="10042"/>
    <cellStyle name="Comma 2 2 5 8 8 2" xfId="10043"/>
    <cellStyle name="Comma 2 2 5 8 9" xfId="10044"/>
    <cellStyle name="Comma 2 2 5 8 9 2" xfId="10045"/>
    <cellStyle name="Comma 2 2 5 9" xfId="10046"/>
    <cellStyle name="Comma 2 2 5 9 10" xfId="10047"/>
    <cellStyle name="Comma 2 2 5 9 10 2" xfId="10048"/>
    <cellStyle name="Comma 2 2 5 9 11" xfId="10049"/>
    <cellStyle name="Comma 2 2 5 9 11 2" xfId="10050"/>
    <cellStyle name="Comma 2 2 5 9 12" xfId="10051"/>
    <cellStyle name="Comma 2 2 5 9 2" xfId="10052"/>
    <cellStyle name="Comma 2 2 5 9 2 2" xfId="10053"/>
    <cellStyle name="Comma 2 2 5 9 3" xfId="10054"/>
    <cellStyle name="Comma 2 2 5 9 3 2" xfId="10055"/>
    <cellStyle name="Comma 2 2 5 9 4" xfId="10056"/>
    <cellStyle name="Comma 2 2 5 9 4 2" xfId="10057"/>
    <cellStyle name="Comma 2 2 5 9 5" xfId="10058"/>
    <cellStyle name="Comma 2 2 5 9 5 2" xfId="10059"/>
    <cellStyle name="Comma 2 2 5 9 6" xfId="10060"/>
    <cellStyle name="Comma 2 2 5 9 6 2" xfId="10061"/>
    <cellStyle name="Comma 2 2 5 9 7" xfId="10062"/>
    <cellStyle name="Comma 2 2 5 9 7 2" xfId="10063"/>
    <cellStyle name="Comma 2 2 5 9 8" xfId="10064"/>
    <cellStyle name="Comma 2 2 5 9 8 2" xfId="10065"/>
    <cellStyle name="Comma 2 2 5 9 9" xfId="10066"/>
    <cellStyle name="Comma 2 2 5 9 9 2" xfId="10067"/>
    <cellStyle name="Comma 2 2 50" xfId="10068"/>
    <cellStyle name="Comma 2 2 50 2" xfId="10069"/>
    <cellStyle name="Comma 2 2 51" xfId="10070"/>
    <cellStyle name="Comma 2 2 51 2" xfId="10071"/>
    <cellStyle name="Comma 2 2 52" xfId="10072"/>
    <cellStyle name="Comma 2 2 52 2" xfId="10073"/>
    <cellStyle name="Comma 2 2 53" xfId="10074"/>
    <cellStyle name="Comma 2 2 53 2" xfId="10075"/>
    <cellStyle name="Comma 2 2 54" xfId="10076"/>
    <cellStyle name="Comma 2 2 54 2" xfId="10077"/>
    <cellStyle name="Comma 2 2 55" xfId="10078"/>
    <cellStyle name="Comma 2 2 55 2" xfId="10079"/>
    <cellStyle name="Comma 2 2 56" xfId="10080"/>
    <cellStyle name="Comma 2 2 56 2" xfId="10081"/>
    <cellStyle name="Comma 2 2 57" xfId="10082"/>
    <cellStyle name="Comma 2 2 57 2" xfId="10083"/>
    <cellStyle name="Comma 2 2 58" xfId="10084"/>
    <cellStyle name="Comma 2 2 58 2" xfId="10085"/>
    <cellStyle name="Comma 2 2 59" xfId="10086"/>
    <cellStyle name="Comma 2 2 59 2" xfId="10087"/>
    <cellStyle name="Comma 2 2 6" xfId="10088"/>
    <cellStyle name="Comma 2 2 6 10" xfId="10089"/>
    <cellStyle name="Comma 2 2 6 10 10" xfId="10090"/>
    <cellStyle name="Comma 2 2 6 10 10 2" xfId="10091"/>
    <cellStyle name="Comma 2 2 6 10 11" xfId="10092"/>
    <cellStyle name="Comma 2 2 6 10 11 2" xfId="10093"/>
    <cellStyle name="Comma 2 2 6 10 12" xfId="10094"/>
    <cellStyle name="Comma 2 2 6 10 2" xfId="10095"/>
    <cellStyle name="Comma 2 2 6 10 2 2" xfId="10096"/>
    <cellStyle name="Comma 2 2 6 10 3" xfId="10097"/>
    <cellStyle name="Comma 2 2 6 10 3 2" xfId="10098"/>
    <cellStyle name="Comma 2 2 6 10 4" xfId="10099"/>
    <cellStyle name="Comma 2 2 6 10 4 2" xfId="10100"/>
    <cellStyle name="Comma 2 2 6 10 5" xfId="10101"/>
    <cellStyle name="Comma 2 2 6 10 5 2" xfId="10102"/>
    <cellStyle name="Comma 2 2 6 10 6" xfId="10103"/>
    <cellStyle name="Comma 2 2 6 10 6 2" xfId="10104"/>
    <cellStyle name="Comma 2 2 6 10 7" xfId="10105"/>
    <cellStyle name="Comma 2 2 6 10 7 2" xfId="10106"/>
    <cellStyle name="Comma 2 2 6 10 8" xfId="10107"/>
    <cellStyle name="Comma 2 2 6 10 8 2" xfId="10108"/>
    <cellStyle name="Comma 2 2 6 10 9" xfId="10109"/>
    <cellStyle name="Comma 2 2 6 10 9 2" xfId="10110"/>
    <cellStyle name="Comma 2 2 6 11" xfId="10111"/>
    <cellStyle name="Comma 2 2 6 11 10" xfId="10112"/>
    <cellStyle name="Comma 2 2 6 11 10 2" xfId="10113"/>
    <cellStyle name="Comma 2 2 6 11 11" xfId="10114"/>
    <cellStyle name="Comma 2 2 6 11 11 2" xfId="10115"/>
    <cellStyle name="Comma 2 2 6 11 12" xfId="10116"/>
    <cellStyle name="Comma 2 2 6 11 2" xfId="10117"/>
    <cellStyle name="Comma 2 2 6 11 2 2" xfId="10118"/>
    <cellStyle name="Comma 2 2 6 11 3" xfId="10119"/>
    <cellStyle name="Comma 2 2 6 11 3 2" xfId="10120"/>
    <cellStyle name="Comma 2 2 6 11 4" xfId="10121"/>
    <cellStyle name="Comma 2 2 6 11 4 2" xfId="10122"/>
    <cellStyle name="Comma 2 2 6 11 5" xfId="10123"/>
    <cellStyle name="Comma 2 2 6 11 5 2" xfId="10124"/>
    <cellStyle name="Comma 2 2 6 11 6" xfId="10125"/>
    <cellStyle name="Comma 2 2 6 11 6 2" xfId="10126"/>
    <cellStyle name="Comma 2 2 6 11 7" xfId="10127"/>
    <cellStyle name="Comma 2 2 6 11 7 2" xfId="10128"/>
    <cellStyle name="Comma 2 2 6 11 8" xfId="10129"/>
    <cellStyle name="Comma 2 2 6 11 8 2" xfId="10130"/>
    <cellStyle name="Comma 2 2 6 11 9" xfId="10131"/>
    <cellStyle name="Comma 2 2 6 11 9 2" xfId="10132"/>
    <cellStyle name="Comma 2 2 6 12" xfId="10133"/>
    <cellStyle name="Comma 2 2 6 12 10" xfId="10134"/>
    <cellStyle name="Comma 2 2 6 12 10 2" xfId="10135"/>
    <cellStyle name="Comma 2 2 6 12 11" xfId="10136"/>
    <cellStyle name="Comma 2 2 6 12 11 2" xfId="10137"/>
    <cellStyle name="Comma 2 2 6 12 12" xfId="10138"/>
    <cellStyle name="Comma 2 2 6 12 2" xfId="10139"/>
    <cellStyle name="Comma 2 2 6 12 2 2" xfId="10140"/>
    <cellStyle name="Comma 2 2 6 12 3" xfId="10141"/>
    <cellStyle name="Comma 2 2 6 12 3 2" xfId="10142"/>
    <cellStyle name="Comma 2 2 6 12 4" xfId="10143"/>
    <cellStyle name="Comma 2 2 6 12 4 2" xfId="10144"/>
    <cellStyle name="Comma 2 2 6 12 5" xfId="10145"/>
    <cellStyle name="Comma 2 2 6 12 5 2" xfId="10146"/>
    <cellStyle name="Comma 2 2 6 12 6" xfId="10147"/>
    <cellStyle name="Comma 2 2 6 12 6 2" xfId="10148"/>
    <cellStyle name="Comma 2 2 6 12 7" xfId="10149"/>
    <cellStyle name="Comma 2 2 6 12 7 2" xfId="10150"/>
    <cellStyle name="Comma 2 2 6 12 8" xfId="10151"/>
    <cellStyle name="Comma 2 2 6 12 8 2" xfId="10152"/>
    <cellStyle name="Comma 2 2 6 12 9" xfId="10153"/>
    <cellStyle name="Comma 2 2 6 12 9 2" xfId="10154"/>
    <cellStyle name="Comma 2 2 6 13" xfId="10155"/>
    <cellStyle name="Comma 2 2 6 13 10" xfId="10156"/>
    <cellStyle name="Comma 2 2 6 13 10 2" xfId="10157"/>
    <cellStyle name="Comma 2 2 6 13 11" xfId="10158"/>
    <cellStyle name="Comma 2 2 6 13 11 2" xfId="10159"/>
    <cellStyle name="Comma 2 2 6 13 12" xfId="10160"/>
    <cellStyle name="Comma 2 2 6 13 2" xfId="10161"/>
    <cellStyle name="Comma 2 2 6 13 2 2" xfId="10162"/>
    <cellStyle name="Comma 2 2 6 13 3" xfId="10163"/>
    <cellStyle name="Comma 2 2 6 13 3 2" xfId="10164"/>
    <cellStyle name="Comma 2 2 6 13 4" xfId="10165"/>
    <cellStyle name="Comma 2 2 6 13 4 2" xfId="10166"/>
    <cellStyle name="Comma 2 2 6 13 5" xfId="10167"/>
    <cellStyle name="Comma 2 2 6 13 5 2" xfId="10168"/>
    <cellStyle name="Comma 2 2 6 13 6" xfId="10169"/>
    <cellStyle name="Comma 2 2 6 13 6 2" xfId="10170"/>
    <cellStyle name="Comma 2 2 6 13 7" xfId="10171"/>
    <cellStyle name="Comma 2 2 6 13 7 2" xfId="10172"/>
    <cellStyle name="Comma 2 2 6 13 8" xfId="10173"/>
    <cellStyle name="Comma 2 2 6 13 8 2" xfId="10174"/>
    <cellStyle name="Comma 2 2 6 13 9" xfId="10175"/>
    <cellStyle name="Comma 2 2 6 13 9 2" xfId="10176"/>
    <cellStyle name="Comma 2 2 6 14" xfId="10177"/>
    <cellStyle name="Comma 2 2 6 14 10" xfId="10178"/>
    <cellStyle name="Comma 2 2 6 14 10 2" xfId="10179"/>
    <cellStyle name="Comma 2 2 6 14 11" xfId="10180"/>
    <cellStyle name="Comma 2 2 6 14 11 2" xfId="10181"/>
    <cellStyle name="Comma 2 2 6 14 12" xfId="10182"/>
    <cellStyle name="Comma 2 2 6 14 2" xfId="10183"/>
    <cellStyle name="Comma 2 2 6 14 2 2" xfId="10184"/>
    <cellStyle name="Comma 2 2 6 14 3" xfId="10185"/>
    <cellStyle name="Comma 2 2 6 14 3 2" xfId="10186"/>
    <cellStyle name="Comma 2 2 6 14 4" xfId="10187"/>
    <cellStyle name="Comma 2 2 6 14 4 2" xfId="10188"/>
    <cellStyle name="Comma 2 2 6 14 5" xfId="10189"/>
    <cellStyle name="Comma 2 2 6 14 5 2" xfId="10190"/>
    <cellStyle name="Comma 2 2 6 14 6" xfId="10191"/>
    <cellStyle name="Comma 2 2 6 14 6 2" xfId="10192"/>
    <cellStyle name="Comma 2 2 6 14 7" xfId="10193"/>
    <cellStyle name="Comma 2 2 6 14 7 2" xfId="10194"/>
    <cellStyle name="Comma 2 2 6 14 8" xfId="10195"/>
    <cellStyle name="Comma 2 2 6 14 8 2" xfId="10196"/>
    <cellStyle name="Comma 2 2 6 14 9" xfId="10197"/>
    <cellStyle name="Comma 2 2 6 14 9 2" xfId="10198"/>
    <cellStyle name="Comma 2 2 6 15" xfId="10199"/>
    <cellStyle name="Comma 2 2 6 15 10" xfId="10200"/>
    <cellStyle name="Comma 2 2 6 15 10 2" xfId="10201"/>
    <cellStyle name="Comma 2 2 6 15 11" xfId="10202"/>
    <cellStyle name="Comma 2 2 6 15 11 2" xfId="10203"/>
    <cellStyle name="Comma 2 2 6 15 12" xfId="10204"/>
    <cellStyle name="Comma 2 2 6 15 2" xfId="10205"/>
    <cellStyle name="Comma 2 2 6 15 2 2" xfId="10206"/>
    <cellStyle name="Comma 2 2 6 15 3" xfId="10207"/>
    <cellStyle name="Comma 2 2 6 15 3 2" xfId="10208"/>
    <cellStyle name="Comma 2 2 6 15 4" xfId="10209"/>
    <cellStyle name="Comma 2 2 6 15 4 2" xfId="10210"/>
    <cellStyle name="Comma 2 2 6 15 5" xfId="10211"/>
    <cellStyle name="Comma 2 2 6 15 5 2" xfId="10212"/>
    <cellStyle name="Comma 2 2 6 15 6" xfId="10213"/>
    <cellStyle name="Comma 2 2 6 15 6 2" xfId="10214"/>
    <cellStyle name="Comma 2 2 6 15 7" xfId="10215"/>
    <cellStyle name="Comma 2 2 6 15 7 2" xfId="10216"/>
    <cellStyle name="Comma 2 2 6 15 8" xfId="10217"/>
    <cellStyle name="Comma 2 2 6 15 8 2" xfId="10218"/>
    <cellStyle name="Comma 2 2 6 15 9" xfId="10219"/>
    <cellStyle name="Comma 2 2 6 15 9 2" xfId="10220"/>
    <cellStyle name="Comma 2 2 6 16" xfId="10221"/>
    <cellStyle name="Comma 2 2 6 16 2" xfId="10222"/>
    <cellStyle name="Comma 2 2 6 17" xfId="10223"/>
    <cellStyle name="Comma 2 2 6 17 2" xfId="10224"/>
    <cellStyle name="Comma 2 2 6 18" xfId="10225"/>
    <cellStyle name="Comma 2 2 6 18 2" xfId="10226"/>
    <cellStyle name="Comma 2 2 6 19" xfId="10227"/>
    <cellStyle name="Comma 2 2 6 19 2" xfId="10228"/>
    <cellStyle name="Comma 2 2 6 2" xfId="10229"/>
    <cellStyle name="Comma 2 2 6 2 10" xfId="10230"/>
    <cellStyle name="Comma 2 2 6 2 10 2" xfId="10231"/>
    <cellStyle name="Comma 2 2 6 2 11" xfId="10232"/>
    <cellStyle name="Comma 2 2 6 2 11 2" xfId="10233"/>
    <cellStyle name="Comma 2 2 6 2 12" xfId="10234"/>
    <cellStyle name="Comma 2 2 6 2 2" xfId="10235"/>
    <cellStyle name="Comma 2 2 6 2 2 2" xfId="10236"/>
    <cellStyle name="Comma 2 2 6 2 3" xfId="10237"/>
    <cellStyle name="Comma 2 2 6 2 3 2" xfId="10238"/>
    <cellStyle name="Comma 2 2 6 2 4" xfId="10239"/>
    <cellStyle name="Comma 2 2 6 2 4 2" xfId="10240"/>
    <cellStyle name="Comma 2 2 6 2 5" xfId="10241"/>
    <cellStyle name="Comma 2 2 6 2 5 2" xfId="10242"/>
    <cellStyle name="Comma 2 2 6 2 6" xfId="10243"/>
    <cellStyle name="Comma 2 2 6 2 6 2" xfId="10244"/>
    <cellStyle name="Comma 2 2 6 2 7" xfId="10245"/>
    <cellStyle name="Comma 2 2 6 2 7 2" xfId="10246"/>
    <cellStyle name="Comma 2 2 6 2 8" xfId="10247"/>
    <cellStyle name="Comma 2 2 6 2 8 2" xfId="10248"/>
    <cellStyle name="Comma 2 2 6 2 9" xfId="10249"/>
    <cellStyle name="Comma 2 2 6 2 9 2" xfId="10250"/>
    <cellStyle name="Comma 2 2 6 20" xfId="10251"/>
    <cellStyle name="Comma 2 2 6 20 2" xfId="10252"/>
    <cellStyle name="Comma 2 2 6 21" xfId="10253"/>
    <cellStyle name="Comma 2 2 6 21 2" xfId="10254"/>
    <cellStyle name="Comma 2 2 6 22" xfId="10255"/>
    <cellStyle name="Comma 2 2 6 22 2" xfId="10256"/>
    <cellStyle name="Comma 2 2 6 23" xfId="10257"/>
    <cellStyle name="Comma 2 2 6 23 2" xfId="10258"/>
    <cellStyle name="Comma 2 2 6 24" xfId="10259"/>
    <cellStyle name="Comma 2 2 6 24 2" xfId="10260"/>
    <cellStyle name="Comma 2 2 6 25" xfId="10261"/>
    <cellStyle name="Comma 2 2 6 25 2" xfId="10262"/>
    <cellStyle name="Comma 2 2 6 26" xfId="10263"/>
    <cellStyle name="Comma 2 2 6 3" xfId="10264"/>
    <cellStyle name="Comma 2 2 6 3 10" xfId="10265"/>
    <cellStyle name="Comma 2 2 6 3 10 2" xfId="10266"/>
    <cellStyle name="Comma 2 2 6 3 11" xfId="10267"/>
    <cellStyle name="Comma 2 2 6 3 11 2" xfId="10268"/>
    <cellStyle name="Comma 2 2 6 3 12" xfId="10269"/>
    <cellStyle name="Comma 2 2 6 3 2" xfId="10270"/>
    <cellStyle name="Comma 2 2 6 3 2 2" xfId="10271"/>
    <cellStyle name="Comma 2 2 6 3 3" xfId="10272"/>
    <cellStyle name="Comma 2 2 6 3 3 2" xfId="10273"/>
    <cellStyle name="Comma 2 2 6 3 4" xfId="10274"/>
    <cellStyle name="Comma 2 2 6 3 4 2" xfId="10275"/>
    <cellStyle name="Comma 2 2 6 3 5" xfId="10276"/>
    <cellStyle name="Comma 2 2 6 3 5 2" xfId="10277"/>
    <cellStyle name="Comma 2 2 6 3 6" xfId="10278"/>
    <cellStyle name="Comma 2 2 6 3 6 2" xfId="10279"/>
    <cellStyle name="Comma 2 2 6 3 7" xfId="10280"/>
    <cellStyle name="Comma 2 2 6 3 7 2" xfId="10281"/>
    <cellStyle name="Comma 2 2 6 3 8" xfId="10282"/>
    <cellStyle name="Comma 2 2 6 3 8 2" xfId="10283"/>
    <cellStyle name="Comma 2 2 6 3 9" xfId="10284"/>
    <cellStyle name="Comma 2 2 6 3 9 2" xfId="10285"/>
    <cellStyle name="Comma 2 2 6 4" xfId="10286"/>
    <cellStyle name="Comma 2 2 6 4 10" xfId="10287"/>
    <cellStyle name="Comma 2 2 6 4 10 2" xfId="10288"/>
    <cellStyle name="Comma 2 2 6 4 11" xfId="10289"/>
    <cellStyle name="Comma 2 2 6 4 11 2" xfId="10290"/>
    <cellStyle name="Comma 2 2 6 4 12" xfId="10291"/>
    <cellStyle name="Comma 2 2 6 4 2" xfId="10292"/>
    <cellStyle name="Comma 2 2 6 4 2 2" xfId="10293"/>
    <cellStyle name="Comma 2 2 6 4 3" xfId="10294"/>
    <cellStyle name="Comma 2 2 6 4 3 2" xfId="10295"/>
    <cellStyle name="Comma 2 2 6 4 4" xfId="10296"/>
    <cellStyle name="Comma 2 2 6 4 4 2" xfId="10297"/>
    <cellStyle name="Comma 2 2 6 4 5" xfId="10298"/>
    <cellStyle name="Comma 2 2 6 4 5 2" xfId="10299"/>
    <cellStyle name="Comma 2 2 6 4 6" xfId="10300"/>
    <cellStyle name="Comma 2 2 6 4 6 2" xfId="10301"/>
    <cellStyle name="Comma 2 2 6 4 7" xfId="10302"/>
    <cellStyle name="Comma 2 2 6 4 7 2" xfId="10303"/>
    <cellStyle name="Comma 2 2 6 4 8" xfId="10304"/>
    <cellStyle name="Comma 2 2 6 4 8 2" xfId="10305"/>
    <cellStyle name="Comma 2 2 6 4 9" xfId="10306"/>
    <cellStyle name="Comma 2 2 6 4 9 2" xfId="10307"/>
    <cellStyle name="Comma 2 2 6 5" xfId="10308"/>
    <cellStyle name="Comma 2 2 6 5 10" xfId="10309"/>
    <cellStyle name="Comma 2 2 6 5 10 2" xfId="10310"/>
    <cellStyle name="Comma 2 2 6 5 11" xfId="10311"/>
    <cellStyle name="Comma 2 2 6 5 11 2" xfId="10312"/>
    <cellStyle name="Comma 2 2 6 5 12" xfId="10313"/>
    <cellStyle name="Comma 2 2 6 5 2" xfId="10314"/>
    <cellStyle name="Comma 2 2 6 5 2 2" xfId="10315"/>
    <cellStyle name="Comma 2 2 6 5 3" xfId="10316"/>
    <cellStyle name="Comma 2 2 6 5 3 2" xfId="10317"/>
    <cellStyle name="Comma 2 2 6 5 4" xfId="10318"/>
    <cellStyle name="Comma 2 2 6 5 4 2" xfId="10319"/>
    <cellStyle name="Comma 2 2 6 5 5" xfId="10320"/>
    <cellStyle name="Comma 2 2 6 5 5 2" xfId="10321"/>
    <cellStyle name="Comma 2 2 6 5 6" xfId="10322"/>
    <cellStyle name="Comma 2 2 6 5 6 2" xfId="10323"/>
    <cellStyle name="Comma 2 2 6 5 7" xfId="10324"/>
    <cellStyle name="Comma 2 2 6 5 7 2" xfId="10325"/>
    <cellStyle name="Comma 2 2 6 5 8" xfId="10326"/>
    <cellStyle name="Comma 2 2 6 5 8 2" xfId="10327"/>
    <cellStyle name="Comma 2 2 6 5 9" xfId="10328"/>
    <cellStyle name="Comma 2 2 6 5 9 2" xfId="10329"/>
    <cellStyle name="Comma 2 2 6 6" xfId="10330"/>
    <cellStyle name="Comma 2 2 6 6 10" xfId="10331"/>
    <cellStyle name="Comma 2 2 6 6 10 2" xfId="10332"/>
    <cellStyle name="Comma 2 2 6 6 11" xfId="10333"/>
    <cellStyle name="Comma 2 2 6 6 11 2" xfId="10334"/>
    <cellStyle name="Comma 2 2 6 6 12" xfId="10335"/>
    <cellStyle name="Comma 2 2 6 6 2" xfId="10336"/>
    <cellStyle name="Comma 2 2 6 6 2 2" xfId="10337"/>
    <cellStyle name="Comma 2 2 6 6 3" xfId="10338"/>
    <cellStyle name="Comma 2 2 6 6 3 2" xfId="10339"/>
    <cellStyle name="Comma 2 2 6 6 4" xfId="10340"/>
    <cellStyle name="Comma 2 2 6 6 4 2" xfId="10341"/>
    <cellStyle name="Comma 2 2 6 6 5" xfId="10342"/>
    <cellStyle name="Comma 2 2 6 6 5 2" xfId="10343"/>
    <cellStyle name="Comma 2 2 6 6 6" xfId="10344"/>
    <cellStyle name="Comma 2 2 6 6 6 2" xfId="10345"/>
    <cellStyle name="Comma 2 2 6 6 7" xfId="10346"/>
    <cellStyle name="Comma 2 2 6 6 7 2" xfId="10347"/>
    <cellStyle name="Comma 2 2 6 6 8" xfId="10348"/>
    <cellStyle name="Comma 2 2 6 6 8 2" xfId="10349"/>
    <cellStyle name="Comma 2 2 6 6 9" xfId="10350"/>
    <cellStyle name="Comma 2 2 6 6 9 2" xfId="10351"/>
    <cellStyle name="Comma 2 2 6 7" xfId="10352"/>
    <cellStyle name="Comma 2 2 6 7 10" xfId="10353"/>
    <cellStyle name="Comma 2 2 6 7 10 2" xfId="10354"/>
    <cellStyle name="Comma 2 2 6 7 11" xfId="10355"/>
    <cellStyle name="Comma 2 2 6 7 11 2" xfId="10356"/>
    <cellStyle name="Comma 2 2 6 7 12" xfId="10357"/>
    <cellStyle name="Comma 2 2 6 7 2" xfId="10358"/>
    <cellStyle name="Comma 2 2 6 7 2 2" xfId="10359"/>
    <cellStyle name="Comma 2 2 6 7 3" xfId="10360"/>
    <cellStyle name="Comma 2 2 6 7 3 2" xfId="10361"/>
    <cellStyle name="Comma 2 2 6 7 4" xfId="10362"/>
    <cellStyle name="Comma 2 2 6 7 4 2" xfId="10363"/>
    <cellStyle name="Comma 2 2 6 7 5" xfId="10364"/>
    <cellStyle name="Comma 2 2 6 7 5 2" xfId="10365"/>
    <cellStyle name="Comma 2 2 6 7 6" xfId="10366"/>
    <cellStyle name="Comma 2 2 6 7 6 2" xfId="10367"/>
    <cellStyle name="Comma 2 2 6 7 7" xfId="10368"/>
    <cellStyle name="Comma 2 2 6 7 7 2" xfId="10369"/>
    <cellStyle name="Comma 2 2 6 7 8" xfId="10370"/>
    <cellStyle name="Comma 2 2 6 7 8 2" xfId="10371"/>
    <cellStyle name="Comma 2 2 6 7 9" xfId="10372"/>
    <cellStyle name="Comma 2 2 6 7 9 2" xfId="10373"/>
    <cellStyle name="Comma 2 2 6 8" xfId="10374"/>
    <cellStyle name="Comma 2 2 6 8 10" xfId="10375"/>
    <cellStyle name="Comma 2 2 6 8 10 2" xfId="10376"/>
    <cellStyle name="Comma 2 2 6 8 11" xfId="10377"/>
    <cellStyle name="Comma 2 2 6 8 11 2" xfId="10378"/>
    <cellStyle name="Comma 2 2 6 8 12" xfId="10379"/>
    <cellStyle name="Comma 2 2 6 8 2" xfId="10380"/>
    <cellStyle name="Comma 2 2 6 8 2 2" xfId="10381"/>
    <cellStyle name="Comma 2 2 6 8 3" xfId="10382"/>
    <cellStyle name="Comma 2 2 6 8 3 2" xfId="10383"/>
    <cellStyle name="Comma 2 2 6 8 4" xfId="10384"/>
    <cellStyle name="Comma 2 2 6 8 4 2" xfId="10385"/>
    <cellStyle name="Comma 2 2 6 8 5" xfId="10386"/>
    <cellStyle name="Comma 2 2 6 8 5 2" xfId="10387"/>
    <cellStyle name="Comma 2 2 6 8 6" xfId="10388"/>
    <cellStyle name="Comma 2 2 6 8 6 2" xfId="10389"/>
    <cellStyle name="Comma 2 2 6 8 7" xfId="10390"/>
    <cellStyle name="Comma 2 2 6 8 7 2" xfId="10391"/>
    <cellStyle name="Comma 2 2 6 8 8" xfId="10392"/>
    <cellStyle name="Comma 2 2 6 8 8 2" xfId="10393"/>
    <cellStyle name="Comma 2 2 6 8 9" xfId="10394"/>
    <cellStyle name="Comma 2 2 6 8 9 2" xfId="10395"/>
    <cellStyle name="Comma 2 2 6 9" xfId="10396"/>
    <cellStyle name="Comma 2 2 6 9 10" xfId="10397"/>
    <cellStyle name="Comma 2 2 6 9 10 2" xfId="10398"/>
    <cellStyle name="Comma 2 2 6 9 11" xfId="10399"/>
    <cellStyle name="Comma 2 2 6 9 11 2" xfId="10400"/>
    <cellStyle name="Comma 2 2 6 9 12" xfId="10401"/>
    <cellStyle name="Comma 2 2 6 9 2" xfId="10402"/>
    <cellStyle name="Comma 2 2 6 9 2 2" xfId="10403"/>
    <cellStyle name="Comma 2 2 6 9 3" xfId="10404"/>
    <cellStyle name="Comma 2 2 6 9 3 2" xfId="10405"/>
    <cellStyle name="Comma 2 2 6 9 4" xfId="10406"/>
    <cellStyle name="Comma 2 2 6 9 4 2" xfId="10407"/>
    <cellStyle name="Comma 2 2 6 9 5" xfId="10408"/>
    <cellStyle name="Comma 2 2 6 9 5 2" xfId="10409"/>
    <cellStyle name="Comma 2 2 6 9 6" xfId="10410"/>
    <cellStyle name="Comma 2 2 6 9 6 2" xfId="10411"/>
    <cellStyle name="Comma 2 2 6 9 7" xfId="10412"/>
    <cellStyle name="Comma 2 2 6 9 7 2" xfId="10413"/>
    <cellStyle name="Comma 2 2 6 9 8" xfId="10414"/>
    <cellStyle name="Comma 2 2 6 9 8 2" xfId="10415"/>
    <cellStyle name="Comma 2 2 6 9 9" xfId="10416"/>
    <cellStyle name="Comma 2 2 6 9 9 2" xfId="10417"/>
    <cellStyle name="Comma 2 2 60" xfId="10418"/>
    <cellStyle name="Comma 2 2 60 2" xfId="10419"/>
    <cellStyle name="Comma 2 2 61" xfId="10420"/>
    <cellStyle name="Comma 2 2 61 2" xfId="10421"/>
    <cellStyle name="Comma 2 2 62" xfId="10422"/>
    <cellStyle name="Comma 2 2 62 2" xfId="10423"/>
    <cellStyle name="Comma 2 2 63" xfId="10424"/>
    <cellStyle name="Comma 2 2 63 2" xfId="10425"/>
    <cellStyle name="Comma 2 2 64" xfId="10426"/>
    <cellStyle name="Comma 2 2 64 2" xfId="10427"/>
    <cellStyle name="Comma 2 2 65" xfId="10428"/>
    <cellStyle name="Comma 2 2 65 2" xfId="10429"/>
    <cellStyle name="Comma 2 2 66" xfId="10430"/>
    <cellStyle name="Comma 2 2 66 2" xfId="10431"/>
    <cellStyle name="Comma 2 2 67" xfId="10432"/>
    <cellStyle name="Comma 2 2 67 2" xfId="10433"/>
    <cellStyle name="Comma 2 2 68" xfId="10434"/>
    <cellStyle name="Comma 2 2 68 2" xfId="10435"/>
    <cellStyle name="Comma 2 2 69" xfId="10436"/>
    <cellStyle name="Comma 2 2 69 2" xfId="10437"/>
    <cellStyle name="Comma 2 2 7" xfId="10438"/>
    <cellStyle name="Comma 2 2 7 10" xfId="10439"/>
    <cellStyle name="Comma 2 2 7 10 2" xfId="10440"/>
    <cellStyle name="Comma 2 2 7 11" xfId="10441"/>
    <cellStyle name="Comma 2 2 7 11 2" xfId="10442"/>
    <cellStyle name="Comma 2 2 7 12" xfId="10443"/>
    <cellStyle name="Comma 2 2 7 2" xfId="10444"/>
    <cellStyle name="Comma 2 2 7 2 2" xfId="10445"/>
    <cellStyle name="Comma 2 2 7 3" xfId="10446"/>
    <cellStyle name="Comma 2 2 7 3 2" xfId="10447"/>
    <cellStyle name="Comma 2 2 7 4" xfId="10448"/>
    <cellStyle name="Comma 2 2 7 4 2" xfId="10449"/>
    <cellStyle name="Comma 2 2 7 5" xfId="10450"/>
    <cellStyle name="Comma 2 2 7 5 2" xfId="10451"/>
    <cellStyle name="Comma 2 2 7 6" xfId="10452"/>
    <cellStyle name="Comma 2 2 7 6 2" xfId="10453"/>
    <cellStyle name="Comma 2 2 7 7" xfId="10454"/>
    <cellStyle name="Comma 2 2 7 7 2" xfId="10455"/>
    <cellStyle name="Comma 2 2 7 8" xfId="10456"/>
    <cellStyle name="Comma 2 2 7 8 2" xfId="10457"/>
    <cellStyle name="Comma 2 2 7 9" xfId="10458"/>
    <cellStyle name="Comma 2 2 7 9 2" xfId="10459"/>
    <cellStyle name="Comma 2 2 70" xfId="10460"/>
    <cellStyle name="Comma 2 2 70 2" xfId="10461"/>
    <cellStyle name="Comma 2 2 71" xfId="10462"/>
    <cellStyle name="Comma 2 2 71 2" xfId="10463"/>
    <cellStyle name="Comma 2 2 72" xfId="10464"/>
    <cellStyle name="Comma 2 2 72 2" xfId="10465"/>
    <cellStyle name="Comma 2 2 73" xfId="10466"/>
    <cellStyle name="Comma 2 2 73 2" xfId="10467"/>
    <cellStyle name="Comma 2 2 74" xfId="10468"/>
    <cellStyle name="Comma 2 2 74 2" xfId="10469"/>
    <cellStyle name="Comma 2 2 75" xfId="10470"/>
    <cellStyle name="Comma 2 2 75 2" xfId="10471"/>
    <cellStyle name="Comma 2 2 75 2 2" xfId="10472"/>
    <cellStyle name="Comma 2 2 75 3" xfId="10473"/>
    <cellStyle name="Comma 2 2 75 3 2" xfId="10474"/>
    <cellStyle name="Comma 2 2 75 4" xfId="10475"/>
    <cellStyle name="Comma 2 2 75 4 2" xfId="10476"/>
    <cellStyle name="Comma 2 2 75 5" xfId="10477"/>
    <cellStyle name="Comma 2 2 75 5 2" xfId="10478"/>
    <cellStyle name="Comma 2 2 75 6" xfId="10479"/>
    <cellStyle name="Comma 2 2 75 6 2" xfId="10480"/>
    <cellStyle name="Comma 2 2 76" xfId="10481"/>
    <cellStyle name="Comma 2 2 76 2" xfId="10482"/>
    <cellStyle name="Comma 2 2 76 2 2" xfId="10483"/>
    <cellStyle name="Comma 2 2 76 3" xfId="10484"/>
    <cellStyle name="Comma 2 2 76 3 2" xfId="10485"/>
    <cellStyle name="Comma 2 2 76 4" xfId="10486"/>
    <cellStyle name="Comma 2 2 76 4 2" xfId="10487"/>
    <cellStyle name="Comma 2 2 76 5" xfId="10488"/>
    <cellStyle name="Comma 2 2 76 5 2" xfId="10489"/>
    <cellStyle name="Comma 2 2 76 6" xfId="10490"/>
    <cellStyle name="Comma 2 2 76 6 2" xfId="10491"/>
    <cellStyle name="Comma 2 2 77" xfId="10492"/>
    <cellStyle name="Comma 2 2 77 2" xfId="10493"/>
    <cellStyle name="Comma 2 2 77 2 2" xfId="10494"/>
    <cellStyle name="Comma 2 2 77 3" xfId="10495"/>
    <cellStyle name="Comma 2 2 77 3 2" xfId="10496"/>
    <cellStyle name="Comma 2 2 77 4" xfId="10497"/>
    <cellStyle name="Comma 2 2 77 4 2" xfId="10498"/>
    <cellStyle name="Comma 2 2 78" xfId="10499"/>
    <cellStyle name="Comma 2 2 78 2" xfId="10500"/>
    <cellStyle name="Comma 2 2 78 2 2" xfId="10501"/>
    <cellStyle name="Comma 2 2 78 3" xfId="10502"/>
    <cellStyle name="Comma 2 2 78 3 2" xfId="10503"/>
    <cellStyle name="Comma 2 2 78 4" xfId="10504"/>
    <cellStyle name="Comma 2 2 78 4 2" xfId="10505"/>
    <cellStyle name="Comma 2 2 79" xfId="10506"/>
    <cellStyle name="Comma 2 2 79 2" xfId="10507"/>
    <cellStyle name="Comma 2 2 79 2 2" xfId="10508"/>
    <cellStyle name="Comma 2 2 8" xfId="10509"/>
    <cellStyle name="Comma 2 2 8 10" xfId="10510"/>
    <cellStyle name="Comma 2 2 8 10 2" xfId="10511"/>
    <cellStyle name="Comma 2 2 8 11" xfId="10512"/>
    <cellStyle name="Comma 2 2 8 11 2" xfId="10513"/>
    <cellStyle name="Comma 2 2 8 12" xfId="10514"/>
    <cellStyle name="Comma 2 2 8 2" xfId="10515"/>
    <cellStyle name="Comma 2 2 8 2 2" xfId="10516"/>
    <cellStyle name="Comma 2 2 8 3" xfId="10517"/>
    <cellStyle name="Comma 2 2 8 3 2" xfId="10518"/>
    <cellStyle name="Comma 2 2 8 4" xfId="10519"/>
    <cellStyle name="Comma 2 2 8 4 2" xfId="10520"/>
    <cellStyle name="Comma 2 2 8 5" xfId="10521"/>
    <cellStyle name="Comma 2 2 8 5 2" xfId="10522"/>
    <cellStyle name="Comma 2 2 8 6" xfId="10523"/>
    <cellStyle name="Comma 2 2 8 6 2" xfId="10524"/>
    <cellStyle name="Comma 2 2 8 7" xfId="10525"/>
    <cellStyle name="Comma 2 2 8 7 2" xfId="10526"/>
    <cellStyle name="Comma 2 2 8 8" xfId="10527"/>
    <cellStyle name="Comma 2 2 8 8 2" xfId="10528"/>
    <cellStyle name="Comma 2 2 8 9" xfId="10529"/>
    <cellStyle name="Comma 2 2 8 9 2" xfId="10530"/>
    <cellStyle name="Comma 2 2 80" xfId="10531"/>
    <cellStyle name="Comma 2 2 80 2" xfId="10532"/>
    <cellStyle name="Comma 2 2 80 2 2" xfId="10533"/>
    <cellStyle name="Comma 2 2 81" xfId="10534"/>
    <cellStyle name="Comma 2 2 82" xfId="10535"/>
    <cellStyle name="Comma 2 2 83" xfId="10536"/>
    <cellStyle name="Comma 2 2 84" xfId="10537"/>
    <cellStyle name="Comma 2 2 84 2" xfId="10538"/>
    <cellStyle name="Comma 2 2 85" xfId="10539"/>
    <cellStyle name="Comma 2 2 85 2" xfId="10540"/>
    <cellStyle name="Comma 2 2 86" xfId="10541"/>
    <cellStyle name="Comma 2 2 87" xfId="35659"/>
    <cellStyle name="Comma 2 2 9" xfId="10542"/>
    <cellStyle name="Comma 2 2 9 10" xfId="10543"/>
    <cellStyle name="Comma 2 2 9 10 2" xfId="10544"/>
    <cellStyle name="Comma 2 2 9 11" xfId="10545"/>
    <cellStyle name="Comma 2 2 9 11 2" xfId="10546"/>
    <cellStyle name="Comma 2 2 9 12" xfId="10547"/>
    <cellStyle name="Comma 2 2 9 2" xfId="10548"/>
    <cellStyle name="Comma 2 2 9 2 2" xfId="10549"/>
    <cellStyle name="Comma 2 2 9 3" xfId="10550"/>
    <cellStyle name="Comma 2 2 9 3 2" xfId="10551"/>
    <cellStyle name="Comma 2 2 9 4" xfId="10552"/>
    <cellStyle name="Comma 2 2 9 4 2" xfId="10553"/>
    <cellStyle name="Comma 2 2 9 5" xfId="10554"/>
    <cellStyle name="Comma 2 2 9 5 2" xfId="10555"/>
    <cellStyle name="Comma 2 2 9 6" xfId="10556"/>
    <cellStyle name="Comma 2 2 9 6 2" xfId="10557"/>
    <cellStyle name="Comma 2 2 9 7" xfId="10558"/>
    <cellStyle name="Comma 2 2 9 7 2" xfId="10559"/>
    <cellStyle name="Comma 2 2 9 8" xfId="10560"/>
    <cellStyle name="Comma 2 2 9 8 2" xfId="10561"/>
    <cellStyle name="Comma 2 2 9 9" xfId="10562"/>
    <cellStyle name="Comma 2 2 9 9 2" xfId="10563"/>
    <cellStyle name="Comma 2 3" xfId="10564"/>
    <cellStyle name="Comma 2 3 10" xfId="10565"/>
    <cellStyle name="Comma 2 3 10 10" xfId="10566"/>
    <cellStyle name="Comma 2 3 10 10 2" xfId="10567"/>
    <cellStyle name="Comma 2 3 10 11" xfId="10568"/>
    <cellStyle name="Comma 2 3 10 11 2" xfId="10569"/>
    <cellStyle name="Comma 2 3 10 12" xfId="10570"/>
    <cellStyle name="Comma 2 3 10 2" xfId="10571"/>
    <cellStyle name="Comma 2 3 10 2 2" xfId="10572"/>
    <cellStyle name="Comma 2 3 10 3" xfId="10573"/>
    <cellStyle name="Comma 2 3 10 3 2" xfId="10574"/>
    <cellStyle name="Comma 2 3 10 4" xfId="10575"/>
    <cellStyle name="Comma 2 3 10 4 2" xfId="10576"/>
    <cellStyle name="Comma 2 3 10 5" xfId="10577"/>
    <cellStyle name="Comma 2 3 10 5 2" xfId="10578"/>
    <cellStyle name="Comma 2 3 10 6" xfId="10579"/>
    <cellStyle name="Comma 2 3 10 6 2" xfId="10580"/>
    <cellStyle name="Comma 2 3 10 7" xfId="10581"/>
    <cellStyle name="Comma 2 3 10 7 2" xfId="10582"/>
    <cellStyle name="Comma 2 3 10 8" xfId="10583"/>
    <cellStyle name="Comma 2 3 10 8 2" xfId="10584"/>
    <cellStyle name="Comma 2 3 10 9" xfId="10585"/>
    <cellStyle name="Comma 2 3 10 9 2" xfId="10586"/>
    <cellStyle name="Comma 2 3 11" xfId="10587"/>
    <cellStyle name="Comma 2 3 11 10" xfId="10588"/>
    <cellStyle name="Comma 2 3 11 10 2" xfId="10589"/>
    <cellStyle name="Comma 2 3 11 11" xfId="10590"/>
    <cellStyle name="Comma 2 3 11 11 2" xfId="10591"/>
    <cellStyle name="Comma 2 3 11 12" xfId="10592"/>
    <cellStyle name="Comma 2 3 11 2" xfId="10593"/>
    <cellStyle name="Comma 2 3 11 2 2" xfId="10594"/>
    <cellStyle name="Comma 2 3 11 3" xfId="10595"/>
    <cellStyle name="Comma 2 3 11 3 2" xfId="10596"/>
    <cellStyle name="Comma 2 3 11 4" xfId="10597"/>
    <cellStyle name="Comma 2 3 11 4 2" xfId="10598"/>
    <cellStyle name="Comma 2 3 11 5" xfId="10599"/>
    <cellStyle name="Comma 2 3 11 5 2" xfId="10600"/>
    <cellStyle name="Comma 2 3 11 6" xfId="10601"/>
    <cellStyle name="Comma 2 3 11 6 2" xfId="10602"/>
    <cellStyle name="Comma 2 3 11 7" xfId="10603"/>
    <cellStyle name="Comma 2 3 11 7 2" xfId="10604"/>
    <cellStyle name="Comma 2 3 11 8" xfId="10605"/>
    <cellStyle name="Comma 2 3 11 8 2" xfId="10606"/>
    <cellStyle name="Comma 2 3 11 9" xfId="10607"/>
    <cellStyle name="Comma 2 3 11 9 2" xfId="10608"/>
    <cellStyle name="Comma 2 3 12" xfId="10609"/>
    <cellStyle name="Comma 2 3 12 10" xfId="10610"/>
    <cellStyle name="Comma 2 3 12 10 2" xfId="10611"/>
    <cellStyle name="Comma 2 3 12 11" xfId="10612"/>
    <cellStyle name="Comma 2 3 12 11 2" xfId="10613"/>
    <cellStyle name="Comma 2 3 12 12" xfId="10614"/>
    <cellStyle name="Comma 2 3 12 2" xfId="10615"/>
    <cellStyle name="Comma 2 3 12 2 2" xfId="10616"/>
    <cellStyle name="Comma 2 3 12 3" xfId="10617"/>
    <cellStyle name="Comma 2 3 12 3 2" xfId="10618"/>
    <cellStyle name="Comma 2 3 12 4" xfId="10619"/>
    <cellStyle name="Comma 2 3 12 4 2" xfId="10620"/>
    <cellStyle name="Comma 2 3 12 5" xfId="10621"/>
    <cellStyle name="Comma 2 3 12 5 2" xfId="10622"/>
    <cellStyle name="Comma 2 3 12 6" xfId="10623"/>
    <cellStyle name="Comma 2 3 12 6 2" xfId="10624"/>
    <cellStyle name="Comma 2 3 12 7" xfId="10625"/>
    <cellStyle name="Comma 2 3 12 7 2" xfId="10626"/>
    <cellStyle name="Comma 2 3 12 8" xfId="10627"/>
    <cellStyle name="Comma 2 3 12 8 2" xfId="10628"/>
    <cellStyle name="Comma 2 3 12 9" xfId="10629"/>
    <cellStyle name="Comma 2 3 12 9 2" xfId="10630"/>
    <cellStyle name="Comma 2 3 13" xfId="10631"/>
    <cellStyle name="Comma 2 3 13 10" xfId="10632"/>
    <cellStyle name="Comma 2 3 13 10 2" xfId="10633"/>
    <cellStyle name="Comma 2 3 13 11" xfId="10634"/>
    <cellStyle name="Comma 2 3 13 11 2" xfId="10635"/>
    <cellStyle name="Comma 2 3 13 12" xfId="10636"/>
    <cellStyle name="Comma 2 3 13 2" xfId="10637"/>
    <cellStyle name="Comma 2 3 13 2 2" xfId="10638"/>
    <cellStyle name="Comma 2 3 13 3" xfId="10639"/>
    <cellStyle name="Comma 2 3 13 3 2" xfId="10640"/>
    <cellStyle name="Comma 2 3 13 4" xfId="10641"/>
    <cellStyle name="Comma 2 3 13 4 2" xfId="10642"/>
    <cellStyle name="Comma 2 3 13 5" xfId="10643"/>
    <cellStyle name="Comma 2 3 13 5 2" xfId="10644"/>
    <cellStyle name="Comma 2 3 13 6" xfId="10645"/>
    <cellStyle name="Comma 2 3 13 6 2" xfId="10646"/>
    <cellStyle name="Comma 2 3 13 7" xfId="10647"/>
    <cellStyle name="Comma 2 3 13 7 2" xfId="10648"/>
    <cellStyle name="Comma 2 3 13 8" xfId="10649"/>
    <cellStyle name="Comma 2 3 13 8 2" xfId="10650"/>
    <cellStyle name="Comma 2 3 13 9" xfId="10651"/>
    <cellStyle name="Comma 2 3 13 9 2" xfId="10652"/>
    <cellStyle name="Comma 2 3 14" xfId="10653"/>
    <cellStyle name="Comma 2 3 14 10" xfId="10654"/>
    <cellStyle name="Comma 2 3 14 10 2" xfId="10655"/>
    <cellStyle name="Comma 2 3 14 11" xfId="10656"/>
    <cellStyle name="Comma 2 3 14 11 2" xfId="10657"/>
    <cellStyle name="Comma 2 3 14 12" xfId="10658"/>
    <cellStyle name="Comma 2 3 14 2" xfId="10659"/>
    <cellStyle name="Comma 2 3 14 2 2" xfId="10660"/>
    <cellStyle name="Comma 2 3 14 3" xfId="10661"/>
    <cellStyle name="Comma 2 3 14 3 2" xfId="10662"/>
    <cellStyle name="Comma 2 3 14 4" xfId="10663"/>
    <cellStyle name="Comma 2 3 14 4 2" xfId="10664"/>
    <cellStyle name="Comma 2 3 14 5" xfId="10665"/>
    <cellStyle name="Comma 2 3 14 5 2" xfId="10666"/>
    <cellStyle name="Comma 2 3 14 6" xfId="10667"/>
    <cellStyle name="Comma 2 3 14 6 2" xfId="10668"/>
    <cellStyle name="Comma 2 3 14 7" xfId="10669"/>
    <cellStyle name="Comma 2 3 14 7 2" xfId="10670"/>
    <cellStyle name="Comma 2 3 14 8" xfId="10671"/>
    <cellStyle name="Comma 2 3 14 8 2" xfId="10672"/>
    <cellStyle name="Comma 2 3 14 9" xfId="10673"/>
    <cellStyle name="Comma 2 3 14 9 2" xfId="10674"/>
    <cellStyle name="Comma 2 3 15" xfId="10675"/>
    <cellStyle name="Comma 2 3 15 10" xfId="10676"/>
    <cellStyle name="Comma 2 3 15 10 2" xfId="10677"/>
    <cellStyle name="Comma 2 3 15 11" xfId="10678"/>
    <cellStyle name="Comma 2 3 15 11 2" xfId="10679"/>
    <cellStyle name="Comma 2 3 15 12" xfId="10680"/>
    <cellStyle name="Comma 2 3 15 2" xfId="10681"/>
    <cellStyle name="Comma 2 3 15 2 2" xfId="10682"/>
    <cellStyle name="Comma 2 3 15 3" xfId="10683"/>
    <cellStyle name="Comma 2 3 15 3 2" xfId="10684"/>
    <cellStyle name="Comma 2 3 15 4" xfId="10685"/>
    <cellStyle name="Comma 2 3 15 4 2" xfId="10686"/>
    <cellStyle name="Comma 2 3 15 5" xfId="10687"/>
    <cellStyle name="Comma 2 3 15 5 2" xfId="10688"/>
    <cellStyle name="Comma 2 3 15 6" xfId="10689"/>
    <cellStyle name="Comma 2 3 15 6 2" xfId="10690"/>
    <cellStyle name="Comma 2 3 15 7" xfId="10691"/>
    <cellStyle name="Comma 2 3 15 7 2" xfId="10692"/>
    <cellStyle name="Comma 2 3 15 8" xfId="10693"/>
    <cellStyle name="Comma 2 3 15 8 2" xfId="10694"/>
    <cellStyle name="Comma 2 3 15 9" xfId="10695"/>
    <cellStyle name="Comma 2 3 15 9 2" xfId="10696"/>
    <cellStyle name="Comma 2 3 16" xfId="10697"/>
    <cellStyle name="Comma 2 3 16 10" xfId="10698"/>
    <cellStyle name="Comma 2 3 16 10 2" xfId="10699"/>
    <cellStyle name="Comma 2 3 16 11" xfId="10700"/>
    <cellStyle name="Comma 2 3 16 11 2" xfId="10701"/>
    <cellStyle name="Comma 2 3 16 12" xfId="10702"/>
    <cellStyle name="Comma 2 3 16 2" xfId="10703"/>
    <cellStyle name="Comma 2 3 16 2 2" xfId="10704"/>
    <cellStyle name="Comma 2 3 16 3" xfId="10705"/>
    <cellStyle name="Comma 2 3 16 3 2" xfId="10706"/>
    <cellStyle name="Comma 2 3 16 4" xfId="10707"/>
    <cellStyle name="Comma 2 3 16 4 2" xfId="10708"/>
    <cellStyle name="Comma 2 3 16 5" xfId="10709"/>
    <cellStyle name="Comma 2 3 16 5 2" xfId="10710"/>
    <cellStyle name="Comma 2 3 16 6" xfId="10711"/>
    <cellStyle name="Comma 2 3 16 6 2" xfId="10712"/>
    <cellStyle name="Comma 2 3 16 7" xfId="10713"/>
    <cellStyle name="Comma 2 3 16 7 2" xfId="10714"/>
    <cellStyle name="Comma 2 3 16 8" xfId="10715"/>
    <cellStyle name="Comma 2 3 16 8 2" xfId="10716"/>
    <cellStyle name="Comma 2 3 16 9" xfId="10717"/>
    <cellStyle name="Comma 2 3 16 9 2" xfId="10718"/>
    <cellStyle name="Comma 2 3 17" xfId="10719"/>
    <cellStyle name="Comma 2 3 17 10" xfId="10720"/>
    <cellStyle name="Comma 2 3 17 10 2" xfId="10721"/>
    <cellStyle name="Comma 2 3 17 11" xfId="10722"/>
    <cellStyle name="Comma 2 3 17 11 2" xfId="10723"/>
    <cellStyle name="Comma 2 3 17 12" xfId="10724"/>
    <cellStyle name="Comma 2 3 17 2" xfId="10725"/>
    <cellStyle name="Comma 2 3 17 2 2" xfId="10726"/>
    <cellStyle name="Comma 2 3 17 3" xfId="10727"/>
    <cellStyle name="Comma 2 3 17 3 2" xfId="10728"/>
    <cellStyle name="Comma 2 3 17 4" xfId="10729"/>
    <cellStyle name="Comma 2 3 17 4 2" xfId="10730"/>
    <cellStyle name="Comma 2 3 17 5" xfId="10731"/>
    <cellStyle name="Comma 2 3 17 5 2" xfId="10732"/>
    <cellStyle name="Comma 2 3 17 6" xfId="10733"/>
    <cellStyle name="Comma 2 3 17 6 2" xfId="10734"/>
    <cellStyle name="Comma 2 3 17 7" xfId="10735"/>
    <cellStyle name="Comma 2 3 17 7 2" xfId="10736"/>
    <cellStyle name="Comma 2 3 17 8" xfId="10737"/>
    <cellStyle name="Comma 2 3 17 8 2" xfId="10738"/>
    <cellStyle name="Comma 2 3 17 9" xfId="10739"/>
    <cellStyle name="Comma 2 3 17 9 2" xfId="10740"/>
    <cellStyle name="Comma 2 3 18" xfId="10741"/>
    <cellStyle name="Comma 2 3 18 10" xfId="10742"/>
    <cellStyle name="Comma 2 3 18 10 2" xfId="10743"/>
    <cellStyle name="Comma 2 3 18 11" xfId="10744"/>
    <cellStyle name="Comma 2 3 18 11 2" xfId="10745"/>
    <cellStyle name="Comma 2 3 18 12" xfId="10746"/>
    <cellStyle name="Comma 2 3 18 2" xfId="10747"/>
    <cellStyle name="Comma 2 3 18 2 2" xfId="10748"/>
    <cellStyle name="Comma 2 3 18 3" xfId="10749"/>
    <cellStyle name="Comma 2 3 18 3 2" xfId="10750"/>
    <cellStyle name="Comma 2 3 18 4" xfId="10751"/>
    <cellStyle name="Comma 2 3 18 4 2" xfId="10752"/>
    <cellStyle name="Comma 2 3 18 5" xfId="10753"/>
    <cellStyle name="Comma 2 3 18 5 2" xfId="10754"/>
    <cellStyle name="Comma 2 3 18 6" xfId="10755"/>
    <cellStyle name="Comma 2 3 18 6 2" xfId="10756"/>
    <cellStyle name="Comma 2 3 18 7" xfId="10757"/>
    <cellStyle name="Comma 2 3 18 7 2" xfId="10758"/>
    <cellStyle name="Comma 2 3 18 8" xfId="10759"/>
    <cellStyle name="Comma 2 3 18 8 2" xfId="10760"/>
    <cellStyle name="Comma 2 3 18 9" xfId="10761"/>
    <cellStyle name="Comma 2 3 18 9 2" xfId="10762"/>
    <cellStyle name="Comma 2 3 19" xfId="10763"/>
    <cellStyle name="Comma 2 3 19 10" xfId="10764"/>
    <cellStyle name="Comma 2 3 19 10 2" xfId="10765"/>
    <cellStyle name="Comma 2 3 19 11" xfId="10766"/>
    <cellStyle name="Comma 2 3 19 11 2" xfId="10767"/>
    <cellStyle name="Comma 2 3 19 12" xfId="10768"/>
    <cellStyle name="Comma 2 3 19 2" xfId="10769"/>
    <cellStyle name="Comma 2 3 19 2 2" xfId="10770"/>
    <cellStyle name="Comma 2 3 19 3" xfId="10771"/>
    <cellStyle name="Comma 2 3 19 3 2" xfId="10772"/>
    <cellStyle name="Comma 2 3 19 4" xfId="10773"/>
    <cellStyle name="Comma 2 3 19 4 2" xfId="10774"/>
    <cellStyle name="Comma 2 3 19 5" xfId="10775"/>
    <cellStyle name="Comma 2 3 19 5 2" xfId="10776"/>
    <cellStyle name="Comma 2 3 19 6" xfId="10777"/>
    <cellStyle name="Comma 2 3 19 6 2" xfId="10778"/>
    <cellStyle name="Comma 2 3 19 7" xfId="10779"/>
    <cellStyle name="Comma 2 3 19 7 2" xfId="10780"/>
    <cellStyle name="Comma 2 3 19 8" xfId="10781"/>
    <cellStyle name="Comma 2 3 19 8 2" xfId="10782"/>
    <cellStyle name="Comma 2 3 19 9" xfId="10783"/>
    <cellStyle name="Comma 2 3 19 9 2" xfId="10784"/>
    <cellStyle name="Comma 2 3 2" xfId="10785"/>
    <cellStyle name="Comma 2 3 2 10" xfId="10786"/>
    <cellStyle name="Comma 2 3 2 10 10" xfId="10787"/>
    <cellStyle name="Comma 2 3 2 10 10 2" xfId="10788"/>
    <cellStyle name="Comma 2 3 2 10 11" xfId="10789"/>
    <cellStyle name="Comma 2 3 2 10 11 2" xfId="10790"/>
    <cellStyle name="Comma 2 3 2 10 12" xfId="10791"/>
    <cellStyle name="Comma 2 3 2 10 2" xfId="10792"/>
    <cellStyle name="Comma 2 3 2 10 2 2" xfId="10793"/>
    <cellStyle name="Comma 2 3 2 10 3" xfId="10794"/>
    <cellStyle name="Comma 2 3 2 10 3 2" xfId="10795"/>
    <cellStyle name="Comma 2 3 2 10 4" xfId="10796"/>
    <cellStyle name="Comma 2 3 2 10 4 2" xfId="10797"/>
    <cellStyle name="Comma 2 3 2 10 5" xfId="10798"/>
    <cellStyle name="Comma 2 3 2 10 5 2" xfId="10799"/>
    <cellStyle name="Comma 2 3 2 10 6" xfId="10800"/>
    <cellStyle name="Comma 2 3 2 10 6 2" xfId="10801"/>
    <cellStyle name="Comma 2 3 2 10 7" xfId="10802"/>
    <cellStyle name="Comma 2 3 2 10 7 2" xfId="10803"/>
    <cellStyle name="Comma 2 3 2 10 8" xfId="10804"/>
    <cellStyle name="Comma 2 3 2 10 8 2" xfId="10805"/>
    <cellStyle name="Comma 2 3 2 10 9" xfId="10806"/>
    <cellStyle name="Comma 2 3 2 10 9 2" xfId="10807"/>
    <cellStyle name="Comma 2 3 2 11" xfId="10808"/>
    <cellStyle name="Comma 2 3 2 11 10" xfId="10809"/>
    <cellStyle name="Comma 2 3 2 11 10 2" xfId="10810"/>
    <cellStyle name="Comma 2 3 2 11 11" xfId="10811"/>
    <cellStyle name="Comma 2 3 2 11 11 2" xfId="10812"/>
    <cellStyle name="Comma 2 3 2 11 12" xfId="10813"/>
    <cellStyle name="Comma 2 3 2 11 2" xfId="10814"/>
    <cellStyle name="Comma 2 3 2 11 2 2" xfId="10815"/>
    <cellStyle name="Comma 2 3 2 11 3" xfId="10816"/>
    <cellStyle name="Comma 2 3 2 11 3 2" xfId="10817"/>
    <cellStyle name="Comma 2 3 2 11 4" xfId="10818"/>
    <cellStyle name="Comma 2 3 2 11 4 2" xfId="10819"/>
    <cellStyle name="Comma 2 3 2 11 5" xfId="10820"/>
    <cellStyle name="Comma 2 3 2 11 5 2" xfId="10821"/>
    <cellStyle name="Comma 2 3 2 11 6" xfId="10822"/>
    <cellStyle name="Comma 2 3 2 11 6 2" xfId="10823"/>
    <cellStyle name="Comma 2 3 2 11 7" xfId="10824"/>
    <cellStyle name="Comma 2 3 2 11 7 2" xfId="10825"/>
    <cellStyle name="Comma 2 3 2 11 8" xfId="10826"/>
    <cellStyle name="Comma 2 3 2 11 8 2" xfId="10827"/>
    <cellStyle name="Comma 2 3 2 11 9" xfId="10828"/>
    <cellStyle name="Comma 2 3 2 11 9 2" xfId="10829"/>
    <cellStyle name="Comma 2 3 2 12" xfId="10830"/>
    <cellStyle name="Comma 2 3 2 12 10" xfId="10831"/>
    <cellStyle name="Comma 2 3 2 12 10 2" xfId="10832"/>
    <cellStyle name="Comma 2 3 2 12 11" xfId="10833"/>
    <cellStyle name="Comma 2 3 2 12 11 2" xfId="10834"/>
    <cellStyle name="Comma 2 3 2 12 12" xfId="10835"/>
    <cellStyle name="Comma 2 3 2 12 2" xfId="10836"/>
    <cellStyle name="Comma 2 3 2 12 2 2" xfId="10837"/>
    <cellStyle name="Comma 2 3 2 12 3" xfId="10838"/>
    <cellStyle name="Comma 2 3 2 12 3 2" xfId="10839"/>
    <cellStyle name="Comma 2 3 2 12 4" xfId="10840"/>
    <cellStyle name="Comma 2 3 2 12 4 2" xfId="10841"/>
    <cellStyle name="Comma 2 3 2 12 5" xfId="10842"/>
    <cellStyle name="Comma 2 3 2 12 5 2" xfId="10843"/>
    <cellStyle name="Comma 2 3 2 12 6" xfId="10844"/>
    <cellStyle name="Comma 2 3 2 12 6 2" xfId="10845"/>
    <cellStyle name="Comma 2 3 2 12 7" xfId="10846"/>
    <cellStyle name="Comma 2 3 2 12 7 2" xfId="10847"/>
    <cellStyle name="Comma 2 3 2 12 8" xfId="10848"/>
    <cellStyle name="Comma 2 3 2 12 8 2" xfId="10849"/>
    <cellStyle name="Comma 2 3 2 12 9" xfId="10850"/>
    <cellStyle name="Comma 2 3 2 12 9 2" xfId="10851"/>
    <cellStyle name="Comma 2 3 2 13" xfId="10852"/>
    <cellStyle name="Comma 2 3 2 13 10" xfId="10853"/>
    <cellStyle name="Comma 2 3 2 13 10 2" xfId="10854"/>
    <cellStyle name="Comma 2 3 2 13 11" xfId="10855"/>
    <cellStyle name="Comma 2 3 2 13 11 2" xfId="10856"/>
    <cellStyle name="Comma 2 3 2 13 12" xfId="10857"/>
    <cellStyle name="Comma 2 3 2 13 2" xfId="10858"/>
    <cellStyle name="Comma 2 3 2 13 2 2" xfId="10859"/>
    <cellStyle name="Comma 2 3 2 13 3" xfId="10860"/>
    <cellStyle name="Comma 2 3 2 13 3 2" xfId="10861"/>
    <cellStyle name="Comma 2 3 2 13 4" xfId="10862"/>
    <cellStyle name="Comma 2 3 2 13 4 2" xfId="10863"/>
    <cellStyle name="Comma 2 3 2 13 5" xfId="10864"/>
    <cellStyle name="Comma 2 3 2 13 5 2" xfId="10865"/>
    <cellStyle name="Comma 2 3 2 13 6" xfId="10866"/>
    <cellStyle name="Comma 2 3 2 13 6 2" xfId="10867"/>
    <cellStyle name="Comma 2 3 2 13 7" xfId="10868"/>
    <cellStyle name="Comma 2 3 2 13 7 2" xfId="10869"/>
    <cellStyle name="Comma 2 3 2 13 8" xfId="10870"/>
    <cellStyle name="Comma 2 3 2 13 8 2" xfId="10871"/>
    <cellStyle name="Comma 2 3 2 13 9" xfId="10872"/>
    <cellStyle name="Comma 2 3 2 13 9 2" xfId="10873"/>
    <cellStyle name="Comma 2 3 2 14" xfId="10874"/>
    <cellStyle name="Comma 2 3 2 14 10" xfId="10875"/>
    <cellStyle name="Comma 2 3 2 14 10 2" xfId="10876"/>
    <cellStyle name="Comma 2 3 2 14 11" xfId="10877"/>
    <cellStyle name="Comma 2 3 2 14 11 2" xfId="10878"/>
    <cellStyle name="Comma 2 3 2 14 12" xfId="10879"/>
    <cellStyle name="Comma 2 3 2 14 2" xfId="10880"/>
    <cellStyle name="Comma 2 3 2 14 2 2" xfId="10881"/>
    <cellStyle name="Comma 2 3 2 14 3" xfId="10882"/>
    <cellStyle name="Comma 2 3 2 14 3 2" xfId="10883"/>
    <cellStyle name="Comma 2 3 2 14 4" xfId="10884"/>
    <cellStyle name="Comma 2 3 2 14 4 2" xfId="10885"/>
    <cellStyle name="Comma 2 3 2 14 5" xfId="10886"/>
    <cellStyle name="Comma 2 3 2 14 5 2" xfId="10887"/>
    <cellStyle name="Comma 2 3 2 14 6" xfId="10888"/>
    <cellStyle name="Comma 2 3 2 14 6 2" xfId="10889"/>
    <cellStyle name="Comma 2 3 2 14 7" xfId="10890"/>
    <cellStyle name="Comma 2 3 2 14 7 2" xfId="10891"/>
    <cellStyle name="Comma 2 3 2 14 8" xfId="10892"/>
    <cellStyle name="Comma 2 3 2 14 8 2" xfId="10893"/>
    <cellStyle name="Comma 2 3 2 14 9" xfId="10894"/>
    <cellStyle name="Comma 2 3 2 14 9 2" xfId="10895"/>
    <cellStyle name="Comma 2 3 2 15" xfId="10896"/>
    <cellStyle name="Comma 2 3 2 15 10" xfId="10897"/>
    <cellStyle name="Comma 2 3 2 15 10 2" xfId="10898"/>
    <cellStyle name="Comma 2 3 2 15 11" xfId="10899"/>
    <cellStyle name="Comma 2 3 2 15 11 2" xfId="10900"/>
    <cellStyle name="Comma 2 3 2 15 12" xfId="10901"/>
    <cellStyle name="Comma 2 3 2 15 2" xfId="10902"/>
    <cellStyle name="Comma 2 3 2 15 2 2" xfId="10903"/>
    <cellStyle name="Comma 2 3 2 15 3" xfId="10904"/>
    <cellStyle name="Comma 2 3 2 15 3 2" xfId="10905"/>
    <cellStyle name="Comma 2 3 2 15 4" xfId="10906"/>
    <cellStyle name="Comma 2 3 2 15 4 2" xfId="10907"/>
    <cellStyle name="Comma 2 3 2 15 5" xfId="10908"/>
    <cellStyle name="Comma 2 3 2 15 5 2" xfId="10909"/>
    <cellStyle name="Comma 2 3 2 15 6" xfId="10910"/>
    <cellStyle name="Comma 2 3 2 15 6 2" xfId="10911"/>
    <cellStyle name="Comma 2 3 2 15 7" xfId="10912"/>
    <cellStyle name="Comma 2 3 2 15 7 2" xfId="10913"/>
    <cellStyle name="Comma 2 3 2 15 8" xfId="10914"/>
    <cellStyle name="Comma 2 3 2 15 8 2" xfId="10915"/>
    <cellStyle name="Comma 2 3 2 15 9" xfId="10916"/>
    <cellStyle name="Comma 2 3 2 15 9 2" xfId="10917"/>
    <cellStyle name="Comma 2 3 2 16" xfId="10918"/>
    <cellStyle name="Comma 2 3 2 16 10" xfId="10919"/>
    <cellStyle name="Comma 2 3 2 16 10 2" xfId="10920"/>
    <cellStyle name="Comma 2 3 2 16 11" xfId="10921"/>
    <cellStyle name="Comma 2 3 2 16 11 2" xfId="10922"/>
    <cellStyle name="Comma 2 3 2 16 12" xfId="10923"/>
    <cellStyle name="Comma 2 3 2 16 2" xfId="10924"/>
    <cellStyle name="Comma 2 3 2 16 2 2" xfId="10925"/>
    <cellStyle name="Comma 2 3 2 16 3" xfId="10926"/>
    <cellStyle name="Comma 2 3 2 16 3 2" xfId="10927"/>
    <cellStyle name="Comma 2 3 2 16 4" xfId="10928"/>
    <cellStyle name="Comma 2 3 2 16 4 2" xfId="10929"/>
    <cellStyle name="Comma 2 3 2 16 5" xfId="10930"/>
    <cellStyle name="Comma 2 3 2 16 5 2" xfId="10931"/>
    <cellStyle name="Comma 2 3 2 16 6" xfId="10932"/>
    <cellStyle name="Comma 2 3 2 16 6 2" xfId="10933"/>
    <cellStyle name="Comma 2 3 2 16 7" xfId="10934"/>
    <cellStyle name="Comma 2 3 2 16 7 2" xfId="10935"/>
    <cellStyle name="Comma 2 3 2 16 8" xfId="10936"/>
    <cellStyle name="Comma 2 3 2 16 8 2" xfId="10937"/>
    <cellStyle name="Comma 2 3 2 16 9" xfId="10938"/>
    <cellStyle name="Comma 2 3 2 16 9 2" xfId="10939"/>
    <cellStyle name="Comma 2 3 2 17" xfId="10940"/>
    <cellStyle name="Comma 2 3 2 17 10" xfId="10941"/>
    <cellStyle name="Comma 2 3 2 17 10 2" xfId="10942"/>
    <cellStyle name="Comma 2 3 2 17 11" xfId="10943"/>
    <cellStyle name="Comma 2 3 2 17 11 2" xfId="10944"/>
    <cellStyle name="Comma 2 3 2 17 12" xfId="10945"/>
    <cellStyle name="Comma 2 3 2 17 2" xfId="10946"/>
    <cellStyle name="Comma 2 3 2 17 2 2" xfId="10947"/>
    <cellStyle name="Comma 2 3 2 17 3" xfId="10948"/>
    <cellStyle name="Comma 2 3 2 17 3 2" xfId="10949"/>
    <cellStyle name="Comma 2 3 2 17 4" xfId="10950"/>
    <cellStyle name="Comma 2 3 2 17 4 2" xfId="10951"/>
    <cellStyle name="Comma 2 3 2 17 5" xfId="10952"/>
    <cellStyle name="Comma 2 3 2 17 5 2" xfId="10953"/>
    <cellStyle name="Comma 2 3 2 17 6" xfId="10954"/>
    <cellStyle name="Comma 2 3 2 17 6 2" xfId="10955"/>
    <cellStyle name="Comma 2 3 2 17 7" xfId="10956"/>
    <cellStyle name="Comma 2 3 2 17 7 2" xfId="10957"/>
    <cellStyle name="Comma 2 3 2 17 8" xfId="10958"/>
    <cellStyle name="Comma 2 3 2 17 8 2" xfId="10959"/>
    <cellStyle name="Comma 2 3 2 17 9" xfId="10960"/>
    <cellStyle name="Comma 2 3 2 17 9 2" xfId="10961"/>
    <cellStyle name="Comma 2 3 2 18" xfId="10962"/>
    <cellStyle name="Comma 2 3 2 18 10" xfId="10963"/>
    <cellStyle name="Comma 2 3 2 18 10 2" xfId="10964"/>
    <cellStyle name="Comma 2 3 2 18 11" xfId="10965"/>
    <cellStyle name="Comma 2 3 2 18 11 2" xfId="10966"/>
    <cellStyle name="Comma 2 3 2 18 12" xfId="10967"/>
    <cellStyle name="Comma 2 3 2 18 2" xfId="10968"/>
    <cellStyle name="Comma 2 3 2 18 2 2" xfId="10969"/>
    <cellStyle name="Comma 2 3 2 18 3" xfId="10970"/>
    <cellStyle name="Comma 2 3 2 18 3 2" xfId="10971"/>
    <cellStyle name="Comma 2 3 2 18 4" xfId="10972"/>
    <cellStyle name="Comma 2 3 2 18 4 2" xfId="10973"/>
    <cellStyle name="Comma 2 3 2 18 5" xfId="10974"/>
    <cellStyle name="Comma 2 3 2 18 5 2" xfId="10975"/>
    <cellStyle name="Comma 2 3 2 18 6" xfId="10976"/>
    <cellStyle name="Comma 2 3 2 18 6 2" xfId="10977"/>
    <cellStyle name="Comma 2 3 2 18 7" xfId="10978"/>
    <cellStyle name="Comma 2 3 2 18 7 2" xfId="10979"/>
    <cellStyle name="Comma 2 3 2 18 8" xfId="10980"/>
    <cellStyle name="Comma 2 3 2 18 8 2" xfId="10981"/>
    <cellStyle name="Comma 2 3 2 18 9" xfId="10982"/>
    <cellStyle name="Comma 2 3 2 18 9 2" xfId="10983"/>
    <cellStyle name="Comma 2 3 2 19" xfId="10984"/>
    <cellStyle name="Comma 2 3 2 19 10" xfId="10985"/>
    <cellStyle name="Comma 2 3 2 19 10 2" xfId="10986"/>
    <cellStyle name="Comma 2 3 2 19 11" xfId="10987"/>
    <cellStyle name="Comma 2 3 2 19 11 2" xfId="10988"/>
    <cellStyle name="Comma 2 3 2 19 12" xfId="10989"/>
    <cellStyle name="Comma 2 3 2 19 2" xfId="10990"/>
    <cellStyle name="Comma 2 3 2 19 2 2" xfId="10991"/>
    <cellStyle name="Comma 2 3 2 19 3" xfId="10992"/>
    <cellStyle name="Comma 2 3 2 19 3 2" xfId="10993"/>
    <cellStyle name="Comma 2 3 2 19 4" xfId="10994"/>
    <cellStyle name="Comma 2 3 2 19 4 2" xfId="10995"/>
    <cellStyle name="Comma 2 3 2 19 5" xfId="10996"/>
    <cellStyle name="Comma 2 3 2 19 5 2" xfId="10997"/>
    <cellStyle name="Comma 2 3 2 19 6" xfId="10998"/>
    <cellStyle name="Comma 2 3 2 19 6 2" xfId="10999"/>
    <cellStyle name="Comma 2 3 2 19 7" xfId="11000"/>
    <cellStyle name="Comma 2 3 2 19 7 2" xfId="11001"/>
    <cellStyle name="Comma 2 3 2 19 8" xfId="11002"/>
    <cellStyle name="Comma 2 3 2 19 8 2" xfId="11003"/>
    <cellStyle name="Comma 2 3 2 19 9" xfId="11004"/>
    <cellStyle name="Comma 2 3 2 19 9 2" xfId="11005"/>
    <cellStyle name="Comma 2 3 2 2" xfId="11006"/>
    <cellStyle name="Comma 2 3 2 2 10" xfId="11007"/>
    <cellStyle name="Comma 2 3 2 2 10 2" xfId="11008"/>
    <cellStyle name="Comma 2 3 2 2 11" xfId="11009"/>
    <cellStyle name="Comma 2 3 2 2 11 2" xfId="11010"/>
    <cellStyle name="Comma 2 3 2 2 12" xfId="11011"/>
    <cellStyle name="Comma 2 3 2 2 2" xfId="11012"/>
    <cellStyle name="Comma 2 3 2 2 2 2" xfId="11013"/>
    <cellStyle name="Comma 2 3 2 2 3" xfId="11014"/>
    <cellStyle name="Comma 2 3 2 2 3 2" xfId="11015"/>
    <cellStyle name="Comma 2 3 2 2 4" xfId="11016"/>
    <cellStyle name="Comma 2 3 2 2 4 2" xfId="11017"/>
    <cellStyle name="Comma 2 3 2 2 5" xfId="11018"/>
    <cellStyle name="Comma 2 3 2 2 5 2" xfId="11019"/>
    <cellStyle name="Comma 2 3 2 2 6" xfId="11020"/>
    <cellStyle name="Comma 2 3 2 2 6 2" xfId="11021"/>
    <cellStyle name="Comma 2 3 2 2 7" xfId="11022"/>
    <cellStyle name="Comma 2 3 2 2 7 2" xfId="11023"/>
    <cellStyle name="Comma 2 3 2 2 8" xfId="11024"/>
    <cellStyle name="Comma 2 3 2 2 8 2" xfId="11025"/>
    <cellStyle name="Comma 2 3 2 2 9" xfId="11026"/>
    <cellStyle name="Comma 2 3 2 2 9 2" xfId="11027"/>
    <cellStyle name="Comma 2 3 2 20" xfId="11028"/>
    <cellStyle name="Comma 2 3 2 20 10" xfId="11029"/>
    <cellStyle name="Comma 2 3 2 20 10 2" xfId="11030"/>
    <cellStyle name="Comma 2 3 2 20 11" xfId="11031"/>
    <cellStyle name="Comma 2 3 2 20 11 2" xfId="11032"/>
    <cellStyle name="Comma 2 3 2 20 12" xfId="11033"/>
    <cellStyle name="Comma 2 3 2 20 2" xfId="11034"/>
    <cellStyle name="Comma 2 3 2 20 2 2" xfId="11035"/>
    <cellStyle name="Comma 2 3 2 20 3" xfId="11036"/>
    <cellStyle name="Comma 2 3 2 20 3 2" xfId="11037"/>
    <cellStyle name="Comma 2 3 2 20 4" xfId="11038"/>
    <cellStyle name="Comma 2 3 2 20 4 2" xfId="11039"/>
    <cellStyle name="Comma 2 3 2 20 5" xfId="11040"/>
    <cellStyle name="Comma 2 3 2 20 5 2" xfId="11041"/>
    <cellStyle name="Comma 2 3 2 20 6" xfId="11042"/>
    <cellStyle name="Comma 2 3 2 20 6 2" xfId="11043"/>
    <cellStyle name="Comma 2 3 2 20 7" xfId="11044"/>
    <cellStyle name="Comma 2 3 2 20 7 2" xfId="11045"/>
    <cellStyle name="Comma 2 3 2 20 8" xfId="11046"/>
    <cellStyle name="Comma 2 3 2 20 8 2" xfId="11047"/>
    <cellStyle name="Comma 2 3 2 20 9" xfId="11048"/>
    <cellStyle name="Comma 2 3 2 20 9 2" xfId="11049"/>
    <cellStyle name="Comma 2 3 2 21" xfId="11050"/>
    <cellStyle name="Comma 2 3 2 21 10" xfId="11051"/>
    <cellStyle name="Comma 2 3 2 21 10 2" xfId="11052"/>
    <cellStyle name="Comma 2 3 2 21 11" xfId="11053"/>
    <cellStyle name="Comma 2 3 2 21 11 2" xfId="11054"/>
    <cellStyle name="Comma 2 3 2 21 12" xfId="11055"/>
    <cellStyle name="Comma 2 3 2 21 2" xfId="11056"/>
    <cellStyle name="Comma 2 3 2 21 2 2" xfId="11057"/>
    <cellStyle name="Comma 2 3 2 21 3" xfId="11058"/>
    <cellStyle name="Comma 2 3 2 21 3 2" xfId="11059"/>
    <cellStyle name="Comma 2 3 2 21 4" xfId="11060"/>
    <cellStyle name="Comma 2 3 2 21 4 2" xfId="11061"/>
    <cellStyle name="Comma 2 3 2 21 5" xfId="11062"/>
    <cellStyle name="Comma 2 3 2 21 5 2" xfId="11063"/>
    <cellStyle name="Comma 2 3 2 21 6" xfId="11064"/>
    <cellStyle name="Comma 2 3 2 21 6 2" xfId="11065"/>
    <cellStyle name="Comma 2 3 2 21 7" xfId="11066"/>
    <cellStyle name="Comma 2 3 2 21 7 2" xfId="11067"/>
    <cellStyle name="Comma 2 3 2 21 8" xfId="11068"/>
    <cellStyle name="Comma 2 3 2 21 8 2" xfId="11069"/>
    <cellStyle name="Comma 2 3 2 21 9" xfId="11070"/>
    <cellStyle name="Comma 2 3 2 21 9 2" xfId="11071"/>
    <cellStyle name="Comma 2 3 2 22" xfId="11072"/>
    <cellStyle name="Comma 2 3 2 22 10" xfId="11073"/>
    <cellStyle name="Comma 2 3 2 22 10 2" xfId="11074"/>
    <cellStyle name="Comma 2 3 2 22 11" xfId="11075"/>
    <cellStyle name="Comma 2 3 2 22 11 2" xfId="11076"/>
    <cellStyle name="Comma 2 3 2 22 12" xfId="11077"/>
    <cellStyle name="Comma 2 3 2 22 2" xfId="11078"/>
    <cellStyle name="Comma 2 3 2 22 2 2" xfId="11079"/>
    <cellStyle name="Comma 2 3 2 22 3" xfId="11080"/>
    <cellStyle name="Comma 2 3 2 22 3 2" xfId="11081"/>
    <cellStyle name="Comma 2 3 2 22 4" xfId="11082"/>
    <cellStyle name="Comma 2 3 2 22 4 2" xfId="11083"/>
    <cellStyle name="Comma 2 3 2 22 5" xfId="11084"/>
    <cellStyle name="Comma 2 3 2 22 5 2" xfId="11085"/>
    <cellStyle name="Comma 2 3 2 22 6" xfId="11086"/>
    <cellStyle name="Comma 2 3 2 22 6 2" xfId="11087"/>
    <cellStyle name="Comma 2 3 2 22 7" xfId="11088"/>
    <cellStyle name="Comma 2 3 2 22 7 2" xfId="11089"/>
    <cellStyle name="Comma 2 3 2 22 8" xfId="11090"/>
    <cellStyle name="Comma 2 3 2 22 8 2" xfId="11091"/>
    <cellStyle name="Comma 2 3 2 22 9" xfId="11092"/>
    <cellStyle name="Comma 2 3 2 22 9 2" xfId="11093"/>
    <cellStyle name="Comma 2 3 2 23" xfId="11094"/>
    <cellStyle name="Comma 2 3 2 23 10" xfId="11095"/>
    <cellStyle name="Comma 2 3 2 23 10 2" xfId="11096"/>
    <cellStyle name="Comma 2 3 2 23 11" xfId="11097"/>
    <cellStyle name="Comma 2 3 2 23 11 2" xfId="11098"/>
    <cellStyle name="Comma 2 3 2 23 12" xfId="11099"/>
    <cellStyle name="Comma 2 3 2 23 2" xfId="11100"/>
    <cellStyle name="Comma 2 3 2 23 2 2" xfId="11101"/>
    <cellStyle name="Comma 2 3 2 23 3" xfId="11102"/>
    <cellStyle name="Comma 2 3 2 23 3 2" xfId="11103"/>
    <cellStyle name="Comma 2 3 2 23 4" xfId="11104"/>
    <cellStyle name="Comma 2 3 2 23 4 2" xfId="11105"/>
    <cellStyle name="Comma 2 3 2 23 5" xfId="11106"/>
    <cellStyle name="Comma 2 3 2 23 5 2" xfId="11107"/>
    <cellStyle name="Comma 2 3 2 23 6" xfId="11108"/>
    <cellStyle name="Comma 2 3 2 23 6 2" xfId="11109"/>
    <cellStyle name="Comma 2 3 2 23 7" xfId="11110"/>
    <cellStyle name="Comma 2 3 2 23 7 2" xfId="11111"/>
    <cellStyle name="Comma 2 3 2 23 8" xfId="11112"/>
    <cellStyle name="Comma 2 3 2 23 8 2" xfId="11113"/>
    <cellStyle name="Comma 2 3 2 23 9" xfId="11114"/>
    <cellStyle name="Comma 2 3 2 23 9 2" xfId="11115"/>
    <cellStyle name="Comma 2 3 2 24" xfId="11116"/>
    <cellStyle name="Comma 2 3 2 24 10" xfId="11117"/>
    <cellStyle name="Comma 2 3 2 24 10 2" xfId="11118"/>
    <cellStyle name="Comma 2 3 2 24 11" xfId="11119"/>
    <cellStyle name="Comma 2 3 2 24 11 2" xfId="11120"/>
    <cellStyle name="Comma 2 3 2 24 12" xfId="11121"/>
    <cellStyle name="Comma 2 3 2 24 2" xfId="11122"/>
    <cellStyle name="Comma 2 3 2 24 2 2" xfId="11123"/>
    <cellStyle name="Comma 2 3 2 24 3" xfId="11124"/>
    <cellStyle name="Comma 2 3 2 24 3 2" xfId="11125"/>
    <cellStyle name="Comma 2 3 2 24 4" xfId="11126"/>
    <cellStyle name="Comma 2 3 2 24 4 2" xfId="11127"/>
    <cellStyle name="Comma 2 3 2 24 5" xfId="11128"/>
    <cellStyle name="Comma 2 3 2 24 5 2" xfId="11129"/>
    <cellStyle name="Comma 2 3 2 24 6" xfId="11130"/>
    <cellStyle name="Comma 2 3 2 24 6 2" xfId="11131"/>
    <cellStyle name="Comma 2 3 2 24 7" xfId="11132"/>
    <cellStyle name="Comma 2 3 2 24 7 2" xfId="11133"/>
    <cellStyle name="Comma 2 3 2 24 8" xfId="11134"/>
    <cellStyle name="Comma 2 3 2 24 8 2" xfId="11135"/>
    <cellStyle name="Comma 2 3 2 24 9" xfId="11136"/>
    <cellStyle name="Comma 2 3 2 24 9 2" xfId="11137"/>
    <cellStyle name="Comma 2 3 2 25" xfId="11138"/>
    <cellStyle name="Comma 2 3 2 25 10" xfId="11139"/>
    <cellStyle name="Comma 2 3 2 25 10 2" xfId="11140"/>
    <cellStyle name="Comma 2 3 2 25 11" xfId="11141"/>
    <cellStyle name="Comma 2 3 2 25 11 2" xfId="11142"/>
    <cellStyle name="Comma 2 3 2 25 12" xfId="11143"/>
    <cellStyle name="Comma 2 3 2 25 2" xfId="11144"/>
    <cellStyle name="Comma 2 3 2 25 2 2" xfId="11145"/>
    <cellStyle name="Comma 2 3 2 25 3" xfId="11146"/>
    <cellStyle name="Comma 2 3 2 25 3 2" xfId="11147"/>
    <cellStyle name="Comma 2 3 2 25 4" xfId="11148"/>
    <cellStyle name="Comma 2 3 2 25 4 2" xfId="11149"/>
    <cellStyle name="Comma 2 3 2 25 5" xfId="11150"/>
    <cellStyle name="Comma 2 3 2 25 5 2" xfId="11151"/>
    <cellStyle name="Comma 2 3 2 25 6" xfId="11152"/>
    <cellStyle name="Comma 2 3 2 25 6 2" xfId="11153"/>
    <cellStyle name="Comma 2 3 2 25 7" xfId="11154"/>
    <cellStyle name="Comma 2 3 2 25 7 2" xfId="11155"/>
    <cellStyle name="Comma 2 3 2 25 8" xfId="11156"/>
    <cellStyle name="Comma 2 3 2 25 8 2" xfId="11157"/>
    <cellStyle name="Comma 2 3 2 25 9" xfId="11158"/>
    <cellStyle name="Comma 2 3 2 25 9 2" xfId="11159"/>
    <cellStyle name="Comma 2 3 2 26" xfId="11160"/>
    <cellStyle name="Comma 2 3 2 26 10" xfId="11161"/>
    <cellStyle name="Comma 2 3 2 26 10 2" xfId="11162"/>
    <cellStyle name="Comma 2 3 2 26 11" xfId="11163"/>
    <cellStyle name="Comma 2 3 2 26 11 2" xfId="11164"/>
    <cellStyle name="Comma 2 3 2 26 12" xfId="11165"/>
    <cellStyle name="Comma 2 3 2 26 2" xfId="11166"/>
    <cellStyle name="Comma 2 3 2 26 2 2" xfId="11167"/>
    <cellStyle name="Comma 2 3 2 26 3" xfId="11168"/>
    <cellStyle name="Comma 2 3 2 26 3 2" xfId="11169"/>
    <cellStyle name="Comma 2 3 2 26 4" xfId="11170"/>
    <cellStyle name="Comma 2 3 2 26 4 2" xfId="11171"/>
    <cellStyle name="Comma 2 3 2 26 5" xfId="11172"/>
    <cellStyle name="Comma 2 3 2 26 5 2" xfId="11173"/>
    <cellStyle name="Comma 2 3 2 26 6" xfId="11174"/>
    <cellStyle name="Comma 2 3 2 26 6 2" xfId="11175"/>
    <cellStyle name="Comma 2 3 2 26 7" xfId="11176"/>
    <cellStyle name="Comma 2 3 2 26 7 2" xfId="11177"/>
    <cellStyle name="Comma 2 3 2 26 8" xfId="11178"/>
    <cellStyle name="Comma 2 3 2 26 8 2" xfId="11179"/>
    <cellStyle name="Comma 2 3 2 26 9" xfId="11180"/>
    <cellStyle name="Comma 2 3 2 26 9 2" xfId="11181"/>
    <cellStyle name="Comma 2 3 2 27" xfId="11182"/>
    <cellStyle name="Comma 2 3 2 27 10" xfId="11183"/>
    <cellStyle name="Comma 2 3 2 27 10 2" xfId="11184"/>
    <cellStyle name="Comma 2 3 2 27 11" xfId="11185"/>
    <cellStyle name="Comma 2 3 2 27 11 2" xfId="11186"/>
    <cellStyle name="Comma 2 3 2 27 12" xfId="11187"/>
    <cellStyle name="Comma 2 3 2 27 2" xfId="11188"/>
    <cellStyle name="Comma 2 3 2 27 2 2" xfId="11189"/>
    <cellStyle name="Comma 2 3 2 27 3" xfId="11190"/>
    <cellStyle name="Comma 2 3 2 27 3 2" xfId="11191"/>
    <cellStyle name="Comma 2 3 2 27 4" xfId="11192"/>
    <cellStyle name="Comma 2 3 2 27 4 2" xfId="11193"/>
    <cellStyle name="Comma 2 3 2 27 5" xfId="11194"/>
    <cellStyle name="Comma 2 3 2 27 5 2" xfId="11195"/>
    <cellStyle name="Comma 2 3 2 27 6" xfId="11196"/>
    <cellStyle name="Comma 2 3 2 27 6 2" xfId="11197"/>
    <cellStyle name="Comma 2 3 2 27 7" xfId="11198"/>
    <cellStyle name="Comma 2 3 2 27 7 2" xfId="11199"/>
    <cellStyle name="Comma 2 3 2 27 8" xfId="11200"/>
    <cellStyle name="Comma 2 3 2 27 8 2" xfId="11201"/>
    <cellStyle name="Comma 2 3 2 27 9" xfId="11202"/>
    <cellStyle name="Comma 2 3 2 27 9 2" xfId="11203"/>
    <cellStyle name="Comma 2 3 2 28" xfId="11204"/>
    <cellStyle name="Comma 2 3 2 28 10" xfId="11205"/>
    <cellStyle name="Comma 2 3 2 28 10 2" xfId="11206"/>
    <cellStyle name="Comma 2 3 2 28 11" xfId="11207"/>
    <cellStyle name="Comma 2 3 2 28 11 2" xfId="11208"/>
    <cellStyle name="Comma 2 3 2 28 12" xfId="11209"/>
    <cellStyle name="Comma 2 3 2 28 2" xfId="11210"/>
    <cellStyle name="Comma 2 3 2 28 2 2" xfId="11211"/>
    <cellStyle name="Comma 2 3 2 28 3" xfId="11212"/>
    <cellStyle name="Comma 2 3 2 28 3 2" xfId="11213"/>
    <cellStyle name="Comma 2 3 2 28 4" xfId="11214"/>
    <cellStyle name="Comma 2 3 2 28 4 2" xfId="11215"/>
    <cellStyle name="Comma 2 3 2 28 5" xfId="11216"/>
    <cellStyle name="Comma 2 3 2 28 5 2" xfId="11217"/>
    <cellStyle name="Comma 2 3 2 28 6" xfId="11218"/>
    <cellStyle name="Comma 2 3 2 28 6 2" xfId="11219"/>
    <cellStyle name="Comma 2 3 2 28 7" xfId="11220"/>
    <cellStyle name="Comma 2 3 2 28 7 2" xfId="11221"/>
    <cellStyle name="Comma 2 3 2 28 8" xfId="11222"/>
    <cellStyle name="Comma 2 3 2 28 8 2" xfId="11223"/>
    <cellStyle name="Comma 2 3 2 28 9" xfId="11224"/>
    <cellStyle name="Comma 2 3 2 28 9 2" xfId="11225"/>
    <cellStyle name="Comma 2 3 2 29" xfId="11226"/>
    <cellStyle name="Comma 2 3 2 29 10" xfId="11227"/>
    <cellStyle name="Comma 2 3 2 29 10 2" xfId="11228"/>
    <cellStyle name="Comma 2 3 2 29 11" xfId="11229"/>
    <cellStyle name="Comma 2 3 2 29 11 2" xfId="11230"/>
    <cellStyle name="Comma 2 3 2 29 12" xfId="11231"/>
    <cellStyle name="Comma 2 3 2 29 2" xfId="11232"/>
    <cellStyle name="Comma 2 3 2 29 2 2" xfId="11233"/>
    <cellStyle name="Comma 2 3 2 29 3" xfId="11234"/>
    <cellStyle name="Comma 2 3 2 29 3 2" xfId="11235"/>
    <cellStyle name="Comma 2 3 2 29 4" xfId="11236"/>
    <cellStyle name="Comma 2 3 2 29 4 2" xfId="11237"/>
    <cellStyle name="Comma 2 3 2 29 5" xfId="11238"/>
    <cellStyle name="Comma 2 3 2 29 5 2" xfId="11239"/>
    <cellStyle name="Comma 2 3 2 29 6" xfId="11240"/>
    <cellStyle name="Comma 2 3 2 29 6 2" xfId="11241"/>
    <cellStyle name="Comma 2 3 2 29 7" xfId="11242"/>
    <cellStyle name="Comma 2 3 2 29 7 2" xfId="11243"/>
    <cellStyle name="Comma 2 3 2 29 8" xfId="11244"/>
    <cellStyle name="Comma 2 3 2 29 8 2" xfId="11245"/>
    <cellStyle name="Comma 2 3 2 29 9" xfId="11246"/>
    <cellStyle name="Comma 2 3 2 29 9 2" xfId="11247"/>
    <cellStyle name="Comma 2 3 2 3" xfId="11248"/>
    <cellStyle name="Comma 2 3 2 3 10" xfId="11249"/>
    <cellStyle name="Comma 2 3 2 3 10 2" xfId="11250"/>
    <cellStyle name="Comma 2 3 2 3 11" xfId="11251"/>
    <cellStyle name="Comma 2 3 2 3 11 2" xfId="11252"/>
    <cellStyle name="Comma 2 3 2 3 12" xfId="11253"/>
    <cellStyle name="Comma 2 3 2 3 2" xfId="11254"/>
    <cellStyle name="Comma 2 3 2 3 2 2" xfId="11255"/>
    <cellStyle name="Comma 2 3 2 3 3" xfId="11256"/>
    <cellStyle name="Comma 2 3 2 3 3 2" xfId="11257"/>
    <cellStyle name="Comma 2 3 2 3 4" xfId="11258"/>
    <cellStyle name="Comma 2 3 2 3 4 2" xfId="11259"/>
    <cellStyle name="Comma 2 3 2 3 5" xfId="11260"/>
    <cellStyle name="Comma 2 3 2 3 5 2" xfId="11261"/>
    <cellStyle name="Comma 2 3 2 3 6" xfId="11262"/>
    <cellStyle name="Comma 2 3 2 3 6 2" xfId="11263"/>
    <cellStyle name="Comma 2 3 2 3 7" xfId="11264"/>
    <cellStyle name="Comma 2 3 2 3 7 2" xfId="11265"/>
    <cellStyle name="Comma 2 3 2 3 8" xfId="11266"/>
    <cellStyle name="Comma 2 3 2 3 8 2" xfId="11267"/>
    <cellStyle name="Comma 2 3 2 3 9" xfId="11268"/>
    <cellStyle name="Comma 2 3 2 3 9 2" xfId="11269"/>
    <cellStyle name="Comma 2 3 2 30" xfId="11270"/>
    <cellStyle name="Comma 2 3 2 30 10" xfId="11271"/>
    <cellStyle name="Comma 2 3 2 30 10 2" xfId="11272"/>
    <cellStyle name="Comma 2 3 2 30 11" xfId="11273"/>
    <cellStyle name="Comma 2 3 2 30 11 2" xfId="11274"/>
    <cellStyle name="Comma 2 3 2 30 12" xfId="11275"/>
    <cellStyle name="Comma 2 3 2 30 2" xfId="11276"/>
    <cellStyle name="Comma 2 3 2 30 2 2" xfId="11277"/>
    <cellStyle name="Comma 2 3 2 30 3" xfId="11278"/>
    <cellStyle name="Comma 2 3 2 30 3 2" xfId="11279"/>
    <cellStyle name="Comma 2 3 2 30 4" xfId="11280"/>
    <cellStyle name="Comma 2 3 2 30 4 2" xfId="11281"/>
    <cellStyle name="Comma 2 3 2 30 5" xfId="11282"/>
    <cellStyle name="Comma 2 3 2 30 5 2" xfId="11283"/>
    <cellStyle name="Comma 2 3 2 30 6" xfId="11284"/>
    <cellStyle name="Comma 2 3 2 30 6 2" xfId="11285"/>
    <cellStyle name="Comma 2 3 2 30 7" xfId="11286"/>
    <cellStyle name="Comma 2 3 2 30 7 2" xfId="11287"/>
    <cellStyle name="Comma 2 3 2 30 8" xfId="11288"/>
    <cellStyle name="Comma 2 3 2 30 8 2" xfId="11289"/>
    <cellStyle name="Comma 2 3 2 30 9" xfId="11290"/>
    <cellStyle name="Comma 2 3 2 30 9 2" xfId="11291"/>
    <cellStyle name="Comma 2 3 2 31" xfId="11292"/>
    <cellStyle name="Comma 2 3 2 31 10" xfId="11293"/>
    <cellStyle name="Comma 2 3 2 31 10 2" xfId="11294"/>
    <cellStyle name="Comma 2 3 2 31 11" xfId="11295"/>
    <cellStyle name="Comma 2 3 2 31 11 2" xfId="11296"/>
    <cellStyle name="Comma 2 3 2 31 12" xfId="11297"/>
    <cellStyle name="Comma 2 3 2 31 2" xfId="11298"/>
    <cellStyle name="Comma 2 3 2 31 2 2" xfId="11299"/>
    <cellStyle name="Comma 2 3 2 31 3" xfId="11300"/>
    <cellStyle name="Comma 2 3 2 31 3 2" xfId="11301"/>
    <cellStyle name="Comma 2 3 2 31 4" xfId="11302"/>
    <cellStyle name="Comma 2 3 2 31 4 2" xfId="11303"/>
    <cellStyle name="Comma 2 3 2 31 5" xfId="11304"/>
    <cellStyle name="Comma 2 3 2 31 5 2" xfId="11305"/>
    <cellStyle name="Comma 2 3 2 31 6" xfId="11306"/>
    <cellStyle name="Comma 2 3 2 31 6 2" xfId="11307"/>
    <cellStyle name="Comma 2 3 2 31 7" xfId="11308"/>
    <cellStyle name="Comma 2 3 2 31 7 2" xfId="11309"/>
    <cellStyle name="Comma 2 3 2 31 8" xfId="11310"/>
    <cellStyle name="Comma 2 3 2 31 8 2" xfId="11311"/>
    <cellStyle name="Comma 2 3 2 31 9" xfId="11312"/>
    <cellStyle name="Comma 2 3 2 31 9 2" xfId="11313"/>
    <cellStyle name="Comma 2 3 2 32" xfId="11314"/>
    <cellStyle name="Comma 2 3 2 32 10" xfId="11315"/>
    <cellStyle name="Comma 2 3 2 32 10 2" xfId="11316"/>
    <cellStyle name="Comma 2 3 2 32 11" xfId="11317"/>
    <cellStyle name="Comma 2 3 2 32 11 2" xfId="11318"/>
    <cellStyle name="Comma 2 3 2 32 12" xfId="11319"/>
    <cellStyle name="Comma 2 3 2 32 2" xfId="11320"/>
    <cellStyle name="Comma 2 3 2 32 2 2" xfId="11321"/>
    <cellStyle name="Comma 2 3 2 32 3" xfId="11322"/>
    <cellStyle name="Comma 2 3 2 32 3 2" xfId="11323"/>
    <cellStyle name="Comma 2 3 2 32 4" xfId="11324"/>
    <cellStyle name="Comma 2 3 2 32 4 2" xfId="11325"/>
    <cellStyle name="Comma 2 3 2 32 5" xfId="11326"/>
    <cellStyle name="Comma 2 3 2 32 5 2" xfId="11327"/>
    <cellStyle name="Comma 2 3 2 32 6" xfId="11328"/>
    <cellStyle name="Comma 2 3 2 32 6 2" xfId="11329"/>
    <cellStyle name="Comma 2 3 2 32 7" xfId="11330"/>
    <cellStyle name="Comma 2 3 2 32 7 2" xfId="11331"/>
    <cellStyle name="Comma 2 3 2 32 8" xfId="11332"/>
    <cellStyle name="Comma 2 3 2 32 8 2" xfId="11333"/>
    <cellStyle name="Comma 2 3 2 32 9" xfId="11334"/>
    <cellStyle name="Comma 2 3 2 32 9 2" xfId="11335"/>
    <cellStyle name="Comma 2 3 2 33" xfId="11336"/>
    <cellStyle name="Comma 2 3 2 33 10" xfId="11337"/>
    <cellStyle name="Comma 2 3 2 33 10 2" xfId="11338"/>
    <cellStyle name="Comma 2 3 2 33 11" xfId="11339"/>
    <cellStyle name="Comma 2 3 2 33 11 2" xfId="11340"/>
    <cellStyle name="Comma 2 3 2 33 12" xfId="11341"/>
    <cellStyle name="Comma 2 3 2 33 2" xfId="11342"/>
    <cellStyle name="Comma 2 3 2 33 2 2" xfId="11343"/>
    <cellStyle name="Comma 2 3 2 33 3" xfId="11344"/>
    <cellStyle name="Comma 2 3 2 33 3 2" xfId="11345"/>
    <cellStyle name="Comma 2 3 2 33 4" xfId="11346"/>
    <cellStyle name="Comma 2 3 2 33 4 2" xfId="11347"/>
    <cellStyle name="Comma 2 3 2 33 5" xfId="11348"/>
    <cellStyle name="Comma 2 3 2 33 5 2" xfId="11349"/>
    <cellStyle name="Comma 2 3 2 33 6" xfId="11350"/>
    <cellStyle name="Comma 2 3 2 33 6 2" xfId="11351"/>
    <cellStyle name="Comma 2 3 2 33 7" xfId="11352"/>
    <cellStyle name="Comma 2 3 2 33 7 2" xfId="11353"/>
    <cellStyle name="Comma 2 3 2 33 8" xfId="11354"/>
    <cellStyle name="Comma 2 3 2 33 8 2" xfId="11355"/>
    <cellStyle name="Comma 2 3 2 33 9" xfId="11356"/>
    <cellStyle name="Comma 2 3 2 33 9 2" xfId="11357"/>
    <cellStyle name="Comma 2 3 2 34" xfId="11358"/>
    <cellStyle name="Comma 2 3 2 34 10" xfId="11359"/>
    <cellStyle name="Comma 2 3 2 34 10 2" xfId="11360"/>
    <cellStyle name="Comma 2 3 2 34 11" xfId="11361"/>
    <cellStyle name="Comma 2 3 2 34 11 2" xfId="11362"/>
    <cellStyle name="Comma 2 3 2 34 12" xfId="11363"/>
    <cellStyle name="Comma 2 3 2 34 2" xfId="11364"/>
    <cellStyle name="Comma 2 3 2 34 2 2" xfId="11365"/>
    <cellStyle name="Comma 2 3 2 34 3" xfId="11366"/>
    <cellStyle name="Comma 2 3 2 34 3 2" xfId="11367"/>
    <cellStyle name="Comma 2 3 2 34 4" xfId="11368"/>
    <cellStyle name="Comma 2 3 2 34 4 2" xfId="11369"/>
    <cellStyle name="Comma 2 3 2 34 5" xfId="11370"/>
    <cellStyle name="Comma 2 3 2 34 5 2" xfId="11371"/>
    <cellStyle name="Comma 2 3 2 34 6" xfId="11372"/>
    <cellStyle name="Comma 2 3 2 34 6 2" xfId="11373"/>
    <cellStyle name="Comma 2 3 2 34 7" xfId="11374"/>
    <cellStyle name="Comma 2 3 2 34 7 2" xfId="11375"/>
    <cellStyle name="Comma 2 3 2 34 8" xfId="11376"/>
    <cellStyle name="Comma 2 3 2 34 8 2" xfId="11377"/>
    <cellStyle name="Comma 2 3 2 34 9" xfId="11378"/>
    <cellStyle name="Comma 2 3 2 34 9 2" xfId="11379"/>
    <cellStyle name="Comma 2 3 2 35" xfId="11380"/>
    <cellStyle name="Comma 2 3 2 35 10" xfId="11381"/>
    <cellStyle name="Comma 2 3 2 35 10 2" xfId="11382"/>
    <cellStyle name="Comma 2 3 2 35 11" xfId="11383"/>
    <cellStyle name="Comma 2 3 2 35 11 2" xfId="11384"/>
    <cellStyle name="Comma 2 3 2 35 12" xfId="11385"/>
    <cellStyle name="Comma 2 3 2 35 2" xfId="11386"/>
    <cellStyle name="Comma 2 3 2 35 2 2" xfId="11387"/>
    <cellStyle name="Comma 2 3 2 35 3" xfId="11388"/>
    <cellStyle name="Comma 2 3 2 35 3 2" xfId="11389"/>
    <cellStyle name="Comma 2 3 2 35 4" xfId="11390"/>
    <cellStyle name="Comma 2 3 2 35 4 2" xfId="11391"/>
    <cellStyle name="Comma 2 3 2 35 5" xfId="11392"/>
    <cellStyle name="Comma 2 3 2 35 5 2" xfId="11393"/>
    <cellStyle name="Comma 2 3 2 35 6" xfId="11394"/>
    <cellStyle name="Comma 2 3 2 35 6 2" xfId="11395"/>
    <cellStyle name="Comma 2 3 2 35 7" xfId="11396"/>
    <cellStyle name="Comma 2 3 2 35 7 2" xfId="11397"/>
    <cellStyle name="Comma 2 3 2 35 8" xfId="11398"/>
    <cellStyle name="Comma 2 3 2 35 8 2" xfId="11399"/>
    <cellStyle name="Comma 2 3 2 35 9" xfId="11400"/>
    <cellStyle name="Comma 2 3 2 35 9 2" xfId="11401"/>
    <cellStyle name="Comma 2 3 2 36" xfId="11402"/>
    <cellStyle name="Comma 2 3 2 36 10" xfId="11403"/>
    <cellStyle name="Comma 2 3 2 36 10 2" xfId="11404"/>
    <cellStyle name="Comma 2 3 2 36 11" xfId="11405"/>
    <cellStyle name="Comma 2 3 2 36 11 2" xfId="11406"/>
    <cellStyle name="Comma 2 3 2 36 12" xfId="11407"/>
    <cellStyle name="Comma 2 3 2 36 2" xfId="11408"/>
    <cellStyle name="Comma 2 3 2 36 2 2" xfId="11409"/>
    <cellStyle name="Comma 2 3 2 36 3" xfId="11410"/>
    <cellStyle name="Comma 2 3 2 36 3 2" xfId="11411"/>
    <cellStyle name="Comma 2 3 2 36 4" xfId="11412"/>
    <cellStyle name="Comma 2 3 2 36 4 2" xfId="11413"/>
    <cellStyle name="Comma 2 3 2 36 5" xfId="11414"/>
    <cellStyle name="Comma 2 3 2 36 5 2" xfId="11415"/>
    <cellStyle name="Comma 2 3 2 36 6" xfId="11416"/>
    <cellStyle name="Comma 2 3 2 36 6 2" xfId="11417"/>
    <cellStyle name="Comma 2 3 2 36 7" xfId="11418"/>
    <cellStyle name="Comma 2 3 2 36 7 2" xfId="11419"/>
    <cellStyle name="Comma 2 3 2 36 8" xfId="11420"/>
    <cellStyle name="Comma 2 3 2 36 8 2" xfId="11421"/>
    <cellStyle name="Comma 2 3 2 36 9" xfId="11422"/>
    <cellStyle name="Comma 2 3 2 36 9 2" xfId="11423"/>
    <cellStyle name="Comma 2 3 2 37" xfId="11424"/>
    <cellStyle name="Comma 2 3 2 37 10" xfId="11425"/>
    <cellStyle name="Comma 2 3 2 37 10 2" xfId="11426"/>
    <cellStyle name="Comma 2 3 2 37 11" xfId="11427"/>
    <cellStyle name="Comma 2 3 2 37 11 2" xfId="11428"/>
    <cellStyle name="Comma 2 3 2 37 12" xfId="11429"/>
    <cellStyle name="Comma 2 3 2 37 2" xfId="11430"/>
    <cellStyle name="Comma 2 3 2 37 2 2" xfId="11431"/>
    <cellStyle name="Comma 2 3 2 37 3" xfId="11432"/>
    <cellStyle name="Comma 2 3 2 37 3 2" xfId="11433"/>
    <cellStyle name="Comma 2 3 2 37 4" xfId="11434"/>
    <cellStyle name="Comma 2 3 2 37 4 2" xfId="11435"/>
    <cellStyle name="Comma 2 3 2 37 5" xfId="11436"/>
    <cellStyle name="Comma 2 3 2 37 5 2" xfId="11437"/>
    <cellStyle name="Comma 2 3 2 37 6" xfId="11438"/>
    <cellStyle name="Comma 2 3 2 37 6 2" xfId="11439"/>
    <cellStyle name="Comma 2 3 2 37 7" xfId="11440"/>
    <cellStyle name="Comma 2 3 2 37 7 2" xfId="11441"/>
    <cellStyle name="Comma 2 3 2 37 8" xfId="11442"/>
    <cellStyle name="Comma 2 3 2 37 8 2" xfId="11443"/>
    <cellStyle name="Comma 2 3 2 37 9" xfId="11444"/>
    <cellStyle name="Comma 2 3 2 37 9 2" xfId="11445"/>
    <cellStyle name="Comma 2 3 2 38" xfId="11446"/>
    <cellStyle name="Comma 2 3 2 38 10" xfId="11447"/>
    <cellStyle name="Comma 2 3 2 38 10 2" xfId="11448"/>
    <cellStyle name="Comma 2 3 2 38 11" xfId="11449"/>
    <cellStyle name="Comma 2 3 2 38 11 2" xfId="11450"/>
    <cellStyle name="Comma 2 3 2 38 12" xfId="11451"/>
    <cellStyle name="Comma 2 3 2 38 2" xfId="11452"/>
    <cellStyle name="Comma 2 3 2 38 2 2" xfId="11453"/>
    <cellStyle name="Comma 2 3 2 38 3" xfId="11454"/>
    <cellStyle name="Comma 2 3 2 38 3 2" xfId="11455"/>
    <cellStyle name="Comma 2 3 2 38 4" xfId="11456"/>
    <cellStyle name="Comma 2 3 2 38 4 2" xfId="11457"/>
    <cellStyle name="Comma 2 3 2 38 5" xfId="11458"/>
    <cellStyle name="Comma 2 3 2 38 5 2" xfId="11459"/>
    <cellStyle name="Comma 2 3 2 38 6" xfId="11460"/>
    <cellStyle name="Comma 2 3 2 38 6 2" xfId="11461"/>
    <cellStyle name="Comma 2 3 2 38 7" xfId="11462"/>
    <cellStyle name="Comma 2 3 2 38 7 2" xfId="11463"/>
    <cellStyle name="Comma 2 3 2 38 8" xfId="11464"/>
    <cellStyle name="Comma 2 3 2 38 8 2" xfId="11465"/>
    <cellStyle name="Comma 2 3 2 38 9" xfId="11466"/>
    <cellStyle name="Comma 2 3 2 38 9 2" xfId="11467"/>
    <cellStyle name="Comma 2 3 2 39" xfId="11468"/>
    <cellStyle name="Comma 2 3 2 39 10" xfId="11469"/>
    <cellStyle name="Comma 2 3 2 39 10 2" xfId="11470"/>
    <cellStyle name="Comma 2 3 2 39 11" xfId="11471"/>
    <cellStyle name="Comma 2 3 2 39 11 2" xfId="11472"/>
    <cellStyle name="Comma 2 3 2 39 12" xfId="11473"/>
    <cellStyle name="Comma 2 3 2 39 2" xfId="11474"/>
    <cellStyle name="Comma 2 3 2 39 2 2" xfId="11475"/>
    <cellStyle name="Comma 2 3 2 39 3" xfId="11476"/>
    <cellStyle name="Comma 2 3 2 39 3 2" xfId="11477"/>
    <cellStyle name="Comma 2 3 2 39 4" xfId="11478"/>
    <cellStyle name="Comma 2 3 2 39 4 2" xfId="11479"/>
    <cellStyle name="Comma 2 3 2 39 5" xfId="11480"/>
    <cellStyle name="Comma 2 3 2 39 5 2" xfId="11481"/>
    <cellStyle name="Comma 2 3 2 39 6" xfId="11482"/>
    <cellStyle name="Comma 2 3 2 39 6 2" xfId="11483"/>
    <cellStyle name="Comma 2 3 2 39 7" xfId="11484"/>
    <cellStyle name="Comma 2 3 2 39 7 2" xfId="11485"/>
    <cellStyle name="Comma 2 3 2 39 8" xfId="11486"/>
    <cellStyle name="Comma 2 3 2 39 8 2" xfId="11487"/>
    <cellStyle name="Comma 2 3 2 39 9" xfId="11488"/>
    <cellStyle name="Comma 2 3 2 39 9 2" xfId="11489"/>
    <cellStyle name="Comma 2 3 2 4" xfId="11490"/>
    <cellStyle name="Comma 2 3 2 4 10" xfId="11491"/>
    <cellStyle name="Comma 2 3 2 4 10 2" xfId="11492"/>
    <cellStyle name="Comma 2 3 2 4 11" xfId="11493"/>
    <cellStyle name="Comma 2 3 2 4 11 2" xfId="11494"/>
    <cellStyle name="Comma 2 3 2 4 12" xfId="11495"/>
    <cellStyle name="Comma 2 3 2 4 2" xfId="11496"/>
    <cellStyle name="Comma 2 3 2 4 2 2" xfId="11497"/>
    <cellStyle name="Comma 2 3 2 4 3" xfId="11498"/>
    <cellStyle name="Comma 2 3 2 4 3 2" xfId="11499"/>
    <cellStyle name="Comma 2 3 2 4 4" xfId="11500"/>
    <cellStyle name="Comma 2 3 2 4 4 2" xfId="11501"/>
    <cellStyle name="Comma 2 3 2 4 5" xfId="11502"/>
    <cellStyle name="Comma 2 3 2 4 5 2" xfId="11503"/>
    <cellStyle name="Comma 2 3 2 4 6" xfId="11504"/>
    <cellStyle name="Comma 2 3 2 4 6 2" xfId="11505"/>
    <cellStyle name="Comma 2 3 2 4 7" xfId="11506"/>
    <cellStyle name="Comma 2 3 2 4 7 2" xfId="11507"/>
    <cellStyle name="Comma 2 3 2 4 8" xfId="11508"/>
    <cellStyle name="Comma 2 3 2 4 8 2" xfId="11509"/>
    <cellStyle name="Comma 2 3 2 4 9" xfId="11510"/>
    <cellStyle name="Comma 2 3 2 4 9 2" xfId="11511"/>
    <cellStyle name="Comma 2 3 2 40" xfId="11512"/>
    <cellStyle name="Comma 2 3 2 40 2" xfId="11513"/>
    <cellStyle name="Comma 2 3 2 41" xfId="11514"/>
    <cellStyle name="Comma 2 3 2 41 2" xfId="11515"/>
    <cellStyle name="Comma 2 3 2 42" xfId="11516"/>
    <cellStyle name="Comma 2 3 2 42 2" xfId="11517"/>
    <cellStyle name="Comma 2 3 2 43" xfId="11518"/>
    <cellStyle name="Comma 2 3 2 43 2" xfId="11519"/>
    <cellStyle name="Comma 2 3 2 44" xfId="11520"/>
    <cellStyle name="Comma 2 3 2 44 2" xfId="11521"/>
    <cellStyle name="Comma 2 3 2 45" xfId="11522"/>
    <cellStyle name="Comma 2 3 2 45 2" xfId="11523"/>
    <cellStyle name="Comma 2 3 2 46" xfId="11524"/>
    <cellStyle name="Comma 2 3 2 46 2" xfId="11525"/>
    <cellStyle name="Comma 2 3 2 47" xfId="11526"/>
    <cellStyle name="Comma 2 3 2 47 2" xfId="11527"/>
    <cellStyle name="Comma 2 3 2 48" xfId="11528"/>
    <cellStyle name="Comma 2 3 2 48 2" xfId="11529"/>
    <cellStyle name="Comma 2 3 2 49" xfId="11530"/>
    <cellStyle name="Comma 2 3 2 49 2" xfId="11531"/>
    <cellStyle name="Comma 2 3 2 5" xfId="11532"/>
    <cellStyle name="Comma 2 3 2 5 10" xfId="11533"/>
    <cellStyle name="Comma 2 3 2 5 10 2" xfId="11534"/>
    <cellStyle name="Comma 2 3 2 5 11" xfId="11535"/>
    <cellStyle name="Comma 2 3 2 5 11 2" xfId="11536"/>
    <cellStyle name="Comma 2 3 2 5 12" xfId="11537"/>
    <cellStyle name="Comma 2 3 2 5 2" xfId="11538"/>
    <cellStyle name="Comma 2 3 2 5 2 2" xfId="11539"/>
    <cellStyle name="Comma 2 3 2 5 3" xfId="11540"/>
    <cellStyle name="Comma 2 3 2 5 3 2" xfId="11541"/>
    <cellStyle name="Comma 2 3 2 5 4" xfId="11542"/>
    <cellStyle name="Comma 2 3 2 5 4 2" xfId="11543"/>
    <cellStyle name="Comma 2 3 2 5 5" xfId="11544"/>
    <cellStyle name="Comma 2 3 2 5 5 2" xfId="11545"/>
    <cellStyle name="Comma 2 3 2 5 6" xfId="11546"/>
    <cellStyle name="Comma 2 3 2 5 6 2" xfId="11547"/>
    <cellStyle name="Comma 2 3 2 5 7" xfId="11548"/>
    <cellStyle name="Comma 2 3 2 5 7 2" xfId="11549"/>
    <cellStyle name="Comma 2 3 2 5 8" xfId="11550"/>
    <cellStyle name="Comma 2 3 2 5 8 2" xfId="11551"/>
    <cellStyle name="Comma 2 3 2 5 9" xfId="11552"/>
    <cellStyle name="Comma 2 3 2 5 9 2" xfId="11553"/>
    <cellStyle name="Comma 2 3 2 50" xfId="11554"/>
    <cellStyle name="Comma 2 3 2 50 2" xfId="11555"/>
    <cellStyle name="Comma 2 3 2 51" xfId="11556"/>
    <cellStyle name="Comma 2 3 2 51 2" xfId="11557"/>
    <cellStyle name="Comma 2 3 2 52" xfId="11558"/>
    <cellStyle name="Comma 2 3 2 6" xfId="11559"/>
    <cellStyle name="Comma 2 3 2 6 10" xfId="11560"/>
    <cellStyle name="Comma 2 3 2 6 10 2" xfId="11561"/>
    <cellStyle name="Comma 2 3 2 6 11" xfId="11562"/>
    <cellStyle name="Comma 2 3 2 6 11 2" xfId="11563"/>
    <cellStyle name="Comma 2 3 2 6 12" xfId="11564"/>
    <cellStyle name="Comma 2 3 2 6 2" xfId="11565"/>
    <cellStyle name="Comma 2 3 2 6 2 2" xfId="11566"/>
    <cellStyle name="Comma 2 3 2 6 3" xfId="11567"/>
    <cellStyle name="Comma 2 3 2 6 3 2" xfId="11568"/>
    <cellStyle name="Comma 2 3 2 6 4" xfId="11569"/>
    <cellStyle name="Comma 2 3 2 6 4 2" xfId="11570"/>
    <cellStyle name="Comma 2 3 2 6 5" xfId="11571"/>
    <cellStyle name="Comma 2 3 2 6 5 2" xfId="11572"/>
    <cellStyle name="Comma 2 3 2 6 6" xfId="11573"/>
    <cellStyle name="Comma 2 3 2 6 6 2" xfId="11574"/>
    <cellStyle name="Comma 2 3 2 6 7" xfId="11575"/>
    <cellStyle name="Comma 2 3 2 6 7 2" xfId="11576"/>
    <cellStyle name="Comma 2 3 2 6 8" xfId="11577"/>
    <cellStyle name="Comma 2 3 2 6 8 2" xfId="11578"/>
    <cellStyle name="Comma 2 3 2 6 9" xfId="11579"/>
    <cellStyle name="Comma 2 3 2 6 9 2" xfId="11580"/>
    <cellStyle name="Comma 2 3 2 7" xfId="11581"/>
    <cellStyle name="Comma 2 3 2 7 10" xfId="11582"/>
    <cellStyle name="Comma 2 3 2 7 10 2" xfId="11583"/>
    <cellStyle name="Comma 2 3 2 7 11" xfId="11584"/>
    <cellStyle name="Comma 2 3 2 7 11 2" xfId="11585"/>
    <cellStyle name="Comma 2 3 2 7 12" xfId="11586"/>
    <cellStyle name="Comma 2 3 2 7 2" xfId="11587"/>
    <cellStyle name="Comma 2 3 2 7 2 2" xfId="11588"/>
    <cellStyle name="Comma 2 3 2 7 3" xfId="11589"/>
    <cellStyle name="Comma 2 3 2 7 3 2" xfId="11590"/>
    <cellStyle name="Comma 2 3 2 7 4" xfId="11591"/>
    <cellStyle name="Comma 2 3 2 7 4 2" xfId="11592"/>
    <cellStyle name="Comma 2 3 2 7 5" xfId="11593"/>
    <cellStyle name="Comma 2 3 2 7 5 2" xfId="11594"/>
    <cellStyle name="Comma 2 3 2 7 6" xfId="11595"/>
    <cellStyle name="Comma 2 3 2 7 6 2" xfId="11596"/>
    <cellStyle name="Comma 2 3 2 7 7" xfId="11597"/>
    <cellStyle name="Comma 2 3 2 7 7 2" xfId="11598"/>
    <cellStyle name="Comma 2 3 2 7 8" xfId="11599"/>
    <cellStyle name="Comma 2 3 2 7 8 2" xfId="11600"/>
    <cellStyle name="Comma 2 3 2 7 9" xfId="11601"/>
    <cellStyle name="Comma 2 3 2 7 9 2" xfId="11602"/>
    <cellStyle name="Comma 2 3 2 8" xfId="11603"/>
    <cellStyle name="Comma 2 3 2 8 10" xfId="11604"/>
    <cellStyle name="Comma 2 3 2 8 10 2" xfId="11605"/>
    <cellStyle name="Comma 2 3 2 8 11" xfId="11606"/>
    <cellStyle name="Comma 2 3 2 8 11 2" xfId="11607"/>
    <cellStyle name="Comma 2 3 2 8 12" xfId="11608"/>
    <cellStyle name="Comma 2 3 2 8 2" xfId="11609"/>
    <cellStyle name="Comma 2 3 2 8 2 2" xfId="11610"/>
    <cellStyle name="Comma 2 3 2 8 3" xfId="11611"/>
    <cellStyle name="Comma 2 3 2 8 3 2" xfId="11612"/>
    <cellStyle name="Comma 2 3 2 8 4" xfId="11613"/>
    <cellStyle name="Comma 2 3 2 8 4 2" xfId="11614"/>
    <cellStyle name="Comma 2 3 2 8 5" xfId="11615"/>
    <cellStyle name="Comma 2 3 2 8 5 2" xfId="11616"/>
    <cellStyle name="Comma 2 3 2 8 6" xfId="11617"/>
    <cellStyle name="Comma 2 3 2 8 6 2" xfId="11618"/>
    <cellStyle name="Comma 2 3 2 8 7" xfId="11619"/>
    <cellStyle name="Comma 2 3 2 8 7 2" xfId="11620"/>
    <cellStyle name="Comma 2 3 2 8 8" xfId="11621"/>
    <cellStyle name="Comma 2 3 2 8 8 2" xfId="11622"/>
    <cellStyle name="Comma 2 3 2 8 9" xfId="11623"/>
    <cellStyle name="Comma 2 3 2 8 9 2" xfId="11624"/>
    <cellStyle name="Comma 2 3 2 9" xfId="11625"/>
    <cellStyle name="Comma 2 3 2 9 10" xfId="11626"/>
    <cellStyle name="Comma 2 3 2 9 10 2" xfId="11627"/>
    <cellStyle name="Comma 2 3 2 9 11" xfId="11628"/>
    <cellStyle name="Comma 2 3 2 9 11 2" xfId="11629"/>
    <cellStyle name="Comma 2 3 2 9 12" xfId="11630"/>
    <cellStyle name="Comma 2 3 2 9 2" xfId="11631"/>
    <cellStyle name="Comma 2 3 2 9 2 2" xfId="11632"/>
    <cellStyle name="Comma 2 3 2 9 3" xfId="11633"/>
    <cellStyle name="Comma 2 3 2 9 3 2" xfId="11634"/>
    <cellStyle name="Comma 2 3 2 9 4" xfId="11635"/>
    <cellStyle name="Comma 2 3 2 9 4 2" xfId="11636"/>
    <cellStyle name="Comma 2 3 2 9 5" xfId="11637"/>
    <cellStyle name="Comma 2 3 2 9 5 2" xfId="11638"/>
    <cellStyle name="Comma 2 3 2 9 6" xfId="11639"/>
    <cellStyle name="Comma 2 3 2 9 6 2" xfId="11640"/>
    <cellStyle name="Comma 2 3 2 9 7" xfId="11641"/>
    <cellStyle name="Comma 2 3 2 9 7 2" xfId="11642"/>
    <cellStyle name="Comma 2 3 2 9 8" xfId="11643"/>
    <cellStyle name="Comma 2 3 2 9 8 2" xfId="11644"/>
    <cellStyle name="Comma 2 3 2 9 9" xfId="11645"/>
    <cellStyle name="Comma 2 3 2 9 9 2" xfId="11646"/>
    <cellStyle name="Comma 2 3 20" xfId="11647"/>
    <cellStyle name="Comma 2 3 20 10" xfId="11648"/>
    <cellStyle name="Comma 2 3 20 10 2" xfId="11649"/>
    <cellStyle name="Comma 2 3 20 11" xfId="11650"/>
    <cellStyle name="Comma 2 3 20 11 2" xfId="11651"/>
    <cellStyle name="Comma 2 3 20 12" xfId="11652"/>
    <cellStyle name="Comma 2 3 20 2" xfId="11653"/>
    <cellStyle name="Comma 2 3 20 2 2" xfId="11654"/>
    <cellStyle name="Comma 2 3 20 3" xfId="11655"/>
    <cellStyle name="Comma 2 3 20 3 2" xfId="11656"/>
    <cellStyle name="Comma 2 3 20 4" xfId="11657"/>
    <cellStyle name="Comma 2 3 20 4 2" xfId="11658"/>
    <cellStyle name="Comma 2 3 20 5" xfId="11659"/>
    <cellStyle name="Comma 2 3 20 5 2" xfId="11660"/>
    <cellStyle name="Comma 2 3 20 6" xfId="11661"/>
    <cellStyle name="Comma 2 3 20 6 2" xfId="11662"/>
    <cellStyle name="Comma 2 3 20 7" xfId="11663"/>
    <cellStyle name="Comma 2 3 20 7 2" xfId="11664"/>
    <cellStyle name="Comma 2 3 20 8" xfId="11665"/>
    <cellStyle name="Comma 2 3 20 8 2" xfId="11666"/>
    <cellStyle name="Comma 2 3 20 9" xfId="11667"/>
    <cellStyle name="Comma 2 3 20 9 2" xfId="11668"/>
    <cellStyle name="Comma 2 3 21" xfId="11669"/>
    <cellStyle name="Comma 2 3 21 10" xfId="11670"/>
    <cellStyle name="Comma 2 3 21 10 2" xfId="11671"/>
    <cellStyle name="Comma 2 3 21 11" xfId="11672"/>
    <cellStyle name="Comma 2 3 21 11 2" xfId="11673"/>
    <cellStyle name="Comma 2 3 21 12" xfId="11674"/>
    <cellStyle name="Comma 2 3 21 2" xfId="11675"/>
    <cellStyle name="Comma 2 3 21 2 2" xfId="11676"/>
    <cellStyle name="Comma 2 3 21 3" xfId="11677"/>
    <cellStyle name="Comma 2 3 21 3 2" xfId="11678"/>
    <cellStyle name="Comma 2 3 21 4" xfId="11679"/>
    <cellStyle name="Comma 2 3 21 4 2" xfId="11680"/>
    <cellStyle name="Comma 2 3 21 5" xfId="11681"/>
    <cellStyle name="Comma 2 3 21 5 2" xfId="11682"/>
    <cellStyle name="Comma 2 3 21 6" xfId="11683"/>
    <cellStyle name="Comma 2 3 21 6 2" xfId="11684"/>
    <cellStyle name="Comma 2 3 21 7" xfId="11685"/>
    <cellStyle name="Comma 2 3 21 7 2" xfId="11686"/>
    <cellStyle name="Comma 2 3 21 8" xfId="11687"/>
    <cellStyle name="Comma 2 3 21 8 2" xfId="11688"/>
    <cellStyle name="Comma 2 3 21 9" xfId="11689"/>
    <cellStyle name="Comma 2 3 21 9 2" xfId="11690"/>
    <cellStyle name="Comma 2 3 22" xfId="11691"/>
    <cellStyle name="Comma 2 3 22 10" xfId="11692"/>
    <cellStyle name="Comma 2 3 22 10 2" xfId="11693"/>
    <cellStyle name="Comma 2 3 22 11" xfId="11694"/>
    <cellStyle name="Comma 2 3 22 11 2" xfId="11695"/>
    <cellStyle name="Comma 2 3 22 12" xfId="11696"/>
    <cellStyle name="Comma 2 3 22 2" xfId="11697"/>
    <cellStyle name="Comma 2 3 22 2 2" xfId="11698"/>
    <cellStyle name="Comma 2 3 22 3" xfId="11699"/>
    <cellStyle name="Comma 2 3 22 3 2" xfId="11700"/>
    <cellStyle name="Comma 2 3 22 4" xfId="11701"/>
    <cellStyle name="Comma 2 3 22 4 2" xfId="11702"/>
    <cellStyle name="Comma 2 3 22 5" xfId="11703"/>
    <cellStyle name="Comma 2 3 22 5 2" xfId="11704"/>
    <cellStyle name="Comma 2 3 22 6" xfId="11705"/>
    <cellStyle name="Comma 2 3 22 6 2" xfId="11706"/>
    <cellStyle name="Comma 2 3 22 7" xfId="11707"/>
    <cellStyle name="Comma 2 3 22 7 2" xfId="11708"/>
    <cellStyle name="Comma 2 3 22 8" xfId="11709"/>
    <cellStyle name="Comma 2 3 22 8 2" xfId="11710"/>
    <cellStyle name="Comma 2 3 22 9" xfId="11711"/>
    <cellStyle name="Comma 2 3 22 9 2" xfId="11712"/>
    <cellStyle name="Comma 2 3 23" xfId="11713"/>
    <cellStyle name="Comma 2 3 23 10" xfId="11714"/>
    <cellStyle name="Comma 2 3 23 10 2" xfId="11715"/>
    <cellStyle name="Comma 2 3 23 11" xfId="11716"/>
    <cellStyle name="Comma 2 3 23 11 2" xfId="11717"/>
    <cellStyle name="Comma 2 3 23 12" xfId="11718"/>
    <cellStyle name="Comma 2 3 23 2" xfId="11719"/>
    <cellStyle name="Comma 2 3 23 2 2" xfId="11720"/>
    <cellStyle name="Comma 2 3 23 3" xfId="11721"/>
    <cellStyle name="Comma 2 3 23 3 2" xfId="11722"/>
    <cellStyle name="Comma 2 3 23 4" xfId="11723"/>
    <cellStyle name="Comma 2 3 23 4 2" xfId="11724"/>
    <cellStyle name="Comma 2 3 23 5" xfId="11725"/>
    <cellStyle name="Comma 2 3 23 5 2" xfId="11726"/>
    <cellStyle name="Comma 2 3 23 6" xfId="11727"/>
    <cellStyle name="Comma 2 3 23 6 2" xfId="11728"/>
    <cellStyle name="Comma 2 3 23 7" xfId="11729"/>
    <cellStyle name="Comma 2 3 23 7 2" xfId="11730"/>
    <cellStyle name="Comma 2 3 23 8" xfId="11731"/>
    <cellStyle name="Comma 2 3 23 8 2" xfId="11732"/>
    <cellStyle name="Comma 2 3 23 9" xfId="11733"/>
    <cellStyle name="Comma 2 3 23 9 2" xfId="11734"/>
    <cellStyle name="Comma 2 3 24" xfId="11735"/>
    <cellStyle name="Comma 2 3 24 10" xfId="11736"/>
    <cellStyle name="Comma 2 3 24 10 2" xfId="11737"/>
    <cellStyle name="Comma 2 3 24 11" xfId="11738"/>
    <cellStyle name="Comma 2 3 24 11 2" xfId="11739"/>
    <cellStyle name="Comma 2 3 24 12" xfId="11740"/>
    <cellStyle name="Comma 2 3 24 2" xfId="11741"/>
    <cellStyle name="Comma 2 3 24 2 2" xfId="11742"/>
    <cellStyle name="Comma 2 3 24 3" xfId="11743"/>
    <cellStyle name="Comma 2 3 24 3 2" xfId="11744"/>
    <cellStyle name="Comma 2 3 24 4" xfId="11745"/>
    <cellStyle name="Comma 2 3 24 4 2" xfId="11746"/>
    <cellStyle name="Comma 2 3 24 5" xfId="11747"/>
    <cellStyle name="Comma 2 3 24 5 2" xfId="11748"/>
    <cellStyle name="Comma 2 3 24 6" xfId="11749"/>
    <cellStyle name="Comma 2 3 24 6 2" xfId="11750"/>
    <cellStyle name="Comma 2 3 24 7" xfId="11751"/>
    <cellStyle name="Comma 2 3 24 7 2" xfId="11752"/>
    <cellStyle name="Comma 2 3 24 8" xfId="11753"/>
    <cellStyle name="Comma 2 3 24 8 2" xfId="11754"/>
    <cellStyle name="Comma 2 3 24 9" xfId="11755"/>
    <cellStyle name="Comma 2 3 24 9 2" xfId="11756"/>
    <cellStyle name="Comma 2 3 25" xfId="11757"/>
    <cellStyle name="Comma 2 3 25 10" xfId="11758"/>
    <cellStyle name="Comma 2 3 25 10 2" xfId="11759"/>
    <cellStyle name="Comma 2 3 25 11" xfId="11760"/>
    <cellStyle name="Comma 2 3 25 11 2" xfId="11761"/>
    <cellStyle name="Comma 2 3 25 12" xfId="11762"/>
    <cellStyle name="Comma 2 3 25 2" xfId="11763"/>
    <cellStyle name="Comma 2 3 25 2 2" xfId="11764"/>
    <cellStyle name="Comma 2 3 25 3" xfId="11765"/>
    <cellStyle name="Comma 2 3 25 3 2" xfId="11766"/>
    <cellStyle name="Comma 2 3 25 4" xfId="11767"/>
    <cellStyle name="Comma 2 3 25 4 2" xfId="11768"/>
    <cellStyle name="Comma 2 3 25 5" xfId="11769"/>
    <cellStyle name="Comma 2 3 25 5 2" xfId="11770"/>
    <cellStyle name="Comma 2 3 25 6" xfId="11771"/>
    <cellStyle name="Comma 2 3 25 6 2" xfId="11772"/>
    <cellStyle name="Comma 2 3 25 7" xfId="11773"/>
    <cellStyle name="Comma 2 3 25 7 2" xfId="11774"/>
    <cellStyle name="Comma 2 3 25 8" xfId="11775"/>
    <cellStyle name="Comma 2 3 25 8 2" xfId="11776"/>
    <cellStyle name="Comma 2 3 25 9" xfId="11777"/>
    <cellStyle name="Comma 2 3 25 9 2" xfId="11778"/>
    <cellStyle name="Comma 2 3 26" xfId="11779"/>
    <cellStyle name="Comma 2 3 26 10" xfId="11780"/>
    <cellStyle name="Comma 2 3 26 10 2" xfId="11781"/>
    <cellStyle name="Comma 2 3 26 11" xfId="11782"/>
    <cellStyle name="Comma 2 3 26 11 2" xfId="11783"/>
    <cellStyle name="Comma 2 3 26 12" xfId="11784"/>
    <cellStyle name="Comma 2 3 26 2" xfId="11785"/>
    <cellStyle name="Comma 2 3 26 2 2" xfId="11786"/>
    <cellStyle name="Comma 2 3 26 3" xfId="11787"/>
    <cellStyle name="Comma 2 3 26 3 2" xfId="11788"/>
    <cellStyle name="Comma 2 3 26 4" xfId="11789"/>
    <cellStyle name="Comma 2 3 26 4 2" xfId="11790"/>
    <cellStyle name="Comma 2 3 26 5" xfId="11791"/>
    <cellStyle name="Comma 2 3 26 5 2" xfId="11792"/>
    <cellStyle name="Comma 2 3 26 6" xfId="11793"/>
    <cellStyle name="Comma 2 3 26 6 2" xfId="11794"/>
    <cellStyle name="Comma 2 3 26 7" xfId="11795"/>
    <cellStyle name="Comma 2 3 26 7 2" xfId="11796"/>
    <cellStyle name="Comma 2 3 26 8" xfId="11797"/>
    <cellStyle name="Comma 2 3 26 8 2" xfId="11798"/>
    <cellStyle name="Comma 2 3 26 9" xfId="11799"/>
    <cellStyle name="Comma 2 3 26 9 2" xfId="11800"/>
    <cellStyle name="Comma 2 3 27" xfId="11801"/>
    <cellStyle name="Comma 2 3 27 10" xfId="11802"/>
    <cellStyle name="Comma 2 3 27 10 2" xfId="11803"/>
    <cellStyle name="Comma 2 3 27 11" xfId="11804"/>
    <cellStyle name="Comma 2 3 27 11 2" xfId="11805"/>
    <cellStyle name="Comma 2 3 27 12" xfId="11806"/>
    <cellStyle name="Comma 2 3 27 2" xfId="11807"/>
    <cellStyle name="Comma 2 3 27 2 2" xfId="11808"/>
    <cellStyle name="Comma 2 3 27 3" xfId="11809"/>
    <cellStyle name="Comma 2 3 27 3 2" xfId="11810"/>
    <cellStyle name="Comma 2 3 27 4" xfId="11811"/>
    <cellStyle name="Comma 2 3 27 4 2" xfId="11812"/>
    <cellStyle name="Comma 2 3 27 5" xfId="11813"/>
    <cellStyle name="Comma 2 3 27 5 2" xfId="11814"/>
    <cellStyle name="Comma 2 3 27 6" xfId="11815"/>
    <cellStyle name="Comma 2 3 27 6 2" xfId="11816"/>
    <cellStyle name="Comma 2 3 27 7" xfId="11817"/>
    <cellStyle name="Comma 2 3 27 7 2" xfId="11818"/>
    <cellStyle name="Comma 2 3 27 8" xfId="11819"/>
    <cellStyle name="Comma 2 3 27 8 2" xfId="11820"/>
    <cellStyle name="Comma 2 3 27 9" xfId="11821"/>
    <cellStyle name="Comma 2 3 27 9 2" xfId="11822"/>
    <cellStyle name="Comma 2 3 28" xfId="11823"/>
    <cellStyle name="Comma 2 3 28 10" xfId="11824"/>
    <cellStyle name="Comma 2 3 28 10 2" xfId="11825"/>
    <cellStyle name="Comma 2 3 28 11" xfId="11826"/>
    <cellStyle name="Comma 2 3 28 11 2" xfId="11827"/>
    <cellStyle name="Comma 2 3 28 12" xfId="11828"/>
    <cellStyle name="Comma 2 3 28 2" xfId="11829"/>
    <cellStyle name="Comma 2 3 28 2 2" xfId="11830"/>
    <cellStyle name="Comma 2 3 28 3" xfId="11831"/>
    <cellStyle name="Comma 2 3 28 3 2" xfId="11832"/>
    <cellStyle name="Comma 2 3 28 4" xfId="11833"/>
    <cellStyle name="Comma 2 3 28 4 2" xfId="11834"/>
    <cellStyle name="Comma 2 3 28 5" xfId="11835"/>
    <cellStyle name="Comma 2 3 28 5 2" xfId="11836"/>
    <cellStyle name="Comma 2 3 28 6" xfId="11837"/>
    <cellStyle name="Comma 2 3 28 6 2" xfId="11838"/>
    <cellStyle name="Comma 2 3 28 7" xfId="11839"/>
    <cellStyle name="Comma 2 3 28 7 2" xfId="11840"/>
    <cellStyle name="Comma 2 3 28 8" xfId="11841"/>
    <cellStyle name="Comma 2 3 28 8 2" xfId="11842"/>
    <cellStyle name="Comma 2 3 28 9" xfId="11843"/>
    <cellStyle name="Comma 2 3 28 9 2" xfId="11844"/>
    <cellStyle name="Comma 2 3 29" xfId="11845"/>
    <cellStyle name="Comma 2 3 29 10" xfId="11846"/>
    <cellStyle name="Comma 2 3 29 10 2" xfId="11847"/>
    <cellStyle name="Comma 2 3 29 11" xfId="11848"/>
    <cellStyle name="Comma 2 3 29 11 2" xfId="11849"/>
    <cellStyle name="Comma 2 3 29 12" xfId="11850"/>
    <cellStyle name="Comma 2 3 29 2" xfId="11851"/>
    <cellStyle name="Comma 2 3 29 2 2" xfId="11852"/>
    <cellStyle name="Comma 2 3 29 3" xfId="11853"/>
    <cellStyle name="Comma 2 3 29 3 2" xfId="11854"/>
    <cellStyle name="Comma 2 3 29 4" xfId="11855"/>
    <cellStyle name="Comma 2 3 29 4 2" xfId="11856"/>
    <cellStyle name="Comma 2 3 29 5" xfId="11857"/>
    <cellStyle name="Comma 2 3 29 5 2" xfId="11858"/>
    <cellStyle name="Comma 2 3 29 6" xfId="11859"/>
    <cellStyle name="Comma 2 3 29 6 2" xfId="11860"/>
    <cellStyle name="Comma 2 3 29 7" xfId="11861"/>
    <cellStyle name="Comma 2 3 29 7 2" xfId="11862"/>
    <cellStyle name="Comma 2 3 29 8" xfId="11863"/>
    <cellStyle name="Comma 2 3 29 8 2" xfId="11864"/>
    <cellStyle name="Comma 2 3 29 9" xfId="11865"/>
    <cellStyle name="Comma 2 3 29 9 2" xfId="11866"/>
    <cellStyle name="Comma 2 3 3" xfId="11867"/>
    <cellStyle name="Comma 2 3 3 10" xfId="11868"/>
    <cellStyle name="Comma 2 3 3 10 10" xfId="11869"/>
    <cellStyle name="Comma 2 3 3 10 10 2" xfId="11870"/>
    <cellStyle name="Comma 2 3 3 10 11" xfId="11871"/>
    <cellStyle name="Comma 2 3 3 10 11 2" xfId="11872"/>
    <cellStyle name="Comma 2 3 3 10 12" xfId="11873"/>
    <cellStyle name="Comma 2 3 3 10 2" xfId="11874"/>
    <cellStyle name="Comma 2 3 3 10 2 2" xfId="11875"/>
    <cellStyle name="Comma 2 3 3 10 3" xfId="11876"/>
    <cellStyle name="Comma 2 3 3 10 3 2" xfId="11877"/>
    <cellStyle name="Comma 2 3 3 10 4" xfId="11878"/>
    <cellStyle name="Comma 2 3 3 10 4 2" xfId="11879"/>
    <cellStyle name="Comma 2 3 3 10 5" xfId="11880"/>
    <cellStyle name="Comma 2 3 3 10 5 2" xfId="11881"/>
    <cellStyle name="Comma 2 3 3 10 6" xfId="11882"/>
    <cellStyle name="Comma 2 3 3 10 6 2" xfId="11883"/>
    <cellStyle name="Comma 2 3 3 10 7" xfId="11884"/>
    <cellStyle name="Comma 2 3 3 10 7 2" xfId="11885"/>
    <cellStyle name="Comma 2 3 3 10 8" xfId="11886"/>
    <cellStyle name="Comma 2 3 3 10 8 2" xfId="11887"/>
    <cellStyle name="Comma 2 3 3 10 9" xfId="11888"/>
    <cellStyle name="Comma 2 3 3 10 9 2" xfId="11889"/>
    <cellStyle name="Comma 2 3 3 11" xfId="11890"/>
    <cellStyle name="Comma 2 3 3 11 10" xfId="11891"/>
    <cellStyle name="Comma 2 3 3 11 10 2" xfId="11892"/>
    <cellStyle name="Comma 2 3 3 11 11" xfId="11893"/>
    <cellStyle name="Comma 2 3 3 11 11 2" xfId="11894"/>
    <cellStyle name="Comma 2 3 3 11 12" xfId="11895"/>
    <cellStyle name="Comma 2 3 3 11 2" xfId="11896"/>
    <cellStyle name="Comma 2 3 3 11 2 2" xfId="11897"/>
    <cellStyle name="Comma 2 3 3 11 3" xfId="11898"/>
    <cellStyle name="Comma 2 3 3 11 3 2" xfId="11899"/>
    <cellStyle name="Comma 2 3 3 11 4" xfId="11900"/>
    <cellStyle name="Comma 2 3 3 11 4 2" xfId="11901"/>
    <cellStyle name="Comma 2 3 3 11 5" xfId="11902"/>
    <cellStyle name="Comma 2 3 3 11 5 2" xfId="11903"/>
    <cellStyle name="Comma 2 3 3 11 6" xfId="11904"/>
    <cellStyle name="Comma 2 3 3 11 6 2" xfId="11905"/>
    <cellStyle name="Comma 2 3 3 11 7" xfId="11906"/>
    <cellStyle name="Comma 2 3 3 11 7 2" xfId="11907"/>
    <cellStyle name="Comma 2 3 3 11 8" xfId="11908"/>
    <cellStyle name="Comma 2 3 3 11 8 2" xfId="11909"/>
    <cellStyle name="Comma 2 3 3 11 9" xfId="11910"/>
    <cellStyle name="Comma 2 3 3 11 9 2" xfId="11911"/>
    <cellStyle name="Comma 2 3 3 12" xfId="11912"/>
    <cellStyle name="Comma 2 3 3 12 10" xfId="11913"/>
    <cellStyle name="Comma 2 3 3 12 10 2" xfId="11914"/>
    <cellStyle name="Comma 2 3 3 12 11" xfId="11915"/>
    <cellStyle name="Comma 2 3 3 12 11 2" xfId="11916"/>
    <cellStyle name="Comma 2 3 3 12 12" xfId="11917"/>
    <cellStyle name="Comma 2 3 3 12 2" xfId="11918"/>
    <cellStyle name="Comma 2 3 3 12 2 2" xfId="11919"/>
    <cellStyle name="Comma 2 3 3 12 3" xfId="11920"/>
    <cellStyle name="Comma 2 3 3 12 3 2" xfId="11921"/>
    <cellStyle name="Comma 2 3 3 12 4" xfId="11922"/>
    <cellStyle name="Comma 2 3 3 12 4 2" xfId="11923"/>
    <cellStyle name="Comma 2 3 3 12 5" xfId="11924"/>
    <cellStyle name="Comma 2 3 3 12 5 2" xfId="11925"/>
    <cellStyle name="Comma 2 3 3 12 6" xfId="11926"/>
    <cellStyle name="Comma 2 3 3 12 6 2" xfId="11927"/>
    <cellStyle name="Comma 2 3 3 12 7" xfId="11928"/>
    <cellStyle name="Comma 2 3 3 12 7 2" xfId="11929"/>
    <cellStyle name="Comma 2 3 3 12 8" xfId="11930"/>
    <cellStyle name="Comma 2 3 3 12 8 2" xfId="11931"/>
    <cellStyle name="Comma 2 3 3 12 9" xfId="11932"/>
    <cellStyle name="Comma 2 3 3 12 9 2" xfId="11933"/>
    <cellStyle name="Comma 2 3 3 13" xfId="11934"/>
    <cellStyle name="Comma 2 3 3 13 10" xfId="11935"/>
    <cellStyle name="Comma 2 3 3 13 10 2" xfId="11936"/>
    <cellStyle name="Comma 2 3 3 13 11" xfId="11937"/>
    <cellStyle name="Comma 2 3 3 13 11 2" xfId="11938"/>
    <cellStyle name="Comma 2 3 3 13 12" xfId="11939"/>
    <cellStyle name="Comma 2 3 3 13 2" xfId="11940"/>
    <cellStyle name="Comma 2 3 3 13 2 2" xfId="11941"/>
    <cellStyle name="Comma 2 3 3 13 3" xfId="11942"/>
    <cellStyle name="Comma 2 3 3 13 3 2" xfId="11943"/>
    <cellStyle name="Comma 2 3 3 13 4" xfId="11944"/>
    <cellStyle name="Comma 2 3 3 13 4 2" xfId="11945"/>
    <cellStyle name="Comma 2 3 3 13 5" xfId="11946"/>
    <cellStyle name="Comma 2 3 3 13 5 2" xfId="11947"/>
    <cellStyle name="Comma 2 3 3 13 6" xfId="11948"/>
    <cellStyle name="Comma 2 3 3 13 6 2" xfId="11949"/>
    <cellStyle name="Comma 2 3 3 13 7" xfId="11950"/>
    <cellStyle name="Comma 2 3 3 13 7 2" xfId="11951"/>
    <cellStyle name="Comma 2 3 3 13 8" xfId="11952"/>
    <cellStyle name="Comma 2 3 3 13 8 2" xfId="11953"/>
    <cellStyle name="Comma 2 3 3 13 9" xfId="11954"/>
    <cellStyle name="Comma 2 3 3 13 9 2" xfId="11955"/>
    <cellStyle name="Comma 2 3 3 14" xfId="11956"/>
    <cellStyle name="Comma 2 3 3 14 10" xfId="11957"/>
    <cellStyle name="Comma 2 3 3 14 10 2" xfId="11958"/>
    <cellStyle name="Comma 2 3 3 14 11" xfId="11959"/>
    <cellStyle name="Comma 2 3 3 14 11 2" xfId="11960"/>
    <cellStyle name="Comma 2 3 3 14 12" xfId="11961"/>
    <cellStyle name="Comma 2 3 3 14 2" xfId="11962"/>
    <cellStyle name="Comma 2 3 3 14 2 2" xfId="11963"/>
    <cellStyle name="Comma 2 3 3 14 3" xfId="11964"/>
    <cellStyle name="Comma 2 3 3 14 3 2" xfId="11965"/>
    <cellStyle name="Comma 2 3 3 14 4" xfId="11966"/>
    <cellStyle name="Comma 2 3 3 14 4 2" xfId="11967"/>
    <cellStyle name="Comma 2 3 3 14 5" xfId="11968"/>
    <cellStyle name="Comma 2 3 3 14 5 2" xfId="11969"/>
    <cellStyle name="Comma 2 3 3 14 6" xfId="11970"/>
    <cellStyle name="Comma 2 3 3 14 6 2" xfId="11971"/>
    <cellStyle name="Comma 2 3 3 14 7" xfId="11972"/>
    <cellStyle name="Comma 2 3 3 14 7 2" xfId="11973"/>
    <cellStyle name="Comma 2 3 3 14 8" xfId="11974"/>
    <cellStyle name="Comma 2 3 3 14 8 2" xfId="11975"/>
    <cellStyle name="Comma 2 3 3 14 9" xfId="11976"/>
    <cellStyle name="Comma 2 3 3 14 9 2" xfId="11977"/>
    <cellStyle name="Comma 2 3 3 15" xfId="11978"/>
    <cellStyle name="Comma 2 3 3 15 10" xfId="11979"/>
    <cellStyle name="Comma 2 3 3 15 10 2" xfId="11980"/>
    <cellStyle name="Comma 2 3 3 15 11" xfId="11981"/>
    <cellStyle name="Comma 2 3 3 15 11 2" xfId="11982"/>
    <cellStyle name="Comma 2 3 3 15 12" xfId="11983"/>
    <cellStyle name="Comma 2 3 3 15 2" xfId="11984"/>
    <cellStyle name="Comma 2 3 3 15 2 2" xfId="11985"/>
    <cellStyle name="Comma 2 3 3 15 3" xfId="11986"/>
    <cellStyle name="Comma 2 3 3 15 3 2" xfId="11987"/>
    <cellStyle name="Comma 2 3 3 15 4" xfId="11988"/>
    <cellStyle name="Comma 2 3 3 15 4 2" xfId="11989"/>
    <cellStyle name="Comma 2 3 3 15 5" xfId="11990"/>
    <cellStyle name="Comma 2 3 3 15 5 2" xfId="11991"/>
    <cellStyle name="Comma 2 3 3 15 6" xfId="11992"/>
    <cellStyle name="Comma 2 3 3 15 6 2" xfId="11993"/>
    <cellStyle name="Comma 2 3 3 15 7" xfId="11994"/>
    <cellStyle name="Comma 2 3 3 15 7 2" xfId="11995"/>
    <cellStyle name="Comma 2 3 3 15 8" xfId="11996"/>
    <cellStyle name="Comma 2 3 3 15 8 2" xfId="11997"/>
    <cellStyle name="Comma 2 3 3 15 9" xfId="11998"/>
    <cellStyle name="Comma 2 3 3 15 9 2" xfId="11999"/>
    <cellStyle name="Comma 2 3 3 16" xfId="12000"/>
    <cellStyle name="Comma 2 3 3 16 10" xfId="12001"/>
    <cellStyle name="Comma 2 3 3 16 10 2" xfId="12002"/>
    <cellStyle name="Comma 2 3 3 16 11" xfId="12003"/>
    <cellStyle name="Comma 2 3 3 16 11 2" xfId="12004"/>
    <cellStyle name="Comma 2 3 3 16 12" xfId="12005"/>
    <cellStyle name="Comma 2 3 3 16 2" xfId="12006"/>
    <cellStyle name="Comma 2 3 3 16 2 2" xfId="12007"/>
    <cellStyle name="Comma 2 3 3 16 3" xfId="12008"/>
    <cellStyle name="Comma 2 3 3 16 3 2" xfId="12009"/>
    <cellStyle name="Comma 2 3 3 16 4" xfId="12010"/>
    <cellStyle name="Comma 2 3 3 16 4 2" xfId="12011"/>
    <cellStyle name="Comma 2 3 3 16 5" xfId="12012"/>
    <cellStyle name="Comma 2 3 3 16 5 2" xfId="12013"/>
    <cellStyle name="Comma 2 3 3 16 6" xfId="12014"/>
    <cellStyle name="Comma 2 3 3 16 6 2" xfId="12015"/>
    <cellStyle name="Comma 2 3 3 16 7" xfId="12016"/>
    <cellStyle name="Comma 2 3 3 16 7 2" xfId="12017"/>
    <cellStyle name="Comma 2 3 3 16 8" xfId="12018"/>
    <cellStyle name="Comma 2 3 3 16 8 2" xfId="12019"/>
    <cellStyle name="Comma 2 3 3 16 9" xfId="12020"/>
    <cellStyle name="Comma 2 3 3 16 9 2" xfId="12021"/>
    <cellStyle name="Comma 2 3 3 17" xfId="12022"/>
    <cellStyle name="Comma 2 3 3 17 10" xfId="12023"/>
    <cellStyle name="Comma 2 3 3 17 10 2" xfId="12024"/>
    <cellStyle name="Comma 2 3 3 17 11" xfId="12025"/>
    <cellStyle name="Comma 2 3 3 17 11 2" xfId="12026"/>
    <cellStyle name="Comma 2 3 3 17 12" xfId="12027"/>
    <cellStyle name="Comma 2 3 3 17 2" xfId="12028"/>
    <cellStyle name="Comma 2 3 3 17 2 2" xfId="12029"/>
    <cellStyle name="Comma 2 3 3 17 3" xfId="12030"/>
    <cellStyle name="Comma 2 3 3 17 3 2" xfId="12031"/>
    <cellStyle name="Comma 2 3 3 17 4" xfId="12032"/>
    <cellStyle name="Comma 2 3 3 17 4 2" xfId="12033"/>
    <cellStyle name="Comma 2 3 3 17 5" xfId="12034"/>
    <cellStyle name="Comma 2 3 3 17 5 2" xfId="12035"/>
    <cellStyle name="Comma 2 3 3 17 6" xfId="12036"/>
    <cellStyle name="Comma 2 3 3 17 6 2" xfId="12037"/>
    <cellStyle name="Comma 2 3 3 17 7" xfId="12038"/>
    <cellStyle name="Comma 2 3 3 17 7 2" xfId="12039"/>
    <cellStyle name="Comma 2 3 3 17 8" xfId="12040"/>
    <cellStyle name="Comma 2 3 3 17 8 2" xfId="12041"/>
    <cellStyle name="Comma 2 3 3 17 9" xfId="12042"/>
    <cellStyle name="Comma 2 3 3 17 9 2" xfId="12043"/>
    <cellStyle name="Comma 2 3 3 18" xfId="12044"/>
    <cellStyle name="Comma 2 3 3 18 10" xfId="12045"/>
    <cellStyle name="Comma 2 3 3 18 10 2" xfId="12046"/>
    <cellStyle name="Comma 2 3 3 18 11" xfId="12047"/>
    <cellStyle name="Comma 2 3 3 18 11 2" xfId="12048"/>
    <cellStyle name="Comma 2 3 3 18 12" xfId="12049"/>
    <cellStyle name="Comma 2 3 3 18 2" xfId="12050"/>
    <cellStyle name="Comma 2 3 3 18 2 2" xfId="12051"/>
    <cellStyle name="Comma 2 3 3 18 3" xfId="12052"/>
    <cellStyle name="Comma 2 3 3 18 3 2" xfId="12053"/>
    <cellStyle name="Comma 2 3 3 18 4" xfId="12054"/>
    <cellStyle name="Comma 2 3 3 18 4 2" xfId="12055"/>
    <cellStyle name="Comma 2 3 3 18 5" xfId="12056"/>
    <cellStyle name="Comma 2 3 3 18 5 2" xfId="12057"/>
    <cellStyle name="Comma 2 3 3 18 6" xfId="12058"/>
    <cellStyle name="Comma 2 3 3 18 6 2" xfId="12059"/>
    <cellStyle name="Comma 2 3 3 18 7" xfId="12060"/>
    <cellStyle name="Comma 2 3 3 18 7 2" xfId="12061"/>
    <cellStyle name="Comma 2 3 3 18 8" xfId="12062"/>
    <cellStyle name="Comma 2 3 3 18 8 2" xfId="12063"/>
    <cellStyle name="Comma 2 3 3 18 9" xfId="12064"/>
    <cellStyle name="Comma 2 3 3 18 9 2" xfId="12065"/>
    <cellStyle name="Comma 2 3 3 19" xfId="12066"/>
    <cellStyle name="Comma 2 3 3 19 10" xfId="12067"/>
    <cellStyle name="Comma 2 3 3 19 10 2" xfId="12068"/>
    <cellStyle name="Comma 2 3 3 19 11" xfId="12069"/>
    <cellStyle name="Comma 2 3 3 19 11 2" xfId="12070"/>
    <cellStyle name="Comma 2 3 3 19 12" xfId="12071"/>
    <cellStyle name="Comma 2 3 3 19 2" xfId="12072"/>
    <cellStyle name="Comma 2 3 3 19 2 2" xfId="12073"/>
    <cellStyle name="Comma 2 3 3 19 3" xfId="12074"/>
    <cellStyle name="Comma 2 3 3 19 3 2" xfId="12075"/>
    <cellStyle name="Comma 2 3 3 19 4" xfId="12076"/>
    <cellStyle name="Comma 2 3 3 19 4 2" xfId="12077"/>
    <cellStyle name="Comma 2 3 3 19 5" xfId="12078"/>
    <cellStyle name="Comma 2 3 3 19 5 2" xfId="12079"/>
    <cellStyle name="Comma 2 3 3 19 6" xfId="12080"/>
    <cellStyle name="Comma 2 3 3 19 6 2" xfId="12081"/>
    <cellStyle name="Comma 2 3 3 19 7" xfId="12082"/>
    <cellStyle name="Comma 2 3 3 19 7 2" xfId="12083"/>
    <cellStyle name="Comma 2 3 3 19 8" xfId="12084"/>
    <cellStyle name="Comma 2 3 3 19 8 2" xfId="12085"/>
    <cellStyle name="Comma 2 3 3 19 9" xfId="12086"/>
    <cellStyle name="Comma 2 3 3 19 9 2" xfId="12087"/>
    <cellStyle name="Comma 2 3 3 2" xfId="12088"/>
    <cellStyle name="Comma 2 3 3 2 10" xfId="12089"/>
    <cellStyle name="Comma 2 3 3 2 10 2" xfId="12090"/>
    <cellStyle name="Comma 2 3 3 2 11" xfId="12091"/>
    <cellStyle name="Comma 2 3 3 2 11 2" xfId="12092"/>
    <cellStyle name="Comma 2 3 3 2 12" xfId="12093"/>
    <cellStyle name="Comma 2 3 3 2 2" xfId="12094"/>
    <cellStyle name="Comma 2 3 3 2 2 2" xfId="12095"/>
    <cellStyle name="Comma 2 3 3 2 3" xfId="12096"/>
    <cellStyle name="Comma 2 3 3 2 3 2" xfId="12097"/>
    <cellStyle name="Comma 2 3 3 2 4" xfId="12098"/>
    <cellStyle name="Comma 2 3 3 2 4 2" xfId="12099"/>
    <cellStyle name="Comma 2 3 3 2 5" xfId="12100"/>
    <cellStyle name="Comma 2 3 3 2 5 2" xfId="12101"/>
    <cellStyle name="Comma 2 3 3 2 6" xfId="12102"/>
    <cellStyle name="Comma 2 3 3 2 6 2" xfId="12103"/>
    <cellStyle name="Comma 2 3 3 2 7" xfId="12104"/>
    <cellStyle name="Comma 2 3 3 2 7 2" xfId="12105"/>
    <cellStyle name="Comma 2 3 3 2 8" xfId="12106"/>
    <cellStyle name="Comma 2 3 3 2 8 2" xfId="12107"/>
    <cellStyle name="Comma 2 3 3 2 9" xfId="12108"/>
    <cellStyle name="Comma 2 3 3 2 9 2" xfId="12109"/>
    <cellStyle name="Comma 2 3 3 20" xfId="12110"/>
    <cellStyle name="Comma 2 3 3 20 10" xfId="12111"/>
    <cellStyle name="Comma 2 3 3 20 10 2" xfId="12112"/>
    <cellStyle name="Comma 2 3 3 20 11" xfId="12113"/>
    <cellStyle name="Comma 2 3 3 20 11 2" xfId="12114"/>
    <cellStyle name="Comma 2 3 3 20 12" xfId="12115"/>
    <cellStyle name="Comma 2 3 3 20 2" xfId="12116"/>
    <cellStyle name="Comma 2 3 3 20 2 2" xfId="12117"/>
    <cellStyle name="Comma 2 3 3 20 3" xfId="12118"/>
    <cellStyle name="Comma 2 3 3 20 3 2" xfId="12119"/>
    <cellStyle name="Comma 2 3 3 20 4" xfId="12120"/>
    <cellStyle name="Comma 2 3 3 20 4 2" xfId="12121"/>
    <cellStyle name="Comma 2 3 3 20 5" xfId="12122"/>
    <cellStyle name="Comma 2 3 3 20 5 2" xfId="12123"/>
    <cellStyle name="Comma 2 3 3 20 6" xfId="12124"/>
    <cellStyle name="Comma 2 3 3 20 6 2" xfId="12125"/>
    <cellStyle name="Comma 2 3 3 20 7" xfId="12126"/>
    <cellStyle name="Comma 2 3 3 20 7 2" xfId="12127"/>
    <cellStyle name="Comma 2 3 3 20 8" xfId="12128"/>
    <cellStyle name="Comma 2 3 3 20 8 2" xfId="12129"/>
    <cellStyle name="Comma 2 3 3 20 9" xfId="12130"/>
    <cellStyle name="Comma 2 3 3 20 9 2" xfId="12131"/>
    <cellStyle name="Comma 2 3 3 21" xfId="12132"/>
    <cellStyle name="Comma 2 3 3 21 10" xfId="12133"/>
    <cellStyle name="Comma 2 3 3 21 10 2" xfId="12134"/>
    <cellStyle name="Comma 2 3 3 21 11" xfId="12135"/>
    <cellStyle name="Comma 2 3 3 21 11 2" xfId="12136"/>
    <cellStyle name="Comma 2 3 3 21 12" xfId="12137"/>
    <cellStyle name="Comma 2 3 3 21 2" xfId="12138"/>
    <cellStyle name="Comma 2 3 3 21 2 2" xfId="12139"/>
    <cellStyle name="Comma 2 3 3 21 3" xfId="12140"/>
    <cellStyle name="Comma 2 3 3 21 3 2" xfId="12141"/>
    <cellStyle name="Comma 2 3 3 21 4" xfId="12142"/>
    <cellStyle name="Comma 2 3 3 21 4 2" xfId="12143"/>
    <cellStyle name="Comma 2 3 3 21 5" xfId="12144"/>
    <cellStyle name="Comma 2 3 3 21 5 2" xfId="12145"/>
    <cellStyle name="Comma 2 3 3 21 6" xfId="12146"/>
    <cellStyle name="Comma 2 3 3 21 6 2" xfId="12147"/>
    <cellStyle name="Comma 2 3 3 21 7" xfId="12148"/>
    <cellStyle name="Comma 2 3 3 21 7 2" xfId="12149"/>
    <cellStyle name="Comma 2 3 3 21 8" xfId="12150"/>
    <cellStyle name="Comma 2 3 3 21 8 2" xfId="12151"/>
    <cellStyle name="Comma 2 3 3 21 9" xfId="12152"/>
    <cellStyle name="Comma 2 3 3 21 9 2" xfId="12153"/>
    <cellStyle name="Comma 2 3 3 22" xfId="12154"/>
    <cellStyle name="Comma 2 3 3 22 10" xfId="12155"/>
    <cellStyle name="Comma 2 3 3 22 10 2" xfId="12156"/>
    <cellStyle name="Comma 2 3 3 22 11" xfId="12157"/>
    <cellStyle name="Comma 2 3 3 22 11 2" xfId="12158"/>
    <cellStyle name="Comma 2 3 3 22 12" xfId="12159"/>
    <cellStyle name="Comma 2 3 3 22 2" xfId="12160"/>
    <cellStyle name="Comma 2 3 3 22 2 2" xfId="12161"/>
    <cellStyle name="Comma 2 3 3 22 3" xfId="12162"/>
    <cellStyle name="Comma 2 3 3 22 3 2" xfId="12163"/>
    <cellStyle name="Comma 2 3 3 22 4" xfId="12164"/>
    <cellStyle name="Comma 2 3 3 22 4 2" xfId="12165"/>
    <cellStyle name="Comma 2 3 3 22 5" xfId="12166"/>
    <cellStyle name="Comma 2 3 3 22 5 2" xfId="12167"/>
    <cellStyle name="Comma 2 3 3 22 6" xfId="12168"/>
    <cellStyle name="Comma 2 3 3 22 6 2" xfId="12169"/>
    <cellStyle name="Comma 2 3 3 22 7" xfId="12170"/>
    <cellStyle name="Comma 2 3 3 22 7 2" xfId="12171"/>
    <cellStyle name="Comma 2 3 3 22 8" xfId="12172"/>
    <cellStyle name="Comma 2 3 3 22 8 2" xfId="12173"/>
    <cellStyle name="Comma 2 3 3 22 9" xfId="12174"/>
    <cellStyle name="Comma 2 3 3 22 9 2" xfId="12175"/>
    <cellStyle name="Comma 2 3 3 23" xfId="12176"/>
    <cellStyle name="Comma 2 3 3 23 10" xfId="12177"/>
    <cellStyle name="Comma 2 3 3 23 10 2" xfId="12178"/>
    <cellStyle name="Comma 2 3 3 23 11" xfId="12179"/>
    <cellStyle name="Comma 2 3 3 23 11 2" xfId="12180"/>
    <cellStyle name="Comma 2 3 3 23 12" xfId="12181"/>
    <cellStyle name="Comma 2 3 3 23 2" xfId="12182"/>
    <cellStyle name="Comma 2 3 3 23 2 2" xfId="12183"/>
    <cellStyle name="Comma 2 3 3 23 3" xfId="12184"/>
    <cellStyle name="Comma 2 3 3 23 3 2" xfId="12185"/>
    <cellStyle name="Comma 2 3 3 23 4" xfId="12186"/>
    <cellStyle name="Comma 2 3 3 23 4 2" xfId="12187"/>
    <cellStyle name="Comma 2 3 3 23 5" xfId="12188"/>
    <cellStyle name="Comma 2 3 3 23 5 2" xfId="12189"/>
    <cellStyle name="Comma 2 3 3 23 6" xfId="12190"/>
    <cellStyle name="Comma 2 3 3 23 6 2" xfId="12191"/>
    <cellStyle name="Comma 2 3 3 23 7" xfId="12192"/>
    <cellStyle name="Comma 2 3 3 23 7 2" xfId="12193"/>
    <cellStyle name="Comma 2 3 3 23 8" xfId="12194"/>
    <cellStyle name="Comma 2 3 3 23 8 2" xfId="12195"/>
    <cellStyle name="Comma 2 3 3 23 9" xfId="12196"/>
    <cellStyle name="Comma 2 3 3 23 9 2" xfId="12197"/>
    <cellStyle name="Comma 2 3 3 24" xfId="12198"/>
    <cellStyle name="Comma 2 3 3 24 10" xfId="12199"/>
    <cellStyle name="Comma 2 3 3 24 10 2" xfId="12200"/>
    <cellStyle name="Comma 2 3 3 24 11" xfId="12201"/>
    <cellStyle name="Comma 2 3 3 24 11 2" xfId="12202"/>
    <cellStyle name="Comma 2 3 3 24 12" xfId="12203"/>
    <cellStyle name="Comma 2 3 3 24 2" xfId="12204"/>
    <cellStyle name="Comma 2 3 3 24 2 2" xfId="12205"/>
    <cellStyle name="Comma 2 3 3 24 3" xfId="12206"/>
    <cellStyle name="Comma 2 3 3 24 3 2" xfId="12207"/>
    <cellStyle name="Comma 2 3 3 24 4" xfId="12208"/>
    <cellStyle name="Comma 2 3 3 24 4 2" xfId="12209"/>
    <cellStyle name="Comma 2 3 3 24 5" xfId="12210"/>
    <cellStyle name="Comma 2 3 3 24 5 2" xfId="12211"/>
    <cellStyle name="Comma 2 3 3 24 6" xfId="12212"/>
    <cellStyle name="Comma 2 3 3 24 6 2" xfId="12213"/>
    <cellStyle name="Comma 2 3 3 24 7" xfId="12214"/>
    <cellStyle name="Comma 2 3 3 24 7 2" xfId="12215"/>
    <cellStyle name="Comma 2 3 3 24 8" xfId="12216"/>
    <cellStyle name="Comma 2 3 3 24 8 2" xfId="12217"/>
    <cellStyle name="Comma 2 3 3 24 9" xfId="12218"/>
    <cellStyle name="Comma 2 3 3 24 9 2" xfId="12219"/>
    <cellStyle name="Comma 2 3 3 25" xfId="12220"/>
    <cellStyle name="Comma 2 3 3 25 10" xfId="12221"/>
    <cellStyle name="Comma 2 3 3 25 10 2" xfId="12222"/>
    <cellStyle name="Comma 2 3 3 25 11" xfId="12223"/>
    <cellStyle name="Comma 2 3 3 25 11 2" xfId="12224"/>
    <cellStyle name="Comma 2 3 3 25 12" xfId="12225"/>
    <cellStyle name="Comma 2 3 3 25 2" xfId="12226"/>
    <cellStyle name="Comma 2 3 3 25 2 2" xfId="12227"/>
    <cellStyle name="Comma 2 3 3 25 3" xfId="12228"/>
    <cellStyle name="Comma 2 3 3 25 3 2" xfId="12229"/>
    <cellStyle name="Comma 2 3 3 25 4" xfId="12230"/>
    <cellStyle name="Comma 2 3 3 25 4 2" xfId="12231"/>
    <cellStyle name="Comma 2 3 3 25 5" xfId="12232"/>
    <cellStyle name="Comma 2 3 3 25 5 2" xfId="12233"/>
    <cellStyle name="Comma 2 3 3 25 6" xfId="12234"/>
    <cellStyle name="Comma 2 3 3 25 6 2" xfId="12235"/>
    <cellStyle name="Comma 2 3 3 25 7" xfId="12236"/>
    <cellStyle name="Comma 2 3 3 25 7 2" xfId="12237"/>
    <cellStyle name="Comma 2 3 3 25 8" xfId="12238"/>
    <cellStyle name="Comma 2 3 3 25 8 2" xfId="12239"/>
    <cellStyle name="Comma 2 3 3 25 9" xfId="12240"/>
    <cellStyle name="Comma 2 3 3 25 9 2" xfId="12241"/>
    <cellStyle name="Comma 2 3 3 26" xfId="12242"/>
    <cellStyle name="Comma 2 3 3 26 10" xfId="12243"/>
    <cellStyle name="Comma 2 3 3 26 10 2" xfId="12244"/>
    <cellStyle name="Comma 2 3 3 26 11" xfId="12245"/>
    <cellStyle name="Comma 2 3 3 26 11 2" xfId="12246"/>
    <cellStyle name="Comma 2 3 3 26 12" xfId="12247"/>
    <cellStyle name="Comma 2 3 3 26 2" xfId="12248"/>
    <cellStyle name="Comma 2 3 3 26 2 2" xfId="12249"/>
    <cellStyle name="Comma 2 3 3 26 3" xfId="12250"/>
    <cellStyle name="Comma 2 3 3 26 3 2" xfId="12251"/>
    <cellStyle name="Comma 2 3 3 26 4" xfId="12252"/>
    <cellStyle name="Comma 2 3 3 26 4 2" xfId="12253"/>
    <cellStyle name="Comma 2 3 3 26 5" xfId="12254"/>
    <cellStyle name="Comma 2 3 3 26 5 2" xfId="12255"/>
    <cellStyle name="Comma 2 3 3 26 6" xfId="12256"/>
    <cellStyle name="Comma 2 3 3 26 6 2" xfId="12257"/>
    <cellStyle name="Comma 2 3 3 26 7" xfId="12258"/>
    <cellStyle name="Comma 2 3 3 26 7 2" xfId="12259"/>
    <cellStyle name="Comma 2 3 3 26 8" xfId="12260"/>
    <cellStyle name="Comma 2 3 3 26 8 2" xfId="12261"/>
    <cellStyle name="Comma 2 3 3 26 9" xfId="12262"/>
    <cellStyle name="Comma 2 3 3 26 9 2" xfId="12263"/>
    <cellStyle name="Comma 2 3 3 27" xfId="12264"/>
    <cellStyle name="Comma 2 3 3 27 10" xfId="12265"/>
    <cellStyle name="Comma 2 3 3 27 10 2" xfId="12266"/>
    <cellStyle name="Comma 2 3 3 27 11" xfId="12267"/>
    <cellStyle name="Comma 2 3 3 27 11 2" xfId="12268"/>
    <cellStyle name="Comma 2 3 3 27 12" xfId="12269"/>
    <cellStyle name="Comma 2 3 3 27 2" xfId="12270"/>
    <cellStyle name="Comma 2 3 3 27 2 2" xfId="12271"/>
    <cellStyle name="Comma 2 3 3 27 3" xfId="12272"/>
    <cellStyle name="Comma 2 3 3 27 3 2" xfId="12273"/>
    <cellStyle name="Comma 2 3 3 27 4" xfId="12274"/>
    <cellStyle name="Comma 2 3 3 27 4 2" xfId="12275"/>
    <cellStyle name="Comma 2 3 3 27 5" xfId="12276"/>
    <cellStyle name="Comma 2 3 3 27 5 2" xfId="12277"/>
    <cellStyle name="Comma 2 3 3 27 6" xfId="12278"/>
    <cellStyle name="Comma 2 3 3 27 6 2" xfId="12279"/>
    <cellStyle name="Comma 2 3 3 27 7" xfId="12280"/>
    <cellStyle name="Comma 2 3 3 27 7 2" xfId="12281"/>
    <cellStyle name="Comma 2 3 3 27 8" xfId="12282"/>
    <cellStyle name="Comma 2 3 3 27 8 2" xfId="12283"/>
    <cellStyle name="Comma 2 3 3 27 9" xfId="12284"/>
    <cellStyle name="Comma 2 3 3 27 9 2" xfId="12285"/>
    <cellStyle name="Comma 2 3 3 28" xfId="12286"/>
    <cellStyle name="Comma 2 3 3 28 10" xfId="12287"/>
    <cellStyle name="Comma 2 3 3 28 10 2" xfId="12288"/>
    <cellStyle name="Comma 2 3 3 28 11" xfId="12289"/>
    <cellStyle name="Comma 2 3 3 28 11 2" xfId="12290"/>
    <cellStyle name="Comma 2 3 3 28 12" xfId="12291"/>
    <cellStyle name="Comma 2 3 3 28 2" xfId="12292"/>
    <cellStyle name="Comma 2 3 3 28 2 2" xfId="12293"/>
    <cellStyle name="Comma 2 3 3 28 3" xfId="12294"/>
    <cellStyle name="Comma 2 3 3 28 3 2" xfId="12295"/>
    <cellStyle name="Comma 2 3 3 28 4" xfId="12296"/>
    <cellStyle name="Comma 2 3 3 28 4 2" xfId="12297"/>
    <cellStyle name="Comma 2 3 3 28 5" xfId="12298"/>
    <cellStyle name="Comma 2 3 3 28 5 2" xfId="12299"/>
    <cellStyle name="Comma 2 3 3 28 6" xfId="12300"/>
    <cellStyle name="Comma 2 3 3 28 6 2" xfId="12301"/>
    <cellStyle name="Comma 2 3 3 28 7" xfId="12302"/>
    <cellStyle name="Comma 2 3 3 28 7 2" xfId="12303"/>
    <cellStyle name="Comma 2 3 3 28 8" xfId="12304"/>
    <cellStyle name="Comma 2 3 3 28 8 2" xfId="12305"/>
    <cellStyle name="Comma 2 3 3 28 9" xfId="12306"/>
    <cellStyle name="Comma 2 3 3 28 9 2" xfId="12307"/>
    <cellStyle name="Comma 2 3 3 29" xfId="12308"/>
    <cellStyle name="Comma 2 3 3 29 10" xfId="12309"/>
    <cellStyle name="Comma 2 3 3 29 10 2" xfId="12310"/>
    <cellStyle name="Comma 2 3 3 29 11" xfId="12311"/>
    <cellStyle name="Comma 2 3 3 29 11 2" xfId="12312"/>
    <cellStyle name="Comma 2 3 3 29 12" xfId="12313"/>
    <cellStyle name="Comma 2 3 3 29 2" xfId="12314"/>
    <cellStyle name="Comma 2 3 3 29 2 2" xfId="12315"/>
    <cellStyle name="Comma 2 3 3 29 3" xfId="12316"/>
    <cellStyle name="Comma 2 3 3 29 3 2" xfId="12317"/>
    <cellStyle name="Comma 2 3 3 29 4" xfId="12318"/>
    <cellStyle name="Comma 2 3 3 29 4 2" xfId="12319"/>
    <cellStyle name="Comma 2 3 3 29 5" xfId="12320"/>
    <cellStyle name="Comma 2 3 3 29 5 2" xfId="12321"/>
    <cellStyle name="Comma 2 3 3 29 6" xfId="12322"/>
    <cellStyle name="Comma 2 3 3 29 6 2" xfId="12323"/>
    <cellStyle name="Comma 2 3 3 29 7" xfId="12324"/>
    <cellStyle name="Comma 2 3 3 29 7 2" xfId="12325"/>
    <cellStyle name="Comma 2 3 3 29 8" xfId="12326"/>
    <cellStyle name="Comma 2 3 3 29 8 2" xfId="12327"/>
    <cellStyle name="Comma 2 3 3 29 9" xfId="12328"/>
    <cellStyle name="Comma 2 3 3 29 9 2" xfId="12329"/>
    <cellStyle name="Comma 2 3 3 3" xfId="12330"/>
    <cellStyle name="Comma 2 3 3 3 10" xfId="12331"/>
    <cellStyle name="Comma 2 3 3 3 10 2" xfId="12332"/>
    <cellStyle name="Comma 2 3 3 3 11" xfId="12333"/>
    <cellStyle name="Comma 2 3 3 3 11 2" xfId="12334"/>
    <cellStyle name="Comma 2 3 3 3 12" xfId="12335"/>
    <cellStyle name="Comma 2 3 3 3 2" xfId="12336"/>
    <cellStyle name="Comma 2 3 3 3 2 2" xfId="12337"/>
    <cellStyle name="Comma 2 3 3 3 3" xfId="12338"/>
    <cellStyle name="Comma 2 3 3 3 3 2" xfId="12339"/>
    <cellStyle name="Comma 2 3 3 3 4" xfId="12340"/>
    <cellStyle name="Comma 2 3 3 3 4 2" xfId="12341"/>
    <cellStyle name="Comma 2 3 3 3 5" xfId="12342"/>
    <cellStyle name="Comma 2 3 3 3 5 2" xfId="12343"/>
    <cellStyle name="Comma 2 3 3 3 6" xfId="12344"/>
    <cellStyle name="Comma 2 3 3 3 6 2" xfId="12345"/>
    <cellStyle name="Comma 2 3 3 3 7" xfId="12346"/>
    <cellStyle name="Comma 2 3 3 3 7 2" xfId="12347"/>
    <cellStyle name="Comma 2 3 3 3 8" xfId="12348"/>
    <cellStyle name="Comma 2 3 3 3 8 2" xfId="12349"/>
    <cellStyle name="Comma 2 3 3 3 9" xfId="12350"/>
    <cellStyle name="Comma 2 3 3 3 9 2" xfId="12351"/>
    <cellStyle name="Comma 2 3 3 30" xfId="12352"/>
    <cellStyle name="Comma 2 3 3 30 10" xfId="12353"/>
    <cellStyle name="Comma 2 3 3 30 10 2" xfId="12354"/>
    <cellStyle name="Comma 2 3 3 30 11" xfId="12355"/>
    <cellStyle name="Comma 2 3 3 30 11 2" xfId="12356"/>
    <cellStyle name="Comma 2 3 3 30 12" xfId="12357"/>
    <cellStyle name="Comma 2 3 3 30 2" xfId="12358"/>
    <cellStyle name="Comma 2 3 3 30 2 2" xfId="12359"/>
    <cellStyle name="Comma 2 3 3 30 3" xfId="12360"/>
    <cellStyle name="Comma 2 3 3 30 3 2" xfId="12361"/>
    <cellStyle name="Comma 2 3 3 30 4" xfId="12362"/>
    <cellStyle name="Comma 2 3 3 30 4 2" xfId="12363"/>
    <cellStyle name="Comma 2 3 3 30 5" xfId="12364"/>
    <cellStyle name="Comma 2 3 3 30 5 2" xfId="12365"/>
    <cellStyle name="Comma 2 3 3 30 6" xfId="12366"/>
    <cellStyle name="Comma 2 3 3 30 6 2" xfId="12367"/>
    <cellStyle name="Comma 2 3 3 30 7" xfId="12368"/>
    <cellStyle name="Comma 2 3 3 30 7 2" xfId="12369"/>
    <cellStyle name="Comma 2 3 3 30 8" xfId="12370"/>
    <cellStyle name="Comma 2 3 3 30 8 2" xfId="12371"/>
    <cellStyle name="Comma 2 3 3 30 9" xfId="12372"/>
    <cellStyle name="Comma 2 3 3 30 9 2" xfId="12373"/>
    <cellStyle name="Comma 2 3 3 31" xfId="12374"/>
    <cellStyle name="Comma 2 3 3 31 10" xfId="12375"/>
    <cellStyle name="Comma 2 3 3 31 10 2" xfId="12376"/>
    <cellStyle name="Comma 2 3 3 31 11" xfId="12377"/>
    <cellStyle name="Comma 2 3 3 31 11 2" xfId="12378"/>
    <cellStyle name="Comma 2 3 3 31 12" xfId="12379"/>
    <cellStyle name="Comma 2 3 3 31 2" xfId="12380"/>
    <cellStyle name="Comma 2 3 3 31 2 2" xfId="12381"/>
    <cellStyle name="Comma 2 3 3 31 3" xfId="12382"/>
    <cellStyle name="Comma 2 3 3 31 3 2" xfId="12383"/>
    <cellStyle name="Comma 2 3 3 31 4" xfId="12384"/>
    <cellStyle name="Comma 2 3 3 31 4 2" xfId="12385"/>
    <cellStyle name="Comma 2 3 3 31 5" xfId="12386"/>
    <cellStyle name="Comma 2 3 3 31 5 2" xfId="12387"/>
    <cellStyle name="Comma 2 3 3 31 6" xfId="12388"/>
    <cellStyle name="Comma 2 3 3 31 6 2" xfId="12389"/>
    <cellStyle name="Comma 2 3 3 31 7" xfId="12390"/>
    <cellStyle name="Comma 2 3 3 31 7 2" xfId="12391"/>
    <cellStyle name="Comma 2 3 3 31 8" xfId="12392"/>
    <cellStyle name="Comma 2 3 3 31 8 2" xfId="12393"/>
    <cellStyle name="Comma 2 3 3 31 9" xfId="12394"/>
    <cellStyle name="Comma 2 3 3 31 9 2" xfId="12395"/>
    <cellStyle name="Comma 2 3 3 32" xfId="12396"/>
    <cellStyle name="Comma 2 3 3 32 10" xfId="12397"/>
    <cellStyle name="Comma 2 3 3 32 10 2" xfId="12398"/>
    <cellStyle name="Comma 2 3 3 32 11" xfId="12399"/>
    <cellStyle name="Comma 2 3 3 32 11 2" xfId="12400"/>
    <cellStyle name="Comma 2 3 3 32 12" xfId="12401"/>
    <cellStyle name="Comma 2 3 3 32 2" xfId="12402"/>
    <cellStyle name="Comma 2 3 3 32 2 2" xfId="12403"/>
    <cellStyle name="Comma 2 3 3 32 3" xfId="12404"/>
    <cellStyle name="Comma 2 3 3 32 3 2" xfId="12405"/>
    <cellStyle name="Comma 2 3 3 32 4" xfId="12406"/>
    <cellStyle name="Comma 2 3 3 32 4 2" xfId="12407"/>
    <cellStyle name="Comma 2 3 3 32 5" xfId="12408"/>
    <cellStyle name="Comma 2 3 3 32 5 2" xfId="12409"/>
    <cellStyle name="Comma 2 3 3 32 6" xfId="12410"/>
    <cellStyle name="Comma 2 3 3 32 6 2" xfId="12411"/>
    <cellStyle name="Comma 2 3 3 32 7" xfId="12412"/>
    <cellStyle name="Comma 2 3 3 32 7 2" xfId="12413"/>
    <cellStyle name="Comma 2 3 3 32 8" xfId="12414"/>
    <cellStyle name="Comma 2 3 3 32 8 2" xfId="12415"/>
    <cellStyle name="Comma 2 3 3 32 9" xfId="12416"/>
    <cellStyle name="Comma 2 3 3 32 9 2" xfId="12417"/>
    <cellStyle name="Comma 2 3 3 33" xfId="12418"/>
    <cellStyle name="Comma 2 3 3 33 10" xfId="12419"/>
    <cellStyle name="Comma 2 3 3 33 10 2" xfId="12420"/>
    <cellStyle name="Comma 2 3 3 33 11" xfId="12421"/>
    <cellStyle name="Comma 2 3 3 33 11 2" xfId="12422"/>
    <cellStyle name="Comma 2 3 3 33 12" xfId="12423"/>
    <cellStyle name="Comma 2 3 3 33 2" xfId="12424"/>
    <cellStyle name="Comma 2 3 3 33 2 2" xfId="12425"/>
    <cellStyle name="Comma 2 3 3 33 3" xfId="12426"/>
    <cellStyle name="Comma 2 3 3 33 3 2" xfId="12427"/>
    <cellStyle name="Comma 2 3 3 33 4" xfId="12428"/>
    <cellStyle name="Comma 2 3 3 33 4 2" xfId="12429"/>
    <cellStyle name="Comma 2 3 3 33 5" xfId="12430"/>
    <cellStyle name="Comma 2 3 3 33 5 2" xfId="12431"/>
    <cellStyle name="Comma 2 3 3 33 6" xfId="12432"/>
    <cellStyle name="Comma 2 3 3 33 6 2" xfId="12433"/>
    <cellStyle name="Comma 2 3 3 33 7" xfId="12434"/>
    <cellStyle name="Comma 2 3 3 33 7 2" xfId="12435"/>
    <cellStyle name="Comma 2 3 3 33 8" xfId="12436"/>
    <cellStyle name="Comma 2 3 3 33 8 2" xfId="12437"/>
    <cellStyle name="Comma 2 3 3 33 9" xfId="12438"/>
    <cellStyle name="Comma 2 3 3 33 9 2" xfId="12439"/>
    <cellStyle name="Comma 2 3 3 34" xfId="12440"/>
    <cellStyle name="Comma 2 3 3 34 10" xfId="12441"/>
    <cellStyle name="Comma 2 3 3 34 10 2" xfId="12442"/>
    <cellStyle name="Comma 2 3 3 34 11" xfId="12443"/>
    <cellStyle name="Comma 2 3 3 34 11 2" xfId="12444"/>
    <cellStyle name="Comma 2 3 3 34 12" xfId="12445"/>
    <cellStyle name="Comma 2 3 3 34 2" xfId="12446"/>
    <cellStyle name="Comma 2 3 3 34 2 2" xfId="12447"/>
    <cellStyle name="Comma 2 3 3 34 3" xfId="12448"/>
    <cellStyle name="Comma 2 3 3 34 3 2" xfId="12449"/>
    <cellStyle name="Comma 2 3 3 34 4" xfId="12450"/>
    <cellStyle name="Comma 2 3 3 34 4 2" xfId="12451"/>
    <cellStyle name="Comma 2 3 3 34 5" xfId="12452"/>
    <cellStyle name="Comma 2 3 3 34 5 2" xfId="12453"/>
    <cellStyle name="Comma 2 3 3 34 6" xfId="12454"/>
    <cellStyle name="Comma 2 3 3 34 6 2" xfId="12455"/>
    <cellStyle name="Comma 2 3 3 34 7" xfId="12456"/>
    <cellStyle name="Comma 2 3 3 34 7 2" xfId="12457"/>
    <cellStyle name="Comma 2 3 3 34 8" xfId="12458"/>
    <cellStyle name="Comma 2 3 3 34 8 2" xfId="12459"/>
    <cellStyle name="Comma 2 3 3 34 9" xfId="12460"/>
    <cellStyle name="Comma 2 3 3 34 9 2" xfId="12461"/>
    <cellStyle name="Comma 2 3 3 35" xfId="12462"/>
    <cellStyle name="Comma 2 3 3 35 10" xfId="12463"/>
    <cellStyle name="Comma 2 3 3 35 10 2" xfId="12464"/>
    <cellStyle name="Comma 2 3 3 35 11" xfId="12465"/>
    <cellStyle name="Comma 2 3 3 35 11 2" xfId="12466"/>
    <cellStyle name="Comma 2 3 3 35 12" xfId="12467"/>
    <cellStyle name="Comma 2 3 3 35 2" xfId="12468"/>
    <cellStyle name="Comma 2 3 3 35 2 2" xfId="12469"/>
    <cellStyle name="Comma 2 3 3 35 3" xfId="12470"/>
    <cellStyle name="Comma 2 3 3 35 3 2" xfId="12471"/>
    <cellStyle name="Comma 2 3 3 35 4" xfId="12472"/>
    <cellStyle name="Comma 2 3 3 35 4 2" xfId="12473"/>
    <cellStyle name="Comma 2 3 3 35 5" xfId="12474"/>
    <cellStyle name="Comma 2 3 3 35 5 2" xfId="12475"/>
    <cellStyle name="Comma 2 3 3 35 6" xfId="12476"/>
    <cellStyle name="Comma 2 3 3 35 6 2" xfId="12477"/>
    <cellStyle name="Comma 2 3 3 35 7" xfId="12478"/>
    <cellStyle name="Comma 2 3 3 35 7 2" xfId="12479"/>
    <cellStyle name="Comma 2 3 3 35 8" xfId="12480"/>
    <cellStyle name="Comma 2 3 3 35 8 2" xfId="12481"/>
    <cellStyle name="Comma 2 3 3 35 9" xfId="12482"/>
    <cellStyle name="Comma 2 3 3 35 9 2" xfId="12483"/>
    <cellStyle name="Comma 2 3 3 36" xfId="12484"/>
    <cellStyle name="Comma 2 3 3 36 10" xfId="12485"/>
    <cellStyle name="Comma 2 3 3 36 10 2" xfId="12486"/>
    <cellStyle name="Comma 2 3 3 36 11" xfId="12487"/>
    <cellStyle name="Comma 2 3 3 36 11 2" xfId="12488"/>
    <cellStyle name="Comma 2 3 3 36 12" xfId="12489"/>
    <cellStyle name="Comma 2 3 3 36 2" xfId="12490"/>
    <cellStyle name="Comma 2 3 3 36 2 2" xfId="12491"/>
    <cellStyle name="Comma 2 3 3 36 3" xfId="12492"/>
    <cellStyle name="Comma 2 3 3 36 3 2" xfId="12493"/>
    <cellStyle name="Comma 2 3 3 36 4" xfId="12494"/>
    <cellStyle name="Comma 2 3 3 36 4 2" xfId="12495"/>
    <cellStyle name="Comma 2 3 3 36 5" xfId="12496"/>
    <cellStyle name="Comma 2 3 3 36 5 2" xfId="12497"/>
    <cellStyle name="Comma 2 3 3 36 6" xfId="12498"/>
    <cellStyle name="Comma 2 3 3 36 6 2" xfId="12499"/>
    <cellStyle name="Comma 2 3 3 36 7" xfId="12500"/>
    <cellStyle name="Comma 2 3 3 36 7 2" xfId="12501"/>
    <cellStyle name="Comma 2 3 3 36 8" xfId="12502"/>
    <cellStyle name="Comma 2 3 3 36 8 2" xfId="12503"/>
    <cellStyle name="Comma 2 3 3 36 9" xfId="12504"/>
    <cellStyle name="Comma 2 3 3 36 9 2" xfId="12505"/>
    <cellStyle name="Comma 2 3 3 37" xfId="12506"/>
    <cellStyle name="Comma 2 3 3 37 10" xfId="12507"/>
    <cellStyle name="Comma 2 3 3 37 10 2" xfId="12508"/>
    <cellStyle name="Comma 2 3 3 37 11" xfId="12509"/>
    <cellStyle name="Comma 2 3 3 37 11 2" xfId="12510"/>
    <cellStyle name="Comma 2 3 3 37 12" xfId="12511"/>
    <cellStyle name="Comma 2 3 3 37 2" xfId="12512"/>
    <cellStyle name="Comma 2 3 3 37 2 2" xfId="12513"/>
    <cellStyle name="Comma 2 3 3 37 3" xfId="12514"/>
    <cellStyle name="Comma 2 3 3 37 3 2" xfId="12515"/>
    <cellStyle name="Comma 2 3 3 37 4" xfId="12516"/>
    <cellStyle name="Comma 2 3 3 37 4 2" xfId="12517"/>
    <cellStyle name="Comma 2 3 3 37 5" xfId="12518"/>
    <cellStyle name="Comma 2 3 3 37 5 2" xfId="12519"/>
    <cellStyle name="Comma 2 3 3 37 6" xfId="12520"/>
    <cellStyle name="Comma 2 3 3 37 6 2" xfId="12521"/>
    <cellStyle name="Comma 2 3 3 37 7" xfId="12522"/>
    <cellStyle name="Comma 2 3 3 37 7 2" xfId="12523"/>
    <cellStyle name="Comma 2 3 3 37 8" xfId="12524"/>
    <cellStyle name="Comma 2 3 3 37 8 2" xfId="12525"/>
    <cellStyle name="Comma 2 3 3 37 9" xfId="12526"/>
    <cellStyle name="Comma 2 3 3 37 9 2" xfId="12527"/>
    <cellStyle name="Comma 2 3 3 38" xfId="12528"/>
    <cellStyle name="Comma 2 3 3 38 10" xfId="12529"/>
    <cellStyle name="Comma 2 3 3 38 10 2" xfId="12530"/>
    <cellStyle name="Comma 2 3 3 38 11" xfId="12531"/>
    <cellStyle name="Comma 2 3 3 38 11 2" xfId="12532"/>
    <cellStyle name="Comma 2 3 3 38 12" xfId="12533"/>
    <cellStyle name="Comma 2 3 3 38 2" xfId="12534"/>
    <cellStyle name="Comma 2 3 3 38 2 2" xfId="12535"/>
    <cellStyle name="Comma 2 3 3 38 3" xfId="12536"/>
    <cellStyle name="Comma 2 3 3 38 3 2" xfId="12537"/>
    <cellStyle name="Comma 2 3 3 38 4" xfId="12538"/>
    <cellStyle name="Comma 2 3 3 38 4 2" xfId="12539"/>
    <cellStyle name="Comma 2 3 3 38 5" xfId="12540"/>
    <cellStyle name="Comma 2 3 3 38 5 2" xfId="12541"/>
    <cellStyle name="Comma 2 3 3 38 6" xfId="12542"/>
    <cellStyle name="Comma 2 3 3 38 6 2" xfId="12543"/>
    <cellStyle name="Comma 2 3 3 38 7" xfId="12544"/>
    <cellStyle name="Comma 2 3 3 38 7 2" xfId="12545"/>
    <cellStyle name="Comma 2 3 3 38 8" xfId="12546"/>
    <cellStyle name="Comma 2 3 3 38 8 2" xfId="12547"/>
    <cellStyle name="Comma 2 3 3 38 9" xfId="12548"/>
    <cellStyle name="Comma 2 3 3 38 9 2" xfId="12549"/>
    <cellStyle name="Comma 2 3 3 39" xfId="12550"/>
    <cellStyle name="Comma 2 3 3 39 10" xfId="12551"/>
    <cellStyle name="Comma 2 3 3 39 10 2" xfId="12552"/>
    <cellStyle name="Comma 2 3 3 39 11" xfId="12553"/>
    <cellStyle name="Comma 2 3 3 39 11 2" xfId="12554"/>
    <cellStyle name="Comma 2 3 3 39 12" xfId="12555"/>
    <cellStyle name="Comma 2 3 3 39 2" xfId="12556"/>
    <cellStyle name="Comma 2 3 3 39 2 2" xfId="12557"/>
    <cellStyle name="Comma 2 3 3 39 3" xfId="12558"/>
    <cellStyle name="Comma 2 3 3 39 3 2" xfId="12559"/>
    <cellStyle name="Comma 2 3 3 39 4" xfId="12560"/>
    <cellStyle name="Comma 2 3 3 39 4 2" xfId="12561"/>
    <cellStyle name="Comma 2 3 3 39 5" xfId="12562"/>
    <cellStyle name="Comma 2 3 3 39 5 2" xfId="12563"/>
    <cellStyle name="Comma 2 3 3 39 6" xfId="12564"/>
    <cellStyle name="Comma 2 3 3 39 6 2" xfId="12565"/>
    <cellStyle name="Comma 2 3 3 39 7" xfId="12566"/>
    <cellStyle name="Comma 2 3 3 39 7 2" xfId="12567"/>
    <cellStyle name="Comma 2 3 3 39 8" xfId="12568"/>
    <cellStyle name="Comma 2 3 3 39 8 2" xfId="12569"/>
    <cellStyle name="Comma 2 3 3 39 9" xfId="12570"/>
    <cellStyle name="Comma 2 3 3 39 9 2" xfId="12571"/>
    <cellStyle name="Comma 2 3 3 4" xfId="12572"/>
    <cellStyle name="Comma 2 3 3 4 10" xfId="12573"/>
    <cellStyle name="Comma 2 3 3 4 10 2" xfId="12574"/>
    <cellStyle name="Comma 2 3 3 4 11" xfId="12575"/>
    <cellStyle name="Comma 2 3 3 4 11 2" xfId="12576"/>
    <cellStyle name="Comma 2 3 3 4 12" xfId="12577"/>
    <cellStyle name="Comma 2 3 3 4 2" xfId="12578"/>
    <cellStyle name="Comma 2 3 3 4 2 2" xfId="12579"/>
    <cellStyle name="Comma 2 3 3 4 3" xfId="12580"/>
    <cellStyle name="Comma 2 3 3 4 3 2" xfId="12581"/>
    <cellStyle name="Comma 2 3 3 4 4" xfId="12582"/>
    <cellStyle name="Comma 2 3 3 4 4 2" xfId="12583"/>
    <cellStyle name="Comma 2 3 3 4 5" xfId="12584"/>
    <cellStyle name="Comma 2 3 3 4 5 2" xfId="12585"/>
    <cellStyle name="Comma 2 3 3 4 6" xfId="12586"/>
    <cellStyle name="Comma 2 3 3 4 6 2" xfId="12587"/>
    <cellStyle name="Comma 2 3 3 4 7" xfId="12588"/>
    <cellStyle name="Comma 2 3 3 4 7 2" xfId="12589"/>
    <cellStyle name="Comma 2 3 3 4 8" xfId="12590"/>
    <cellStyle name="Comma 2 3 3 4 8 2" xfId="12591"/>
    <cellStyle name="Comma 2 3 3 4 9" xfId="12592"/>
    <cellStyle name="Comma 2 3 3 4 9 2" xfId="12593"/>
    <cellStyle name="Comma 2 3 3 40" xfId="12594"/>
    <cellStyle name="Comma 2 3 3 40 2" xfId="12595"/>
    <cellStyle name="Comma 2 3 3 41" xfId="12596"/>
    <cellStyle name="Comma 2 3 3 41 2" xfId="12597"/>
    <cellStyle name="Comma 2 3 3 42" xfId="12598"/>
    <cellStyle name="Comma 2 3 3 42 2" xfId="12599"/>
    <cellStyle name="Comma 2 3 3 43" xfId="12600"/>
    <cellStyle name="Comma 2 3 3 43 2" xfId="12601"/>
    <cellStyle name="Comma 2 3 3 44" xfId="12602"/>
    <cellStyle name="Comma 2 3 3 44 2" xfId="12603"/>
    <cellStyle name="Comma 2 3 3 45" xfId="12604"/>
    <cellStyle name="Comma 2 3 3 45 2" xfId="12605"/>
    <cellStyle name="Comma 2 3 3 46" xfId="12606"/>
    <cellStyle name="Comma 2 3 3 46 2" xfId="12607"/>
    <cellStyle name="Comma 2 3 3 47" xfId="12608"/>
    <cellStyle name="Comma 2 3 3 47 2" xfId="12609"/>
    <cellStyle name="Comma 2 3 3 48" xfId="12610"/>
    <cellStyle name="Comma 2 3 3 48 2" xfId="12611"/>
    <cellStyle name="Comma 2 3 3 49" xfId="12612"/>
    <cellStyle name="Comma 2 3 3 49 2" xfId="12613"/>
    <cellStyle name="Comma 2 3 3 5" xfId="12614"/>
    <cellStyle name="Comma 2 3 3 5 10" xfId="12615"/>
    <cellStyle name="Comma 2 3 3 5 10 2" xfId="12616"/>
    <cellStyle name="Comma 2 3 3 5 11" xfId="12617"/>
    <cellStyle name="Comma 2 3 3 5 11 2" xfId="12618"/>
    <cellStyle name="Comma 2 3 3 5 12" xfId="12619"/>
    <cellStyle name="Comma 2 3 3 5 2" xfId="12620"/>
    <cellStyle name="Comma 2 3 3 5 2 2" xfId="12621"/>
    <cellStyle name="Comma 2 3 3 5 3" xfId="12622"/>
    <cellStyle name="Comma 2 3 3 5 3 2" xfId="12623"/>
    <cellStyle name="Comma 2 3 3 5 4" xfId="12624"/>
    <cellStyle name="Comma 2 3 3 5 4 2" xfId="12625"/>
    <cellStyle name="Comma 2 3 3 5 5" xfId="12626"/>
    <cellStyle name="Comma 2 3 3 5 5 2" xfId="12627"/>
    <cellStyle name="Comma 2 3 3 5 6" xfId="12628"/>
    <cellStyle name="Comma 2 3 3 5 6 2" xfId="12629"/>
    <cellStyle name="Comma 2 3 3 5 7" xfId="12630"/>
    <cellStyle name="Comma 2 3 3 5 7 2" xfId="12631"/>
    <cellStyle name="Comma 2 3 3 5 8" xfId="12632"/>
    <cellStyle name="Comma 2 3 3 5 8 2" xfId="12633"/>
    <cellStyle name="Comma 2 3 3 5 9" xfId="12634"/>
    <cellStyle name="Comma 2 3 3 5 9 2" xfId="12635"/>
    <cellStyle name="Comma 2 3 3 50" xfId="12636"/>
    <cellStyle name="Comma 2 3 3 50 2" xfId="12637"/>
    <cellStyle name="Comma 2 3 3 51" xfId="12638"/>
    <cellStyle name="Comma 2 3 3 51 2" xfId="12639"/>
    <cellStyle name="Comma 2 3 3 52" xfId="12640"/>
    <cellStyle name="Comma 2 3 3 6" xfId="12641"/>
    <cellStyle name="Comma 2 3 3 6 10" xfId="12642"/>
    <cellStyle name="Comma 2 3 3 6 10 2" xfId="12643"/>
    <cellStyle name="Comma 2 3 3 6 11" xfId="12644"/>
    <cellStyle name="Comma 2 3 3 6 11 2" xfId="12645"/>
    <cellStyle name="Comma 2 3 3 6 12" xfId="12646"/>
    <cellStyle name="Comma 2 3 3 6 2" xfId="12647"/>
    <cellStyle name="Comma 2 3 3 6 2 2" xfId="12648"/>
    <cellStyle name="Comma 2 3 3 6 3" xfId="12649"/>
    <cellStyle name="Comma 2 3 3 6 3 2" xfId="12650"/>
    <cellStyle name="Comma 2 3 3 6 4" xfId="12651"/>
    <cellStyle name="Comma 2 3 3 6 4 2" xfId="12652"/>
    <cellStyle name="Comma 2 3 3 6 5" xfId="12653"/>
    <cellStyle name="Comma 2 3 3 6 5 2" xfId="12654"/>
    <cellStyle name="Comma 2 3 3 6 6" xfId="12655"/>
    <cellStyle name="Comma 2 3 3 6 6 2" xfId="12656"/>
    <cellStyle name="Comma 2 3 3 6 7" xfId="12657"/>
    <cellStyle name="Comma 2 3 3 6 7 2" xfId="12658"/>
    <cellStyle name="Comma 2 3 3 6 8" xfId="12659"/>
    <cellStyle name="Comma 2 3 3 6 8 2" xfId="12660"/>
    <cellStyle name="Comma 2 3 3 6 9" xfId="12661"/>
    <cellStyle name="Comma 2 3 3 6 9 2" xfId="12662"/>
    <cellStyle name="Comma 2 3 3 7" xfId="12663"/>
    <cellStyle name="Comma 2 3 3 7 10" xfId="12664"/>
    <cellStyle name="Comma 2 3 3 7 10 2" xfId="12665"/>
    <cellStyle name="Comma 2 3 3 7 11" xfId="12666"/>
    <cellStyle name="Comma 2 3 3 7 11 2" xfId="12667"/>
    <cellStyle name="Comma 2 3 3 7 12" xfId="12668"/>
    <cellStyle name="Comma 2 3 3 7 2" xfId="12669"/>
    <cellStyle name="Comma 2 3 3 7 2 2" xfId="12670"/>
    <cellStyle name="Comma 2 3 3 7 3" xfId="12671"/>
    <cellStyle name="Comma 2 3 3 7 3 2" xfId="12672"/>
    <cellStyle name="Comma 2 3 3 7 4" xfId="12673"/>
    <cellStyle name="Comma 2 3 3 7 4 2" xfId="12674"/>
    <cellStyle name="Comma 2 3 3 7 5" xfId="12675"/>
    <cellStyle name="Comma 2 3 3 7 5 2" xfId="12676"/>
    <cellStyle name="Comma 2 3 3 7 6" xfId="12677"/>
    <cellStyle name="Comma 2 3 3 7 6 2" xfId="12678"/>
    <cellStyle name="Comma 2 3 3 7 7" xfId="12679"/>
    <cellStyle name="Comma 2 3 3 7 7 2" xfId="12680"/>
    <cellStyle name="Comma 2 3 3 7 8" xfId="12681"/>
    <cellStyle name="Comma 2 3 3 7 8 2" xfId="12682"/>
    <cellStyle name="Comma 2 3 3 7 9" xfId="12683"/>
    <cellStyle name="Comma 2 3 3 7 9 2" xfId="12684"/>
    <cellStyle name="Comma 2 3 3 8" xfId="12685"/>
    <cellStyle name="Comma 2 3 3 8 10" xfId="12686"/>
    <cellStyle name="Comma 2 3 3 8 10 2" xfId="12687"/>
    <cellStyle name="Comma 2 3 3 8 11" xfId="12688"/>
    <cellStyle name="Comma 2 3 3 8 11 2" xfId="12689"/>
    <cellStyle name="Comma 2 3 3 8 12" xfId="12690"/>
    <cellStyle name="Comma 2 3 3 8 2" xfId="12691"/>
    <cellStyle name="Comma 2 3 3 8 2 2" xfId="12692"/>
    <cellStyle name="Comma 2 3 3 8 3" xfId="12693"/>
    <cellStyle name="Comma 2 3 3 8 3 2" xfId="12694"/>
    <cellStyle name="Comma 2 3 3 8 4" xfId="12695"/>
    <cellStyle name="Comma 2 3 3 8 4 2" xfId="12696"/>
    <cellStyle name="Comma 2 3 3 8 5" xfId="12697"/>
    <cellStyle name="Comma 2 3 3 8 5 2" xfId="12698"/>
    <cellStyle name="Comma 2 3 3 8 6" xfId="12699"/>
    <cellStyle name="Comma 2 3 3 8 6 2" xfId="12700"/>
    <cellStyle name="Comma 2 3 3 8 7" xfId="12701"/>
    <cellStyle name="Comma 2 3 3 8 7 2" xfId="12702"/>
    <cellStyle name="Comma 2 3 3 8 8" xfId="12703"/>
    <cellStyle name="Comma 2 3 3 8 8 2" xfId="12704"/>
    <cellStyle name="Comma 2 3 3 8 9" xfId="12705"/>
    <cellStyle name="Comma 2 3 3 8 9 2" xfId="12706"/>
    <cellStyle name="Comma 2 3 3 9" xfId="12707"/>
    <cellStyle name="Comma 2 3 3 9 10" xfId="12708"/>
    <cellStyle name="Comma 2 3 3 9 10 2" xfId="12709"/>
    <cellStyle name="Comma 2 3 3 9 11" xfId="12710"/>
    <cellStyle name="Comma 2 3 3 9 11 2" xfId="12711"/>
    <cellStyle name="Comma 2 3 3 9 12" xfId="12712"/>
    <cellStyle name="Comma 2 3 3 9 2" xfId="12713"/>
    <cellStyle name="Comma 2 3 3 9 2 2" xfId="12714"/>
    <cellStyle name="Comma 2 3 3 9 3" xfId="12715"/>
    <cellStyle name="Comma 2 3 3 9 3 2" xfId="12716"/>
    <cellStyle name="Comma 2 3 3 9 4" xfId="12717"/>
    <cellStyle name="Comma 2 3 3 9 4 2" xfId="12718"/>
    <cellStyle name="Comma 2 3 3 9 5" xfId="12719"/>
    <cellStyle name="Comma 2 3 3 9 5 2" xfId="12720"/>
    <cellStyle name="Comma 2 3 3 9 6" xfId="12721"/>
    <cellStyle name="Comma 2 3 3 9 6 2" xfId="12722"/>
    <cellStyle name="Comma 2 3 3 9 7" xfId="12723"/>
    <cellStyle name="Comma 2 3 3 9 7 2" xfId="12724"/>
    <cellStyle name="Comma 2 3 3 9 8" xfId="12725"/>
    <cellStyle name="Comma 2 3 3 9 8 2" xfId="12726"/>
    <cellStyle name="Comma 2 3 3 9 9" xfId="12727"/>
    <cellStyle name="Comma 2 3 3 9 9 2" xfId="12728"/>
    <cellStyle name="Comma 2 3 30" xfId="12729"/>
    <cellStyle name="Comma 2 3 30 10" xfId="12730"/>
    <cellStyle name="Comma 2 3 30 10 2" xfId="12731"/>
    <cellStyle name="Comma 2 3 30 11" xfId="12732"/>
    <cellStyle name="Comma 2 3 30 11 2" xfId="12733"/>
    <cellStyle name="Comma 2 3 30 12" xfId="12734"/>
    <cellStyle name="Comma 2 3 30 2" xfId="12735"/>
    <cellStyle name="Comma 2 3 30 2 2" xfId="12736"/>
    <cellStyle name="Comma 2 3 30 3" xfId="12737"/>
    <cellStyle name="Comma 2 3 30 3 2" xfId="12738"/>
    <cellStyle name="Comma 2 3 30 4" xfId="12739"/>
    <cellStyle name="Comma 2 3 30 4 2" xfId="12740"/>
    <cellStyle name="Comma 2 3 30 5" xfId="12741"/>
    <cellStyle name="Comma 2 3 30 5 2" xfId="12742"/>
    <cellStyle name="Comma 2 3 30 6" xfId="12743"/>
    <cellStyle name="Comma 2 3 30 6 2" xfId="12744"/>
    <cellStyle name="Comma 2 3 30 7" xfId="12745"/>
    <cellStyle name="Comma 2 3 30 7 2" xfId="12746"/>
    <cellStyle name="Comma 2 3 30 8" xfId="12747"/>
    <cellStyle name="Comma 2 3 30 8 2" xfId="12748"/>
    <cellStyle name="Comma 2 3 30 9" xfId="12749"/>
    <cellStyle name="Comma 2 3 30 9 2" xfId="12750"/>
    <cellStyle name="Comma 2 3 31" xfId="12751"/>
    <cellStyle name="Comma 2 3 31 10" xfId="12752"/>
    <cellStyle name="Comma 2 3 31 10 2" xfId="12753"/>
    <cellStyle name="Comma 2 3 31 11" xfId="12754"/>
    <cellStyle name="Comma 2 3 31 11 2" xfId="12755"/>
    <cellStyle name="Comma 2 3 31 12" xfId="12756"/>
    <cellStyle name="Comma 2 3 31 2" xfId="12757"/>
    <cellStyle name="Comma 2 3 31 2 2" xfId="12758"/>
    <cellStyle name="Comma 2 3 31 3" xfId="12759"/>
    <cellStyle name="Comma 2 3 31 3 2" xfId="12760"/>
    <cellStyle name="Comma 2 3 31 4" xfId="12761"/>
    <cellStyle name="Comma 2 3 31 4 2" xfId="12762"/>
    <cellStyle name="Comma 2 3 31 5" xfId="12763"/>
    <cellStyle name="Comma 2 3 31 5 2" xfId="12764"/>
    <cellStyle name="Comma 2 3 31 6" xfId="12765"/>
    <cellStyle name="Comma 2 3 31 6 2" xfId="12766"/>
    <cellStyle name="Comma 2 3 31 7" xfId="12767"/>
    <cellStyle name="Comma 2 3 31 7 2" xfId="12768"/>
    <cellStyle name="Comma 2 3 31 8" xfId="12769"/>
    <cellStyle name="Comma 2 3 31 8 2" xfId="12770"/>
    <cellStyle name="Comma 2 3 31 9" xfId="12771"/>
    <cellStyle name="Comma 2 3 31 9 2" xfId="12772"/>
    <cellStyle name="Comma 2 3 32" xfId="12773"/>
    <cellStyle name="Comma 2 3 32 10" xfId="12774"/>
    <cellStyle name="Comma 2 3 32 10 2" xfId="12775"/>
    <cellStyle name="Comma 2 3 32 11" xfId="12776"/>
    <cellStyle name="Comma 2 3 32 11 2" xfId="12777"/>
    <cellStyle name="Comma 2 3 32 12" xfId="12778"/>
    <cellStyle name="Comma 2 3 32 2" xfId="12779"/>
    <cellStyle name="Comma 2 3 32 2 2" xfId="12780"/>
    <cellStyle name="Comma 2 3 32 3" xfId="12781"/>
    <cellStyle name="Comma 2 3 32 3 2" xfId="12782"/>
    <cellStyle name="Comma 2 3 32 4" xfId="12783"/>
    <cellStyle name="Comma 2 3 32 4 2" xfId="12784"/>
    <cellStyle name="Comma 2 3 32 5" xfId="12785"/>
    <cellStyle name="Comma 2 3 32 5 2" xfId="12786"/>
    <cellStyle name="Comma 2 3 32 6" xfId="12787"/>
    <cellStyle name="Comma 2 3 32 6 2" xfId="12788"/>
    <cellStyle name="Comma 2 3 32 7" xfId="12789"/>
    <cellStyle name="Comma 2 3 32 7 2" xfId="12790"/>
    <cellStyle name="Comma 2 3 32 8" xfId="12791"/>
    <cellStyle name="Comma 2 3 32 8 2" xfId="12792"/>
    <cellStyle name="Comma 2 3 32 9" xfId="12793"/>
    <cellStyle name="Comma 2 3 32 9 2" xfId="12794"/>
    <cellStyle name="Comma 2 3 33" xfId="12795"/>
    <cellStyle name="Comma 2 3 33 10" xfId="12796"/>
    <cellStyle name="Comma 2 3 33 10 2" xfId="12797"/>
    <cellStyle name="Comma 2 3 33 11" xfId="12798"/>
    <cellStyle name="Comma 2 3 33 11 2" xfId="12799"/>
    <cellStyle name="Comma 2 3 33 12" xfId="12800"/>
    <cellStyle name="Comma 2 3 33 2" xfId="12801"/>
    <cellStyle name="Comma 2 3 33 2 2" xfId="12802"/>
    <cellStyle name="Comma 2 3 33 3" xfId="12803"/>
    <cellStyle name="Comma 2 3 33 3 2" xfId="12804"/>
    <cellStyle name="Comma 2 3 33 4" xfId="12805"/>
    <cellStyle name="Comma 2 3 33 4 2" xfId="12806"/>
    <cellStyle name="Comma 2 3 33 5" xfId="12807"/>
    <cellStyle name="Comma 2 3 33 5 2" xfId="12808"/>
    <cellStyle name="Comma 2 3 33 6" xfId="12809"/>
    <cellStyle name="Comma 2 3 33 6 2" xfId="12810"/>
    <cellStyle name="Comma 2 3 33 7" xfId="12811"/>
    <cellStyle name="Comma 2 3 33 7 2" xfId="12812"/>
    <cellStyle name="Comma 2 3 33 8" xfId="12813"/>
    <cellStyle name="Comma 2 3 33 8 2" xfId="12814"/>
    <cellStyle name="Comma 2 3 33 9" xfId="12815"/>
    <cellStyle name="Comma 2 3 33 9 2" xfId="12816"/>
    <cellStyle name="Comma 2 3 34" xfId="12817"/>
    <cellStyle name="Comma 2 3 34 10" xfId="12818"/>
    <cellStyle name="Comma 2 3 34 10 2" xfId="12819"/>
    <cellStyle name="Comma 2 3 34 11" xfId="12820"/>
    <cellStyle name="Comma 2 3 34 11 2" xfId="12821"/>
    <cellStyle name="Comma 2 3 34 12" xfId="12822"/>
    <cellStyle name="Comma 2 3 34 2" xfId="12823"/>
    <cellStyle name="Comma 2 3 34 2 2" xfId="12824"/>
    <cellStyle name="Comma 2 3 34 3" xfId="12825"/>
    <cellStyle name="Comma 2 3 34 3 2" xfId="12826"/>
    <cellStyle name="Comma 2 3 34 4" xfId="12827"/>
    <cellStyle name="Comma 2 3 34 4 2" xfId="12828"/>
    <cellStyle name="Comma 2 3 34 5" xfId="12829"/>
    <cellStyle name="Comma 2 3 34 5 2" xfId="12830"/>
    <cellStyle name="Comma 2 3 34 6" xfId="12831"/>
    <cellStyle name="Comma 2 3 34 6 2" xfId="12832"/>
    <cellStyle name="Comma 2 3 34 7" xfId="12833"/>
    <cellStyle name="Comma 2 3 34 7 2" xfId="12834"/>
    <cellStyle name="Comma 2 3 34 8" xfId="12835"/>
    <cellStyle name="Comma 2 3 34 8 2" xfId="12836"/>
    <cellStyle name="Comma 2 3 34 9" xfId="12837"/>
    <cellStyle name="Comma 2 3 34 9 2" xfId="12838"/>
    <cellStyle name="Comma 2 3 35" xfId="12839"/>
    <cellStyle name="Comma 2 3 35 10" xfId="12840"/>
    <cellStyle name="Comma 2 3 35 10 2" xfId="12841"/>
    <cellStyle name="Comma 2 3 35 11" xfId="12842"/>
    <cellStyle name="Comma 2 3 35 11 2" xfId="12843"/>
    <cellStyle name="Comma 2 3 35 12" xfId="12844"/>
    <cellStyle name="Comma 2 3 35 2" xfId="12845"/>
    <cellStyle name="Comma 2 3 35 2 2" xfId="12846"/>
    <cellStyle name="Comma 2 3 35 3" xfId="12847"/>
    <cellStyle name="Comma 2 3 35 3 2" xfId="12848"/>
    <cellStyle name="Comma 2 3 35 4" xfId="12849"/>
    <cellStyle name="Comma 2 3 35 4 2" xfId="12850"/>
    <cellStyle name="Comma 2 3 35 5" xfId="12851"/>
    <cellStyle name="Comma 2 3 35 5 2" xfId="12852"/>
    <cellStyle name="Comma 2 3 35 6" xfId="12853"/>
    <cellStyle name="Comma 2 3 35 6 2" xfId="12854"/>
    <cellStyle name="Comma 2 3 35 7" xfId="12855"/>
    <cellStyle name="Comma 2 3 35 7 2" xfId="12856"/>
    <cellStyle name="Comma 2 3 35 8" xfId="12857"/>
    <cellStyle name="Comma 2 3 35 8 2" xfId="12858"/>
    <cellStyle name="Comma 2 3 35 9" xfId="12859"/>
    <cellStyle name="Comma 2 3 35 9 2" xfId="12860"/>
    <cellStyle name="Comma 2 3 36" xfId="12861"/>
    <cellStyle name="Comma 2 3 36 10" xfId="12862"/>
    <cellStyle name="Comma 2 3 36 10 2" xfId="12863"/>
    <cellStyle name="Comma 2 3 36 11" xfId="12864"/>
    <cellStyle name="Comma 2 3 36 11 2" xfId="12865"/>
    <cellStyle name="Comma 2 3 36 12" xfId="12866"/>
    <cellStyle name="Comma 2 3 36 2" xfId="12867"/>
    <cellStyle name="Comma 2 3 36 2 2" xfId="12868"/>
    <cellStyle name="Comma 2 3 36 3" xfId="12869"/>
    <cellStyle name="Comma 2 3 36 3 2" xfId="12870"/>
    <cellStyle name="Comma 2 3 36 4" xfId="12871"/>
    <cellStyle name="Comma 2 3 36 4 2" xfId="12872"/>
    <cellStyle name="Comma 2 3 36 5" xfId="12873"/>
    <cellStyle name="Comma 2 3 36 5 2" xfId="12874"/>
    <cellStyle name="Comma 2 3 36 6" xfId="12875"/>
    <cellStyle name="Comma 2 3 36 6 2" xfId="12876"/>
    <cellStyle name="Comma 2 3 36 7" xfId="12877"/>
    <cellStyle name="Comma 2 3 36 7 2" xfId="12878"/>
    <cellStyle name="Comma 2 3 36 8" xfId="12879"/>
    <cellStyle name="Comma 2 3 36 8 2" xfId="12880"/>
    <cellStyle name="Comma 2 3 36 9" xfId="12881"/>
    <cellStyle name="Comma 2 3 36 9 2" xfId="12882"/>
    <cellStyle name="Comma 2 3 37" xfId="12883"/>
    <cellStyle name="Comma 2 3 37 10" xfId="12884"/>
    <cellStyle name="Comma 2 3 37 10 2" xfId="12885"/>
    <cellStyle name="Comma 2 3 37 11" xfId="12886"/>
    <cellStyle name="Comma 2 3 37 11 2" xfId="12887"/>
    <cellStyle name="Comma 2 3 37 12" xfId="12888"/>
    <cellStyle name="Comma 2 3 37 2" xfId="12889"/>
    <cellStyle name="Comma 2 3 37 2 2" xfId="12890"/>
    <cellStyle name="Comma 2 3 37 3" xfId="12891"/>
    <cellStyle name="Comma 2 3 37 3 2" xfId="12892"/>
    <cellStyle name="Comma 2 3 37 4" xfId="12893"/>
    <cellStyle name="Comma 2 3 37 4 2" xfId="12894"/>
    <cellStyle name="Comma 2 3 37 5" xfId="12895"/>
    <cellStyle name="Comma 2 3 37 5 2" xfId="12896"/>
    <cellStyle name="Comma 2 3 37 6" xfId="12897"/>
    <cellStyle name="Comma 2 3 37 6 2" xfId="12898"/>
    <cellStyle name="Comma 2 3 37 7" xfId="12899"/>
    <cellStyle name="Comma 2 3 37 7 2" xfId="12900"/>
    <cellStyle name="Comma 2 3 37 8" xfId="12901"/>
    <cellStyle name="Comma 2 3 37 8 2" xfId="12902"/>
    <cellStyle name="Comma 2 3 37 9" xfId="12903"/>
    <cellStyle name="Comma 2 3 37 9 2" xfId="12904"/>
    <cellStyle name="Comma 2 3 38" xfId="12905"/>
    <cellStyle name="Comma 2 3 38 10" xfId="12906"/>
    <cellStyle name="Comma 2 3 38 10 2" xfId="12907"/>
    <cellStyle name="Comma 2 3 38 11" xfId="12908"/>
    <cellStyle name="Comma 2 3 38 11 2" xfId="12909"/>
    <cellStyle name="Comma 2 3 38 12" xfId="12910"/>
    <cellStyle name="Comma 2 3 38 2" xfId="12911"/>
    <cellStyle name="Comma 2 3 38 2 2" xfId="12912"/>
    <cellStyle name="Comma 2 3 38 3" xfId="12913"/>
    <cellStyle name="Comma 2 3 38 3 2" xfId="12914"/>
    <cellStyle name="Comma 2 3 38 4" xfId="12915"/>
    <cellStyle name="Comma 2 3 38 4 2" xfId="12916"/>
    <cellStyle name="Comma 2 3 38 5" xfId="12917"/>
    <cellStyle name="Comma 2 3 38 5 2" xfId="12918"/>
    <cellStyle name="Comma 2 3 38 6" xfId="12919"/>
    <cellStyle name="Comma 2 3 38 6 2" xfId="12920"/>
    <cellStyle name="Comma 2 3 38 7" xfId="12921"/>
    <cellStyle name="Comma 2 3 38 7 2" xfId="12922"/>
    <cellStyle name="Comma 2 3 38 8" xfId="12923"/>
    <cellStyle name="Comma 2 3 38 8 2" xfId="12924"/>
    <cellStyle name="Comma 2 3 38 9" xfId="12925"/>
    <cellStyle name="Comma 2 3 38 9 2" xfId="12926"/>
    <cellStyle name="Comma 2 3 39" xfId="12927"/>
    <cellStyle name="Comma 2 3 39 10" xfId="12928"/>
    <cellStyle name="Comma 2 3 39 10 2" xfId="12929"/>
    <cellStyle name="Comma 2 3 39 11" xfId="12930"/>
    <cellStyle name="Comma 2 3 39 11 2" xfId="12931"/>
    <cellStyle name="Comma 2 3 39 12" xfId="12932"/>
    <cellStyle name="Comma 2 3 39 2" xfId="12933"/>
    <cellStyle name="Comma 2 3 39 2 2" xfId="12934"/>
    <cellStyle name="Comma 2 3 39 3" xfId="12935"/>
    <cellStyle name="Comma 2 3 39 3 2" xfId="12936"/>
    <cellStyle name="Comma 2 3 39 4" xfId="12937"/>
    <cellStyle name="Comma 2 3 39 4 2" xfId="12938"/>
    <cellStyle name="Comma 2 3 39 5" xfId="12939"/>
    <cellStyle name="Comma 2 3 39 5 2" xfId="12940"/>
    <cellStyle name="Comma 2 3 39 6" xfId="12941"/>
    <cellStyle name="Comma 2 3 39 6 2" xfId="12942"/>
    <cellStyle name="Comma 2 3 39 7" xfId="12943"/>
    <cellStyle name="Comma 2 3 39 7 2" xfId="12944"/>
    <cellStyle name="Comma 2 3 39 8" xfId="12945"/>
    <cellStyle name="Comma 2 3 39 8 2" xfId="12946"/>
    <cellStyle name="Comma 2 3 39 9" xfId="12947"/>
    <cellStyle name="Comma 2 3 39 9 2" xfId="12948"/>
    <cellStyle name="Comma 2 3 4" xfId="12949"/>
    <cellStyle name="Comma 2 3 4 10" xfId="12950"/>
    <cellStyle name="Comma 2 3 4 10 10" xfId="12951"/>
    <cellStyle name="Comma 2 3 4 10 10 2" xfId="12952"/>
    <cellStyle name="Comma 2 3 4 10 11" xfId="12953"/>
    <cellStyle name="Comma 2 3 4 10 11 2" xfId="12954"/>
    <cellStyle name="Comma 2 3 4 10 12" xfId="12955"/>
    <cellStyle name="Comma 2 3 4 10 2" xfId="12956"/>
    <cellStyle name="Comma 2 3 4 10 2 2" xfId="12957"/>
    <cellStyle name="Comma 2 3 4 10 3" xfId="12958"/>
    <cellStyle name="Comma 2 3 4 10 3 2" xfId="12959"/>
    <cellStyle name="Comma 2 3 4 10 4" xfId="12960"/>
    <cellStyle name="Comma 2 3 4 10 4 2" xfId="12961"/>
    <cellStyle name="Comma 2 3 4 10 5" xfId="12962"/>
    <cellStyle name="Comma 2 3 4 10 5 2" xfId="12963"/>
    <cellStyle name="Comma 2 3 4 10 6" xfId="12964"/>
    <cellStyle name="Comma 2 3 4 10 6 2" xfId="12965"/>
    <cellStyle name="Comma 2 3 4 10 7" xfId="12966"/>
    <cellStyle name="Comma 2 3 4 10 7 2" xfId="12967"/>
    <cellStyle name="Comma 2 3 4 10 8" xfId="12968"/>
    <cellStyle name="Comma 2 3 4 10 8 2" xfId="12969"/>
    <cellStyle name="Comma 2 3 4 10 9" xfId="12970"/>
    <cellStyle name="Comma 2 3 4 10 9 2" xfId="12971"/>
    <cellStyle name="Comma 2 3 4 11" xfId="12972"/>
    <cellStyle name="Comma 2 3 4 11 10" xfId="12973"/>
    <cellStyle name="Comma 2 3 4 11 10 2" xfId="12974"/>
    <cellStyle name="Comma 2 3 4 11 11" xfId="12975"/>
    <cellStyle name="Comma 2 3 4 11 11 2" xfId="12976"/>
    <cellStyle name="Comma 2 3 4 11 12" xfId="12977"/>
    <cellStyle name="Comma 2 3 4 11 2" xfId="12978"/>
    <cellStyle name="Comma 2 3 4 11 2 2" xfId="12979"/>
    <cellStyle name="Comma 2 3 4 11 3" xfId="12980"/>
    <cellStyle name="Comma 2 3 4 11 3 2" xfId="12981"/>
    <cellStyle name="Comma 2 3 4 11 4" xfId="12982"/>
    <cellStyle name="Comma 2 3 4 11 4 2" xfId="12983"/>
    <cellStyle name="Comma 2 3 4 11 5" xfId="12984"/>
    <cellStyle name="Comma 2 3 4 11 5 2" xfId="12985"/>
    <cellStyle name="Comma 2 3 4 11 6" xfId="12986"/>
    <cellStyle name="Comma 2 3 4 11 6 2" xfId="12987"/>
    <cellStyle name="Comma 2 3 4 11 7" xfId="12988"/>
    <cellStyle name="Comma 2 3 4 11 7 2" xfId="12989"/>
    <cellStyle name="Comma 2 3 4 11 8" xfId="12990"/>
    <cellStyle name="Comma 2 3 4 11 8 2" xfId="12991"/>
    <cellStyle name="Comma 2 3 4 11 9" xfId="12992"/>
    <cellStyle name="Comma 2 3 4 11 9 2" xfId="12993"/>
    <cellStyle name="Comma 2 3 4 12" xfId="12994"/>
    <cellStyle name="Comma 2 3 4 12 10" xfId="12995"/>
    <cellStyle name="Comma 2 3 4 12 10 2" xfId="12996"/>
    <cellStyle name="Comma 2 3 4 12 11" xfId="12997"/>
    <cellStyle name="Comma 2 3 4 12 11 2" xfId="12998"/>
    <cellStyle name="Comma 2 3 4 12 12" xfId="12999"/>
    <cellStyle name="Comma 2 3 4 12 2" xfId="13000"/>
    <cellStyle name="Comma 2 3 4 12 2 2" xfId="13001"/>
    <cellStyle name="Comma 2 3 4 12 3" xfId="13002"/>
    <cellStyle name="Comma 2 3 4 12 3 2" xfId="13003"/>
    <cellStyle name="Comma 2 3 4 12 4" xfId="13004"/>
    <cellStyle name="Comma 2 3 4 12 4 2" xfId="13005"/>
    <cellStyle name="Comma 2 3 4 12 5" xfId="13006"/>
    <cellStyle name="Comma 2 3 4 12 5 2" xfId="13007"/>
    <cellStyle name="Comma 2 3 4 12 6" xfId="13008"/>
    <cellStyle name="Comma 2 3 4 12 6 2" xfId="13009"/>
    <cellStyle name="Comma 2 3 4 12 7" xfId="13010"/>
    <cellStyle name="Comma 2 3 4 12 7 2" xfId="13011"/>
    <cellStyle name="Comma 2 3 4 12 8" xfId="13012"/>
    <cellStyle name="Comma 2 3 4 12 8 2" xfId="13013"/>
    <cellStyle name="Comma 2 3 4 12 9" xfId="13014"/>
    <cellStyle name="Comma 2 3 4 12 9 2" xfId="13015"/>
    <cellStyle name="Comma 2 3 4 13" xfId="13016"/>
    <cellStyle name="Comma 2 3 4 13 10" xfId="13017"/>
    <cellStyle name="Comma 2 3 4 13 10 2" xfId="13018"/>
    <cellStyle name="Comma 2 3 4 13 11" xfId="13019"/>
    <cellStyle name="Comma 2 3 4 13 11 2" xfId="13020"/>
    <cellStyle name="Comma 2 3 4 13 12" xfId="13021"/>
    <cellStyle name="Comma 2 3 4 13 2" xfId="13022"/>
    <cellStyle name="Comma 2 3 4 13 2 2" xfId="13023"/>
    <cellStyle name="Comma 2 3 4 13 3" xfId="13024"/>
    <cellStyle name="Comma 2 3 4 13 3 2" xfId="13025"/>
    <cellStyle name="Comma 2 3 4 13 4" xfId="13026"/>
    <cellStyle name="Comma 2 3 4 13 4 2" xfId="13027"/>
    <cellStyle name="Comma 2 3 4 13 5" xfId="13028"/>
    <cellStyle name="Comma 2 3 4 13 5 2" xfId="13029"/>
    <cellStyle name="Comma 2 3 4 13 6" xfId="13030"/>
    <cellStyle name="Comma 2 3 4 13 6 2" xfId="13031"/>
    <cellStyle name="Comma 2 3 4 13 7" xfId="13032"/>
    <cellStyle name="Comma 2 3 4 13 7 2" xfId="13033"/>
    <cellStyle name="Comma 2 3 4 13 8" xfId="13034"/>
    <cellStyle name="Comma 2 3 4 13 8 2" xfId="13035"/>
    <cellStyle name="Comma 2 3 4 13 9" xfId="13036"/>
    <cellStyle name="Comma 2 3 4 13 9 2" xfId="13037"/>
    <cellStyle name="Comma 2 3 4 14" xfId="13038"/>
    <cellStyle name="Comma 2 3 4 14 10" xfId="13039"/>
    <cellStyle name="Comma 2 3 4 14 10 2" xfId="13040"/>
    <cellStyle name="Comma 2 3 4 14 11" xfId="13041"/>
    <cellStyle name="Comma 2 3 4 14 11 2" xfId="13042"/>
    <cellStyle name="Comma 2 3 4 14 12" xfId="13043"/>
    <cellStyle name="Comma 2 3 4 14 2" xfId="13044"/>
    <cellStyle name="Comma 2 3 4 14 2 2" xfId="13045"/>
    <cellStyle name="Comma 2 3 4 14 3" xfId="13046"/>
    <cellStyle name="Comma 2 3 4 14 3 2" xfId="13047"/>
    <cellStyle name="Comma 2 3 4 14 4" xfId="13048"/>
    <cellStyle name="Comma 2 3 4 14 4 2" xfId="13049"/>
    <cellStyle name="Comma 2 3 4 14 5" xfId="13050"/>
    <cellStyle name="Comma 2 3 4 14 5 2" xfId="13051"/>
    <cellStyle name="Comma 2 3 4 14 6" xfId="13052"/>
    <cellStyle name="Comma 2 3 4 14 6 2" xfId="13053"/>
    <cellStyle name="Comma 2 3 4 14 7" xfId="13054"/>
    <cellStyle name="Comma 2 3 4 14 7 2" xfId="13055"/>
    <cellStyle name="Comma 2 3 4 14 8" xfId="13056"/>
    <cellStyle name="Comma 2 3 4 14 8 2" xfId="13057"/>
    <cellStyle name="Comma 2 3 4 14 9" xfId="13058"/>
    <cellStyle name="Comma 2 3 4 14 9 2" xfId="13059"/>
    <cellStyle name="Comma 2 3 4 15" xfId="13060"/>
    <cellStyle name="Comma 2 3 4 15 10" xfId="13061"/>
    <cellStyle name="Comma 2 3 4 15 10 2" xfId="13062"/>
    <cellStyle name="Comma 2 3 4 15 11" xfId="13063"/>
    <cellStyle name="Comma 2 3 4 15 11 2" xfId="13064"/>
    <cellStyle name="Comma 2 3 4 15 12" xfId="13065"/>
    <cellStyle name="Comma 2 3 4 15 2" xfId="13066"/>
    <cellStyle name="Comma 2 3 4 15 2 2" xfId="13067"/>
    <cellStyle name="Comma 2 3 4 15 3" xfId="13068"/>
    <cellStyle name="Comma 2 3 4 15 3 2" xfId="13069"/>
    <cellStyle name="Comma 2 3 4 15 4" xfId="13070"/>
    <cellStyle name="Comma 2 3 4 15 4 2" xfId="13071"/>
    <cellStyle name="Comma 2 3 4 15 5" xfId="13072"/>
    <cellStyle name="Comma 2 3 4 15 5 2" xfId="13073"/>
    <cellStyle name="Comma 2 3 4 15 6" xfId="13074"/>
    <cellStyle name="Comma 2 3 4 15 6 2" xfId="13075"/>
    <cellStyle name="Comma 2 3 4 15 7" xfId="13076"/>
    <cellStyle name="Comma 2 3 4 15 7 2" xfId="13077"/>
    <cellStyle name="Comma 2 3 4 15 8" xfId="13078"/>
    <cellStyle name="Comma 2 3 4 15 8 2" xfId="13079"/>
    <cellStyle name="Comma 2 3 4 15 9" xfId="13080"/>
    <cellStyle name="Comma 2 3 4 15 9 2" xfId="13081"/>
    <cellStyle name="Comma 2 3 4 16" xfId="13082"/>
    <cellStyle name="Comma 2 3 4 16 10" xfId="13083"/>
    <cellStyle name="Comma 2 3 4 16 10 2" xfId="13084"/>
    <cellStyle name="Comma 2 3 4 16 11" xfId="13085"/>
    <cellStyle name="Comma 2 3 4 16 11 2" xfId="13086"/>
    <cellStyle name="Comma 2 3 4 16 12" xfId="13087"/>
    <cellStyle name="Comma 2 3 4 16 2" xfId="13088"/>
    <cellStyle name="Comma 2 3 4 16 2 2" xfId="13089"/>
    <cellStyle name="Comma 2 3 4 16 3" xfId="13090"/>
    <cellStyle name="Comma 2 3 4 16 3 2" xfId="13091"/>
    <cellStyle name="Comma 2 3 4 16 4" xfId="13092"/>
    <cellStyle name="Comma 2 3 4 16 4 2" xfId="13093"/>
    <cellStyle name="Comma 2 3 4 16 5" xfId="13094"/>
    <cellStyle name="Comma 2 3 4 16 5 2" xfId="13095"/>
    <cellStyle name="Comma 2 3 4 16 6" xfId="13096"/>
    <cellStyle name="Comma 2 3 4 16 6 2" xfId="13097"/>
    <cellStyle name="Comma 2 3 4 16 7" xfId="13098"/>
    <cellStyle name="Comma 2 3 4 16 7 2" xfId="13099"/>
    <cellStyle name="Comma 2 3 4 16 8" xfId="13100"/>
    <cellStyle name="Comma 2 3 4 16 8 2" xfId="13101"/>
    <cellStyle name="Comma 2 3 4 16 9" xfId="13102"/>
    <cellStyle name="Comma 2 3 4 16 9 2" xfId="13103"/>
    <cellStyle name="Comma 2 3 4 17" xfId="13104"/>
    <cellStyle name="Comma 2 3 4 17 10" xfId="13105"/>
    <cellStyle name="Comma 2 3 4 17 10 2" xfId="13106"/>
    <cellStyle name="Comma 2 3 4 17 11" xfId="13107"/>
    <cellStyle name="Comma 2 3 4 17 11 2" xfId="13108"/>
    <cellStyle name="Comma 2 3 4 17 12" xfId="13109"/>
    <cellStyle name="Comma 2 3 4 17 2" xfId="13110"/>
    <cellStyle name="Comma 2 3 4 17 2 2" xfId="13111"/>
    <cellStyle name="Comma 2 3 4 17 3" xfId="13112"/>
    <cellStyle name="Comma 2 3 4 17 3 2" xfId="13113"/>
    <cellStyle name="Comma 2 3 4 17 4" xfId="13114"/>
    <cellStyle name="Comma 2 3 4 17 4 2" xfId="13115"/>
    <cellStyle name="Comma 2 3 4 17 5" xfId="13116"/>
    <cellStyle name="Comma 2 3 4 17 5 2" xfId="13117"/>
    <cellStyle name="Comma 2 3 4 17 6" xfId="13118"/>
    <cellStyle name="Comma 2 3 4 17 6 2" xfId="13119"/>
    <cellStyle name="Comma 2 3 4 17 7" xfId="13120"/>
    <cellStyle name="Comma 2 3 4 17 7 2" xfId="13121"/>
    <cellStyle name="Comma 2 3 4 17 8" xfId="13122"/>
    <cellStyle name="Comma 2 3 4 17 8 2" xfId="13123"/>
    <cellStyle name="Comma 2 3 4 17 9" xfId="13124"/>
    <cellStyle name="Comma 2 3 4 17 9 2" xfId="13125"/>
    <cellStyle name="Comma 2 3 4 18" xfId="13126"/>
    <cellStyle name="Comma 2 3 4 18 10" xfId="13127"/>
    <cellStyle name="Comma 2 3 4 18 10 2" xfId="13128"/>
    <cellStyle name="Comma 2 3 4 18 11" xfId="13129"/>
    <cellStyle name="Comma 2 3 4 18 11 2" xfId="13130"/>
    <cellStyle name="Comma 2 3 4 18 12" xfId="13131"/>
    <cellStyle name="Comma 2 3 4 18 2" xfId="13132"/>
    <cellStyle name="Comma 2 3 4 18 2 2" xfId="13133"/>
    <cellStyle name="Comma 2 3 4 18 3" xfId="13134"/>
    <cellStyle name="Comma 2 3 4 18 3 2" xfId="13135"/>
    <cellStyle name="Comma 2 3 4 18 4" xfId="13136"/>
    <cellStyle name="Comma 2 3 4 18 4 2" xfId="13137"/>
    <cellStyle name="Comma 2 3 4 18 5" xfId="13138"/>
    <cellStyle name="Comma 2 3 4 18 5 2" xfId="13139"/>
    <cellStyle name="Comma 2 3 4 18 6" xfId="13140"/>
    <cellStyle name="Comma 2 3 4 18 6 2" xfId="13141"/>
    <cellStyle name="Comma 2 3 4 18 7" xfId="13142"/>
    <cellStyle name="Comma 2 3 4 18 7 2" xfId="13143"/>
    <cellStyle name="Comma 2 3 4 18 8" xfId="13144"/>
    <cellStyle name="Comma 2 3 4 18 8 2" xfId="13145"/>
    <cellStyle name="Comma 2 3 4 18 9" xfId="13146"/>
    <cellStyle name="Comma 2 3 4 18 9 2" xfId="13147"/>
    <cellStyle name="Comma 2 3 4 19" xfId="13148"/>
    <cellStyle name="Comma 2 3 4 19 10" xfId="13149"/>
    <cellStyle name="Comma 2 3 4 19 10 2" xfId="13150"/>
    <cellStyle name="Comma 2 3 4 19 11" xfId="13151"/>
    <cellStyle name="Comma 2 3 4 19 11 2" xfId="13152"/>
    <cellStyle name="Comma 2 3 4 19 12" xfId="13153"/>
    <cellStyle name="Comma 2 3 4 19 2" xfId="13154"/>
    <cellStyle name="Comma 2 3 4 19 2 2" xfId="13155"/>
    <cellStyle name="Comma 2 3 4 19 3" xfId="13156"/>
    <cellStyle name="Comma 2 3 4 19 3 2" xfId="13157"/>
    <cellStyle name="Comma 2 3 4 19 4" xfId="13158"/>
    <cellStyle name="Comma 2 3 4 19 4 2" xfId="13159"/>
    <cellStyle name="Comma 2 3 4 19 5" xfId="13160"/>
    <cellStyle name="Comma 2 3 4 19 5 2" xfId="13161"/>
    <cellStyle name="Comma 2 3 4 19 6" xfId="13162"/>
    <cellStyle name="Comma 2 3 4 19 6 2" xfId="13163"/>
    <cellStyle name="Comma 2 3 4 19 7" xfId="13164"/>
    <cellStyle name="Comma 2 3 4 19 7 2" xfId="13165"/>
    <cellStyle name="Comma 2 3 4 19 8" xfId="13166"/>
    <cellStyle name="Comma 2 3 4 19 8 2" xfId="13167"/>
    <cellStyle name="Comma 2 3 4 19 9" xfId="13168"/>
    <cellStyle name="Comma 2 3 4 19 9 2" xfId="13169"/>
    <cellStyle name="Comma 2 3 4 2" xfId="13170"/>
    <cellStyle name="Comma 2 3 4 2 10" xfId="13171"/>
    <cellStyle name="Comma 2 3 4 2 10 2" xfId="13172"/>
    <cellStyle name="Comma 2 3 4 2 11" xfId="13173"/>
    <cellStyle name="Comma 2 3 4 2 11 2" xfId="13174"/>
    <cellStyle name="Comma 2 3 4 2 12" xfId="13175"/>
    <cellStyle name="Comma 2 3 4 2 2" xfId="13176"/>
    <cellStyle name="Comma 2 3 4 2 2 2" xfId="13177"/>
    <cellStyle name="Comma 2 3 4 2 3" xfId="13178"/>
    <cellStyle name="Comma 2 3 4 2 3 2" xfId="13179"/>
    <cellStyle name="Comma 2 3 4 2 4" xfId="13180"/>
    <cellStyle name="Comma 2 3 4 2 4 2" xfId="13181"/>
    <cellStyle name="Comma 2 3 4 2 5" xfId="13182"/>
    <cellStyle name="Comma 2 3 4 2 5 2" xfId="13183"/>
    <cellStyle name="Comma 2 3 4 2 6" xfId="13184"/>
    <cellStyle name="Comma 2 3 4 2 6 2" xfId="13185"/>
    <cellStyle name="Comma 2 3 4 2 7" xfId="13186"/>
    <cellStyle name="Comma 2 3 4 2 7 2" xfId="13187"/>
    <cellStyle name="Comma 2 3 4 2 8" xfId="13188"/>
    <cellStyle name="Comma 2 3 4 2 8 2" xfId="13189"/>
    <cellStyle name="Comma 2 3 4 2 9" xfId="13190"/>
    <cellStyle name="Comma 2 3 4 2 9 2" xfId="13191"/>
    <cellStyle name="Comma 2 3 4 20" xfId="13192"/>
    <cellStyle name="Comma 2 3 4 20 10" xfId="13193"/>
    <cellStyle name="Comma 2 3 4 20 10 2" xfId="13194"/>
    <cellStyle name="Comma 2 3 4 20 11" xfId="13195"/>
    <cellStyle name="Comma 2 3 4 20 11 2" xfId="13196"/>
    <cellStyle name="Comma 2 3 4 20 12" xfId="13197"/>
    <cellStyle name="Comma 2 3 4 20 2" xfId="13198"/>
    <cellStyle name="Comma 2 3 4 20 2 2" xfId="13199"/>
    <cellStyle name="Comma 2 3 4 20 3" xfId="13200"/>
    <cellStyle name="Comma 2 3 4 20 3 2" xfId="13201"/>
    <cellStyle name="Comma 2 3 4 20 4" xfId="13202"/>
    <cellStyle name="Comma 2 3 4 20 4 2" xfId="13203"/>
    <cellStyle name="Comma 2 3 4 20 5" xfId="13204"/>
    <cellStyle name="Comma 2 3 4 20 5 2" xfId="13205"/>
    <cellStyle name="Comma 2 3 4 20 6" xfId="13206"/>
    <cellStyle name="Comma 2 3 4 20 6 2" xfId="13207"/>
    <cellStyle name="Comma 2 3 4 20 7" xfId="13208"/>
    <cellStyle name="Comma 2 3 4 20 7 2" xfId="13209"/>
    <cellStyle name="Comma 2 3 4 20 8" xfId="13210"/>
    <cellStyle name="Comma 2 3 4 20 8 2" xfId="13211"/>
    <cellStyle name="Comma 2 3 4 20 9" xfId="13212"/>
    <cellStyle name="Comma 2 3 4 20 9 2" xfId="13213"/>
    <cellStyle name="Comma 2 3 4 21" xfId="13214"/>
    <cellStyle name="Comma 2 3 4 21 10" xfId="13215"/>
    <cellStyle name="Comma 2 3 4 21 10 2" xfId="13216"/>
    <cellStyle name="Comma 2 3 4 21 11" xfId="13217"/>
    <cellStyle name="Comma 2 3 4 21 11 2" xfId="13218"/>
    <cellStyle name="Comma 2 3 4 21 12" xfId="13219"/>
    <cellStyle name="Comma 2 3 4 21 2" xfId="13220"/>
    <cellStyle name="Comma 2 3 4 21 2 2" xfId="13221"/>
    <cellStyle name="Comma 2 3 4 21 3" xfId="13222"/>
    <cellStyle name="Comma 2 3 4 21 3 2" xfId="13223"/>
    <cellStyle name="Comma 2 3 4 21 4" xfId="13224"/>
    <cellStyle name="Comma 2 3 4 21 4 2" xfId="13225"/>
    <cellStyle name="Comma 2 3 4 21 5" xfId="13226"/>
    <cellStyle name="Comma 2 3 4 21 5 2" xfId="13227"/>
    <cellStyle name="Comma 2 3 4 21 6" xfId="13228"/>
    <cellStyle name="Comma 2 3 4 21 6 2" xfId="13229"/>
    <cellStyle name="Comma 2 3 4 21 7" xfId="13230"/>
    <cellStyle name="Comma 2 3 4 21 7 2" xfId="13231"/>
    <cellStyle name="Comma 2 3 4 21 8" xfId="13232"/>
    <cellStyle name="Comma 2 3 4 21 8 2" xfId="13233"/>
    <cellStyle name="Comma 2 3 4 21 9" xfId="13234"/>
    <cellStyle name="Comma 2 3 4 21 9 2" xfId="13235"/>
    <cellStyle name="Comma 2 3 4 22" xfId="13236"/>
    <cellStyle name="Comma 2 3 4 22 10" xfId="13237"/>
    <cellStyle name="Comma 2 3 4 22 10 2" xfId="13238"/>
    <cellStyle name="Comma 2 3 4 22 11" xfId="13239"/>
    <cellStyle name="Comma 2 3 4 22 11 2" xfId="13240"/>
    <cellStyle name="Comma 2 3 4 22 12" xfId="13241"/>
    <cellStyle name="Comma 2 3 4 22 2" xfId="13242"/>
    <cellStyle name="Comma 2 3 4 22 2 2" xfId="13243"/>
    <cellStyle name="Comma 2 3 4 22 3" xfId="13244"/>
    <cellStyle name="Comma 2 3 4 22 3 2" xfId="13245"/>
    <cellStyle name="Comma 2 3 4 22 4" xfId="13246"/>
    <cellStyle name="Comma 2 3 4 22 4 2" xfId="13247"/>
    <cellStyle name="Comma 2 3 4 22 5" xfId="13248"/>
    <cellStyle name="Comma 2 3 4 22 5 2" xfId="13249"/>
    <cellStyle name="Comma 2 3 4 22 6" xfId="13250"/>
    <cellStyle name="Comma 2 3 4 22 6 2" xfId="13251"/>
    <cellStyle name="Comma 2 3 4 22 7" xfId="13252"/>
    <cellStyle name="Comma 2 3 4 22 7 2" xfId="13253"/>
    <cellStyle name="Comma 2 3 4 22 8" xfId="13254"/>
    <cellStyle name="Comma 2 3 4 22 8 2" xfId="13255"/>
    <cellStyle name="Comma 2 3 4 22 9" xfId="13256"/>
    <cellStyle name="Comma 2 3 4 22 9 2" xfId="13257"/>
    <cellStyle name="Comma 2 3 4 23" xfId="13258"/>
    <cellStyle name="Comma 2 3 4 23 10" xfId="13259"/>
    <cellStyle name="Comma 2 3 4 23 10 2" xfId="13260"/>
    <cellStyle name="Comma 2 3 4 23 11" xfId="13261"/>
    <cellStyle name="Comma 2 3 4 23 11 2" xfId="13262"/>
    <cellStyle name="Comma 2 3 4 23 12" xfId="13263"/>
    <cellStyle name="Comma 2 3 4 23 2" xfId="13264"/>
    <cellStyle name="Comma 2 3 4 23 2 2" xfId="13265"/>
    <cellStyle name="Comma 2 3 4 23 3" xfId="13266"/>
    <cellStyle name="Comma 2 3 4 23 3 2" xfId="13267"/>
    <cellStyle name="Comma 2 3 4 23 4" xfId="13268"/>
    <cellStyle name="Comma 2 3 4 23 4 2" xfId="13269"/>
    <cellStyle name="Comma 2 3 4 23 5" xfId="13270"/>
    <cellStyle name="Comma 2 3 4 23 5 2" xfId="13271"/>
    <cellStyle name="Comma 2 3 4 23 6" xfId="13272"/>
    <cellStyle name="Comma 2 3 4 23 6 2" xfId="13273"/>
    <cellStyle name="Comma 2 3 4 23 7" xfId="13274"/>
    <cellStyle name="Comma 2 3 4 23 7 2" xfId="13275"/>
    <cellStyle name="Comma 2 3 4 23 8" xfId="13276"/>
    <cellStyle name="Comma 2 3 4 23 8 2" xfId="13277"/>
    <cellStyle name="Comma 2 3 4 23 9" xfId="13278"/>
    <cellStyle name="Comma 2 3 4 23 9 2" xfId="13279"/>
    <cellStyle name="Comma 2 3 4 24" xfId="13280"/>
    <cellStyle name="Comma 2 3 4 24 10" xfId="13281"/>
    <cellStyle name="Comma 2 3 4 24 10 2" xfId="13282"/>
    <cellStyle name="Comma 2 3 4 24 11" xfId="13283"/>
    <cellStyle name="Comma 2 3 4 24 11 2" xfId="13284"/>
    <cellStyle name="Comma 2 3 4 24 12" xfId="13285"/>
    <cellStyle name="Comma 2 3 4 24 2" xfId="13286"/>
    <cellStyle name="Comma 2 3 4 24 2 2" xfId="13287"/>
    <cellStyle name="Comma 2 3 4 24 3" xfId="13288"/>
    <cellStyle name="Comma 2 3 4 24 3 2" xfId="13289"/>
    <cellStyle name="Comma 2 3 4 24 4" xfId="13290"/>
    <cellStyle name="Comma 2 3 4 24 4 2" xfId="13291"/>
    <cellStyle name="Comma 2 3 4 24 5" xfId="13292"/>
    <cellStyle name="Comma 2 3 4 24 5 2" xfId="13293"/>
    <cellStyle name="Comma 2 3 4 24 6" xfId="13294"/>
    <cellStyle name="Comma 2 3 4 24 6 2" xfId="13295"/>
    <cellStyle name="Comma 2 3 4 24 7" xfId="13296"/>
    <cellStyle name="Comma 2 3 4 24 7 2" xfId="13297"/>
    <cellStyle name="Comma 2 3 4 24 8" xfId="13298"/>
    <cellStyle name="Comma 2 3 4 24 8 2" xfId="13299"/>
    <cellStyle name="Comma 2 3 4 24 9" xfId="13300"/>
    <cellStyle name="Comma 2 3 4 24 9 2" xfId="13301"/>
    <cellStyle name="Comma 2 3 4 25" xfId="13302"/>
    <cellStyle name="Comma 2 3 4 25 10" xfId="13303"/>
    <cellStyle name="Comma 2 3 4 25 10 2" xfId="13304"/>
    <cellStyle name="Comma 2 3 4 25 11" xfId="13305"/>
    <cellStyle name="Comma 2 3 4 25 11 2" xfId="13306"/>
    <cellStyle name="Comma 2 3 4 25 12" xfId="13307"/>
    <cellStyle name="Comma 2 3 4 25 2" xfId="13308"/>
    <cellStyle name="Comma 2 3 4 25 2 2" xfId="13309"/>
    <cellStyle name="Comma 2 3 4 25 3" xfId="13310"/>
    <cellStyle name="Comma 2 3 4 25 3 2" xfId="13311"/>
    <cellStyle name="Comma 2 3 4 25 4" xfId="13312"/>
    <cellStyle name="Comma 2 3 4 25 4 2" xfId="13313"/>
    <cellStyle name="Comma 2 3 4 25 5" xfId="13314"/>
    <cellStyle name="Comma 2 3 4 25 5 2" xfId="13315"/>
    <cellStyle name="Comma 2 3 4 25 6" xfId="13316"/>
    <cellStyle name="Comma 2 3 4 25 6 2" xfId="13317"/>
    <cellStyle name="Comma 2 3 4 25 7" xfId="13318"/>
    <cellStyle name="Comma 2 3 4 25 7 2" xfId="13319"/>
    <cellStyle name="Comma 2 3 4 25 8" xfId="13320"/>
    <cellStyle name="Comma 2 3 4 25 8 2" xfId="13321"/>
    <cellStyle name="Comma 2 3 4 25 9" xfId="13322"/>
    <cellStyle name="Comma 2 3 4 25 9 2" xfId="13323"/>
    <cellStyle name="Comma 2 3 4 26" xfId="13324"/>
    <cellStyle name="Comma 2 3 4 26 10" xfId="13325"/>
    <cellStyle name="Comma 2 3 4 26 10 2" xfId="13326"/>
    <cellStyle name="Comma 2 3 4 26 11" xfId="13327"/>
    <cellStyle name="Comma 2 3 4 26 11 2" xfId="13328"/>
    <cellStyle name="Comma 2 3 4 26 12" xfId="13329"/>
    <cellStyle name="Comma 2 3 4 26 2" xfId="13330"/>
    <cellStyle name="Comma 2 3 4 26 2 2" xfId="13331"/>
    <cellStyle name="Comma 2 3 4 26 3" xfId="13332"/>
    <cellStyle name="Comma 2 3 4 26 3 2" xfId="13333"/>
    <cellStyle name="Comma 2 3 4 26 4" xfId="13334"/>
    <cellStyle name="Comma 2 3 4 26 4 2" xfId="13335"/>
    <cellStyle name="Comma 2 3 4 26 5" xfId="13336"/>
    <cellStyle name="Comma 2 3 4 26 5 2" xfId="13337"/>
    <cellStyle name="Comma 2 3 4 26 6" xfId="13338"/>
    <cellStyle name="Comma 2 3 4 26 6 2" xfId="13339"/>
    <cellStyle name="Comma 2 3 4 26 7" xfId="13340"/>
    <cellStyle name="Comma 2 3 4 26 7 2" xfId="13341"/>
    <cellStyle name="Comma 2 3 4 26 8" xfId="13342"/>
    <cellStyle name="Comma 2 3 4 26 8 2" xfId="13343"/>
    <cellStyle name="Comma 2 3 4 26 9" xfId="13344"/>
    <cellStyle name="Comma 2 3 4 26 9 2" xfId="13345"/>
    <cellStyle name="Comma 2 3 4 27" xfId="13346"/>
    <cellStyle name="Comma 2 3 4 27 10" xfId="13347"/>
    <cellStyle name="Comma 2 3 4 27 10 2" xfId="13348"/>
    <cellStyle name="Comma 2 3 4 27 11" xfId="13349"/>
    <cellStyle name="Comma 2 3 4 27 11 2" xfId="13350"/>
    <cellStyle name="Comma 2 3 4 27 12" xfId="13351"/>
    <cellStyle name="Comma 2 3 4 27 2" xfId="13352"/>
    <cellStyle name="Comma 2 3 4 27 2 2" xfId="13353"/>
    <cellStyle name="Comma 2 3 4 27 3" xfId="13354"/>
    <cellStyle name="Comma 2 3 4 27 3 2" xfId="13355"/>
    <cellStyle name="Comma 2 3 4 27 4" xfId="13356"/>
    <cellStyle name="Comma 2 3 4 27 4 2" xfId="13357"/>
    <cellStyle name="Comma 2 3 4 27 5" xfId="13358"/>
    <cellStyle name="Comma 2 3 4 27 5 2" xfId="13359"/>
    <cellStyle name="Comma 2 3 4 27 6" xfId="13360"/>
    <cellStyle name="Comma 2 3 4 27 6 2" xfId="13361"/>
    <cellStyle name="Comma 2 3 4 27 7" xfId="13362"/>
    <cellStyle name="Comma 2 3 4 27 7 2" xfId="13363"/>
    <cellStyle name="Comma 2 3 4 27 8" xfId="13364"/>
    <cellStyle name="Comma 2 3 4 27 8 2" xfId="13365"/>
    <cellStyle name="Comma 2 3 4 27 9" xfId="13366"/>
    <cellStyle name="Comma 2 3 4 27 9 2" xfId="13367"/>
    <cellStyle name="Comma 2 3 4 28" xfId="13368"/>
    <cellStyle name="Comma 2 3 4 28 10" xfId="13369"/>
    <cellStyle name="Comma 2 3 4 28 10 2" xfId="13370"/>
    <cellStyle name="Comma 2 3 4 28 11" xfId="13371"/>
    <cellStyle name="Comma 2 3 4 28 11 2" xfId="13372"/>
    <cellStyle name="Comma 2 3 4 28 12" xfId="13373"/>
    <cellStyle name="Comma 2 3 4 28 2" xfId="13374"/>
    <cellStyle name="Comma 2 3 4 28 2 2" xfId="13375"/>
    <cellStyle name="Comma 2 3 4 28 3" xfId="13376"/>
    <cellStyle name="Comma 2 3 4 28 3 2" xfId="13377"/>
    <cellStyle name="Comma 2 3 4 28 4" xfId="13378"/>
    <cellStyle name="Comma 2 3 4 28 4 2" xfId="13379"/>
    <cellStyle name="Comma 2 3 4 28 5" xfId="13380"/>
    <cellStyle name="Comma 2 3 4 28 5 2" xfId="13381"/>
    <cellStyle name="Comma 2 3 4 28 6" xfId="13382"/>
    <cellStyle name="Comma 2 3 4 28 6 2" xfId="13383"/>
    <cellStyle name="Comma 2 3 4 28 7" xfId="13384"/>
    <cellStyle name="Comma 2 3 4 28 7 2" xfId="13385"/>
    <cellStyle name="Comma 2 3 4 28 8" xfId="13386"/>
    <cellStyle name="Comma 2 3 4 28 8 2" xfId="13387"/>
    <cellStyle name="Comma 2 3 4 28 9" xfId="13388"/>
    <cellStyle name="Comma 2 3 4 28 9 2" xfId="13389"/>
    <cellStyle name="Comma 2 3 4 29" xfId="13390"/>
    <cellStyle name="Comma 2 3 4 29 10" xfId="13391"/>
    <cellStyle name="Comma 2 3 4 29 10 2" xfId="13392"/>
    <cellStyle name="Comma 2 3 4 29 11" xfId="13393"/>
    <cellStyle name="Comma 2 3 4 29 11 2" xfId="13394"/>
    <cellStyle name="Comma 2 3 4 29 12" xfId="13395"/>
    <cellStyle name="Comma 2 3 4 29 2" xfId="13396"/>
    <cellStyle name="Comma 2 3 4 29 2 2" xfId="13397"/>
    <cellStyle name="Comma 2 3 4 29 3" xfId="13398"/>
    <cellStyle name="Comma 2 3 4 29 3 2" xfId="13399"/>
    <cellStyle name="Comma 2 3 4 29 4" xfId="13400"/>
    <cellStyle name="Comma 2 3 4 29 4 2" xfId="13401"/>
    <cellStyle name="Comma 2 3 4 29 5" xfId="13402"/>
    <cellStyle name="Comma 2 3 4 29 5 2" xfId="13403"/>
    <cellStyle name="Comma 2 3 4 29 6" xfId="13404"/>
    <cellStyle name="Comma 2 3 4 29 6 2" xfId="13405"/>
    <cellStyle name="Comma 2 3 4 29 7" xfId="13406"/>
    <cellStyle name="Comma 2 3 4 29 7 2" xfId="13407"/>
    <cellStyle name="Comma 2 3 4 29 8" xfId="13408"/>
    <cellStyle name="Comma 2 3 4 29 8 2" xfId="13409"/>
    <cellStyle name="Comma 2 3 4 29 9" xfId="13410"/>
    <cellStyle name="Comma 2 3 4 29 9 2" xfId="13411"/>
    <cellStyle name="Comma 2 3 4 3" xfId="13412"/>
    <cellStyle name="Comma 2 3 4 3 10" xfId="13413"/>
    <cellStyle name="Comma 2 3 4 3 10 2" xfId="13414"/>
    <cellStyle name="Comma 2 3 4 3 11" xfId="13415"/>
    <cellStyle name="Comma 2 3 4 3 11 2" xfId="13416"/>
    <cellStyle name="Comma 2 3 4 3 12" xfId="13417"/>
    <cellStyle name="Comma 2 3 4 3 2" xfId="13418"/>
    <cellStyle name="Comma 2 3 4 3 2 2" xfId="13419"/>
    <cellStyle name="Comma 2 3 4 3 3" xfId="13420"/>
    <cellStyle name="Comma 2 3 4 3 3 2" xfId="13421"/>
    <cellStyle name="Comma 2 3 4 3 4" xfId="13422"/>
    <cellStyle name="Comma 2 3 4 3 4 2" xfId="13423"/>
    <cellStyle name="Comma 2 3 4 3 5" xfId="13424"/>
    <cellStyle name="Comma 2 3 4 3 5 2" xfId="13425"/>
    <cellStyle name="Comma 2 3 4 3 6" xfId="13426"/>
    <cellStyle name="Comma 2 3 4 3 6 2" xfId="13427"/>
    <cellStyle name="Comma 2 3 4 3 7" xfId="13428"/>
    <cellStyle name="Comma 2 3 4 3 7 2" xfId="13429"/>
    <cellStyle name="Comma 2 3 4 3 8" xfId="13430"/>
    <cellStyle name="Comma 2 3 4 3 8 2" xfId="13431"/>
    <cellStyle name="Comma 2 3 4 3 9" xfId="13432"/>
    <cellStyle name="Comma 2 3 4 3 9 2" xfId="13433"/>
    <cellStyle name="Comma 2 3 4 30" xfId="13434"/>
    <cellStyle name="Comma 2 3 4 30 10" xfId="13435"/>
    <cellStyle name="Comma 2 3 4 30 10 2" xfId="13436"/>
    <cellStyle name="Comma 2 3 4 30 11" xfId="13437"/>
    <cellStyle name="Comma 2 3 4 30 11 2" xfId="13438"/>
    <cellStyle name="Comma 2 3 4 30 12" xfId="13439"/>
    <cellStyle name="Comma 2 3 4 30 2" xfId="13440"/>
    <cellStyle name="Comma 2 3 4 30 2 2" xfId="13441"/>
    <cellStyle name="Comma 2 3 4 30 3" xfId="13442"/>
    <cellStyle name="Comma 2 3 4 30 3 2" xfId="13443"/>
    <cellStyle name="Comma 2 3 4 30 4" xfId="13444"/>
    <cellStyle name="Comma 2 3 4 30 4 2" xfId="13445"/>
    <cellStyle name="Comma 2 3 4 30 5" xfId="13446"/>
    <cellStyle name="Comma 2 3 4 30 5 2" xfId="13447"/>
    <cellStyle name="Comma 2 3 4 30 6" xfId="13448"/>
    <cellStyle name="Comma 2 3 4 30 6 2" xfId="13449"/>
    <cellStyle name="Comma 2 3 4 30 7" xfId="13450"/>
    <cellStyle name="Comma 2 3 4 30 7 2" xfId="13451"/>
    <cellStyle name="Comma 2 3 4 30 8" xfId="13452"/>
    <cellStyle name="Comma 2 3 4 30 8 2" xfId="13453"/>
    <cellStyle name="Comma 2 3 4 30 9" xfId="13454"/>
    <cellStyle name="Comma 2 3 4 30 9 2" xfId="13455"/>
    <cellStyle name="Comma 2 3 4 31" xfId="13456"/>
    <cellStyle name="Comma 2 3 4 31 10" xfId="13457"/>
    <cellStyle name="Comma 2 3 4 31 10 2" xfId="13458"/>
    <cellStyle name="Comma 2 3 4 31 11" xfId="13459"/>
    <cellStyle name="Comma 2 3 4 31 11 2" xfId="13460"/>
    <cellStyle name="Comma 2 3 4 31 12" xfId="13461"/>
    <cellStyle name="Comma 2 3 4 31 2" xfId="13462"/>
    <cellStyle name="Comma 2 3 4 31 2 2" xfId="13463"/>
    <cellStyle name="Comma 2 3 4 31 3" xfId="13464"/>
    <cellStyle name="Comma 2 3 4 31 3 2" xfId="13465"/>
    <cellStyle name="Comma 2 3 4 31 4" xfId="13466"/>
    <cellStyle name="Comma 2 3 4 31 4 2" xfId="13467"/>
    <cellStyle name="Comma 2 3 4 31 5" xfId="13468"/>
    <cellStyle name="Comma 2 3 4 31 5 2" xfId="13469"/>
    <cellStyle name="Comma 2 3 4 31 6" xfId="13470"/>
    <cellStyle name="Comma 2 3 4 31 6 2" xfId="13471"/>
    <cellStyle name="Comma 2 3 4 31 7" xfId="13472"/>
    <cellStyle name="Comma 2 3 4 31 7 2" xfId="13473"/>
    <cellStyle name="Comma 2 3 4 31 8" xfId="13474"/>
    <cellStyle name="Comma 2 3 4 31 8 2" xfId="13475"/>
    <cellStyle name="Comma 2 3 4 31 9" xfId="13476"/>
    <cellStyle name="Comma 2 3 4 31 9 2" xfId="13477"/>
    <cellStyle name="Comma 2 3 4 32" xfId="13478"/>
    <cellStyle name="Comma 2 3 4 32 10" xfId="13479"/>
    <cellStyle name="Comma 2 3 4 32 10 2" xfId="13480"/>
    <cellStyle name="Comma 2 3 4 32 11" xfId="13481"/>
    <cellStyle name="Comma 2 3 4 32 11 2" xfId="13482"/>
    <cellStyle name="Comma 2 3 4 32 12" xfId="13483"/>
    <cellStyle name="Comma 2 3 4 32 2" xfId="13484"/>
    <cellStyle name="Comma 2 3 4 32 2 2" xfId="13485"/>
    <cellStyle name="Comma 2 3 4 32 3" xfId="13486"/>
    <cellStyle name="Comma 2 3 4 32 3 2" xfId="13487"/>
    <cellStyle name="Comma 2 3 4 32 4" xfId="13488"/>
    <cellStyle name="Comma 2 3 4 32 4 2" xfId="13489"/>
    <cellStyle name="Comma 2 3 4 32 5" xfId="13490"/>
    <cellStyle name="Comma 2 3 4 32 5 2" xfId="13491"/>
    <cellStyle name="Comma 2 3 4 32 6" xfId="13492"/>
    <cellStyle name="Comma 2 3 4 32 6 2" xfId="13493"/>
    <cellStyle name="Comma 2 3 4 32 7" xfId="13494"/>
    <cellStyle name="Comma 2 3 4 32 7 2" xfId="13495"/>
    <cellStyle name="Comma 2 3 4 32 8" xfId="13496"/>
    <cellStyle name="Comma 2 3 4 32 8 2" xfId="13497"/>
    <cellStyle name="Comma 2 3 4 32 9" xfId="13498"/>
    <cellStyle name="Comma 2 3 4 32 9 2" xfId="13499"/>
    <cellStyle name="Comma 2 3 4 33" xfId="13500"/>
    <cellStyle name="Comma 2 3 4 33 10" xfId="13501"/>
    <cellStyle name="Comma 2 3 4 33 10 2" xfId="13502"/>
    <cellStyle name="Comma 2 3 4 33 11" xfId="13503"/>
    <cellStyle name="Comma 2 3 4 33 11 2" xfId="13504"/>
    <cellStyle name="Comma 2 3 4 33 12" xfId="13505"/>
    <cellStyle name="Comma 2 3 4 33 2" xfId="13506"/>
    <cellStyle name="Comma 2 3 4 33 2 2" xfId="13507"/>
    <cellStyle name="Comma 2 3 4 33 3" xfId="13508"/>
    <cellStyle name="Comma 2 3 4 33 3 2" xfId="13509"/>
    <cellStyle name="Comma 2 3 4 33 4" xfId="13510"/>
    <cellStyle name="Comma 2 3 4 33 4 2" xfId="13511"/>
    <cellStyle name="Comma 2 3 4 33 5" xfId="13512"/>
    <cellStyle name="Comma 2 3 4 33 5 2" xfId="13513"/>
    <cellStyle name="Comma 2 3 4 33 6" xfId="13514"/>
    <cellStyle name="Comma 2 3 4 33 6 2" xfId="13515"/>
    <cellStyle name="Comma 2 3 4 33 7" xfId="13516"/>
    <cellStyle name="Comma 2 3 4 33 7 2" xfId="13517"/>
    <cellStyle name="Comma 2 3 4 33 8" xfId="13518"/>
    <cellStyle name="Comma 2 3 4 33 8 2" xfId="13519"/>
    <cellStyle name="Comma 2 3 4 33 9" xfId="13520"/>
    <cellStyle name="Comma 2 3 4 33 9 2" xfId="13521"/>
    <cellStyle name="Comma 2 3 4 34" xfId="13522"/>
    <cellStyle name="Comma 2 3 4 34 10" xfId="13523"/>
    <cellStyle name="Comma 2 3 4 34 10 2" xfId="13524"/>
    <cellStyle name="Comma 2 3 4 34 11" xfId="13525"/>
    <cellStyle name="Comma 2 3 4 34 11 2" xfId="13526"/>
    <cellStyle name="Comma 2 3 4 34 12" xfId="13527"/>
    <cellStyle name="Comma 2 3 4 34 2" xfId="13528"/>
    <cellStyle name="Comma 2 3 4 34 2 2" xfId="13529"/>
    <cellStyle name="Comma 2 3 4 34 3" xfId="13530"/>
    <cellStyle name="Comma 2 3 4 34 3 2" xfId="13531"/>
    <cellStyle name="Comma 2 3 4 34 4" xfId="13532"/>
    <cellStyle name="Comma 2 3 4 34 4 2" xfId="13533"/>
    <cellStyle name="Comma 2 3 4 34 5" xfId="13534"/>
    <cellStyle name="Comma 2 3 4 34 5 2" xfId="13535"/>
    <cellStyle name="Comma 2 3 4 34 6" xfId="13536"/>
    <cellStyle name="Comma 2 3 4 34 6 2" xfId="13537"/>
    <cellStyle name="Comma 2 3 4 34 7" xfId="13538"/>
    <cellStyle name="Comma 2 3 4 34 7 2" xfId="13539"/>
    <cellStyle name="Comma 2 3 4 34 8" xfId="13540"/>
    <cellStyle name="Comma 2 3 4 34 8 2" xfId="13541"/>
    <cellStyle name="Comma 2 3 4 34 9" xfId="13542"/>
    <cellStyle name="Comma 2 3 4 34 9 2" xfId="13543"/>
    <cellStyle name="Comma 2 3 4 35" xfId="13544"/>
    <cellStyle name="Comma 2 3 4 35 10" xfId="13545"/>
    <cellStyle name="Comma 2 3 4 35 10 2" xfId="13546"/>
    <cellStyle name="Comma 2 3 4 35 11" xfId="13547"/>
    <cellStyle name="Comma 2 3 4 35 11 2" xfId="13548"/>
    <cellStyle name="Comma 2 3 4 35 12" xfId="13549"/>
    <cellStyle name="Comma 2 3 4 35 2" xfId="13550"/>
    <cellStyle name="Comma 2 3 4 35 2 2" xfId="13551"/>
    <cellStyle name="Comma 2 3 4 35 3" xfId="13552"/>
    <cellStyle name="Comma 2 3 4 35 3 2" xfId="13553"/>
    <cellStyle name="Comma 2 3 4 35 4" xfId="13554"/>
    <cellStyle name="Comma 2 3 4 35 4 2" xfId="13555"/>
    <cellStyle name="Comma 2 3 4 35 5" xfId="13556"/>
    <cellStyle name="Comma 2 3 4 35 5 2" xfId="13557"/>
    <cellStyle name="Comma 2 3 4 35 6" xfId="13558"/>
    <cellStyle name="Comma 2 3 4 35 6 2" xfId="13559"/>
    <cellStyle name="Comma 2 3 4 35 7" xfId="13560"/>
    <cellStyle name="Comma 2 3 4 35 7 2" xfId="13561"/>
    <cellStyle name="Comma 2 3 4 35 8" xfId="13562"/>
    <cellStyle name="Comma 2 3 4 35 8 2" xfId="13563"/>
    <cellStyle name="Comma 2 3 4 35 9" xfId="13564"/>
    <cellStyle name="Comma 2 3 4 35 9 2" xfId="13565"/>
    <cellStyle name="Comma 2 3 4 36" xfId="13566"/>
    <cellStyle name="Comma 2 3 4 36 10" xfId="13567"/>
    <cellStyle name="Comma 2 3 4 36 10 2" xfId="13568"/>
    <cellStyle name="Comma 2 3 4 36 11" xfId="13569"/>
    <cellStyle name="Comma 2 3 4 36 11 2" xfId="13570"/>
    <cellStyle name="Comma 2 3 4 36 12" xfId="13571"/>
    <cellStyle name="Comma 2 3 4 36 2" xfId="13572"/>
    <cellStyle name="Comma 2 3 4 36 2 2" xfId="13573"/>
    <cellStyle name="Comma 2 3 4 36 3" xfId="13574"/>
    <cellStyle name="Comma 2 3 4 36 3 2" xfId="13575"/>
    <cellStyle name="Comma 2 3 4 36 4" xfId="13576"/>
    <cellStyle name="Comma 2 3 4 36 4 2" xfId="13577"/>
    <cellStyle name="Comma 2 3 4 36 5" xfId="13578"/>
    <cellStyle name="Comma 2 3 4 36 5 2" xfId="13579"/>
    <cellStyle name="Comma 2 3 4 36 6" xfId="13580"/>
    <cellStyle name="Comma 2 3 4 36 6 2" xfId="13581"/>
    <cellStyle name="Comma 2 3 4 36 7" xfId="13582"/>
    <cellStyle name="Comma 2 3 4 36 7 2" xfId="13583"/>
    <cellStyle name="Comma 2 3 4 36 8" xfId="13584"/>
    <cellStyle name="Comma 2 3 4 36 8 2" xfId="13585"/>
    <cellStyle name="Comma 2 3 4 36 9" xfId="13586"/>
    <cellStyle name="Comma 2 3 4 36 9 2" xfId="13587"/>
    <cellStyle name="Comma 2 3 4 37" xfId="13588"/>
    <cellStyle name="Comma 2 3 4 37 10" xfId="13589"/>
    <cellStyle name="Comma 2 3 4 37 10 2" xfId="13590"/>
    <cellStyle name="Comma 2 3 4 37 11" xfId="13591"/>
    <cellStyle name="Comma 2 3 4 37 11 2" xfId="13592"/>
    <cellStyle name="Comma 2 3 4 37 12" xfId="13593"/>
    <cellStyle name="Comma 2 3 4 37 2" xfId="13594"/>
    <cellStyle name="Comma 2 3 4 37 2 2" xfId="13595"/>
    <cellStyle name="Comma 2 3 4 37 3" xfId="13596"/>
    <cellStyle name="Comma 2 3 4 37 3 2" xfId="13597"/>
    <cellStyle name="Comma 2 3 4 37 4" xfId="13598"/>
    <cellStyle name="Comma 2 3 4 37 4 2" xfId="13599"/>
    <cellStyle name="Comma 2 3 4 37 5" xfId="13600"/>
    <cellStyle name="Comma 2 3 4 37 5 2" xfId="13601"/>
    <cellStyle name="Comma 2 3 4 37 6" xfId="13602"/>
    <cellStyle name="Comma 2 3 4 37 6 2" xfId="13603"/>
    <cellStyle name="Comma 2 3 4 37 7" xfId="13604"/>
    <cellStyle name="Comma 2 3 4 37 7 2" xfId="13605"/>
    <cellStyle name="Comma 2 3 4 37 8" xfId="13606"/>
    <cellStyle name="Comma 2 3 4 37 8 2" xfId="13607"/>
    <cellStyle name="Comma 2 3 4 37 9" xfId="13608"/>
    <cellStyle name="Comma 2 3 4 37 9 2" xfId="13609"/>
    <cellStyle name="Comma 2 3 4 38" xfId="13610"/>
    <cellStyle name="Comma 2 3 4 38 10" xfId="13611"/>
    <cellStyle name="Comma 2 3 4 38 10 2" xfId="13612"/>
    <cellStyle name="Comma 2 3 4 38 11" xfId="13613"/>
    <cellStyle name="Comma 2 3 4 38 11 2" xfId="13614"/>
    <cellStyle name="Comma 2 3 4 38 12" xfId="13615"/>
    <cellStyle name="Comma 2 3 4 38 2" xfId="13616"/>
    <cellStyle name="Comma 2 3 4 38 2 2" xfId="13617"/>
    <cellStyle name="Comma 2 3 4 38 3" xfId="13618"/>
    <cellStyle name="Comma 2 3 4 38 3 2" xfId="13619"/>
    <cellStyle name="Comma 2 3 4 38 4" xfId="13620"/>
    <cellStyle name="Comma 2 3 4 38 4 2" xfId="13621"/>
    <cellStyle name="Comma 2 3 4 38 5" xfId="13622"/>
    <cellStyle name="Comma 2 3 4 38 5 2" xfId="13623"/>
    <cellStyle name="Comma 2 3 4 38 6" xfId="13624"/>
    <cellStyle name="Comma 2 3 4 38 6 2" xfId="13625"/>
    <cellStyle name="Comma 2 3 4 38 7" xfId="13626"/>
    <cellStyle name="Comma 2 3 4 38 7 2" xfId="13627"/>
    <cellStyle name="Comma 2 3 4 38 8" xfId="13628"/>
    <cellStyle name="Comma 2 3 4 38 8 2" xfId="13629"/>
    <cellStyle name="Comma 2 3 4 38 9" xfId="13630"/>
    <cellStyle name="Comma 2 3 4 38 9 2" xfId="13631"/>
    <cellStyle name="Comma 2 3 4 39" xfId="13632"/>
    <cellStyle name="Comma 2 3 4 39 10" xfId="13633"/>
    <cellStyle name="Comma 2 3 4 39 10 2" xfId="13634"/>
    <cellStyle name="Comma 2 3 4 39 11" xfId="13635"/>
    <cellStyle name="Comma 2 3 4 39 11 2" xfId="13636"/>
    <cellStyle name="Comma 2 3 4 39 12" xfId="13637"/>
    <cellStyle name="Comma 2 3 4 39 2" xfId="13638"/>
    <cellStyle name="Comma 2 3 4 39 2 2" xfId="13639"/>
    <cellStyle name="Comma 2 3 4 39 3" xfId="13640"/>
    <cellStyle name="Comma 2 3 4 39 3 2" xfId="13641"/>
    <cellStyle name="Comma 2 3 4 39 4" xfId="13642"/>
    <cellStyle name="Comma 2 3 4 39 4 2" xfId="13643"/>
    <cellStyle name="Comma 2 3 4 39 5" xfId="13644"/>
    <cellStyle name="Comma 2 3 4 39 5 2" xfId="13645"/>
    <cellStyle name="Comma 2 3 4 39 6" xfId="13646"/>
    <cellStyle name="Comma 2 3 4 39 6 2" xfId="13647"/>
    <cellStyle name="Comma 2 3 4 39 7" xfId="13648"/>
    <cellStyle name="Comma 2 3 4 39 7 2" xfId="13649"/>
    <cellStyle name="Comma 2 3 4 39 8" xfId="13650"/>
    <cellStyle name="Comma 2 3 4 39 8 2" xfId="13651"/>
    <cellStyle name="Comma 2 3 4 39 9" xfId="13652"/>
    <cellStyle name="Comma 2 3 4 39 9 2" xfId="13653"/>
    <cellStyle name="Comma 2 3 4 4" xfId="13654"/>
    <cellStyle name="Comma 2 3 4 4 10" xfId="13655"/>
    <cellStyle name="Comma 2 3 4 4 10 2" xfId="13656"/>
    <cellStyle name="Comma 2 3 4 4 11" xfId="13657"/>
    <cellStyle name="Comma 2 3 4 4 11 2" xfId="13658"/>
    <cellStyle name="Comma 2 3 4 4 12" xfId="13659"/>
    <cellStyle name="Comma 2 3 4 4 2" xfId="13660"/>
    <cellStyle name="Comma 2 3 4 4 2 2" xfId="13661"/>
    <cellStyle name="Comma 2 3 4 4 3" xfId="13662"/>
    <cellStyle name="Comma 2 3 4 4 3 2" xfId="13663"/>
    <cellStyle name="Comma 2 3 4 4 4" xfId="13664"/>
    <cellStyle name="Comma 2 3 4 4 4 2" xfId="13665"/>
    <cellStyle name="Comma 2 3 4 4 5" xfId="13666"/>
    <cellStyle name="Comma 2 3 4 4 5 2" xfId="13667"/>
    <cellStyle name="Comma 2 3 4 4 6" xfId="13668"/>
    <cellStyle name="Comma 2 3 4 4 6 2" xfId="13669"/>
    <cellStyle name="Comma 2 3 4 4 7" xfId="13670"/>
    <cellStyle name="Comma 2 3 4 4 7 2" xfId="13671"/>
    <cellStyle name="Comma 2 3 4 4 8" xfId="13672"/>
    <cellStyle name="Comma 2 3 4 4 8 2" xfId="13673"/>
    <cellStyle name="Comma 2 3 4 4 9" xfId="13674"/>
    <cellStyle name="Comma 2 3 4 4 9 2" xfId="13675"/>
    <cellStyle name="Comma 2 3 4 40" xfId="13676"/>
    <cellStyle name="Comma 2 3 4 40 2" xfId="13677"/>
    <cellStyle name="Comma 2 3 4 41" xfId="13678"/>
    <cellStyle name="Comma 2 3 4 41 2" xfId="13679"/>
    <cellStyle name="Comma 2 3 4 42" xfId="13680"/>
    <cellStyle name="Comma 2 3 4 42 2" xfId="13681"/>
    <cellStyle name="Comma 2 3 4 43" xfId="13682"/>
    <cellStyle name="Comma 2 3 4 43 2" xfId="13683"/>
    <cellStyle name="Comma 2 3 4 44" xfId="13684"/>
    <cellStyle name="Comma 2 3 4 44 2" xfId="13685"/>
    <cellStyle name="Comma 2 3 4 45" xfId="13686"/>
    <cellStyle name="Comma 2 3 4 45 2" xfId="13687"/>
    <cellStyle name="Comma 2 3 4 46" xfId="13688"/>
    <cellStyle name="Comma 2 3 4 46 2" xfId="13689"/>
    <cellStyle name="Comma 2 3 4 47" xfId="13690"/>
    <cellStyle name="Comma 2 3 4 47 2" xfId="13691"/>
    <cellStyle name="Comma 2 3 4 48" xfId="13692"/>
    <cellStyle name="Comma 2 3 4 48 2" xfId="13693"/>
    <cellStyle name="Comma 2 3 4 49" xfId="13694"/>
    <cellStyle name="Comma 2 3 4 49 2" xfId="13695"/>
    <cellStyle name="Comma 2 3 4 5" xfId="13696"/>
    <cellStyle name="Comma 2 3 4 5 10" xfId="13697"/>
    <cellStyle name="Comma 2 3 4 5 10 2" xfId="13698"/>
    <cellStyle name="Comma 2 3 4 5 11" xfId="13699"/>
    <cellStyle name="Comma 2 3 4 5 11 2" xfId="13700"/>
    <cellStyle name="Comma 2 3 4 5 12" xfId="13701"/>
    <cellStyle name="Comma 2 3 4 5 2" xfId="13702"/>
    <cellStyle name="Comma 2 3 4 5 2 2" xfId="13703"/>
    <cellStyle name="Comma 2 3 4 5 3" xfId="13704"/>
    <cellStyle name="Comma 2 3 4 5 3 2" xfId="13705"/>
    <cellStyle name="Comma 2 3 4 5 4" xfId="13706"/>
    <cellStyle name="Comma 2 3 4 5 4 2" xfId="13707"/>
    <cellStyle name="Comma 2 3 4 5 5" xfId="13708"/>
    <cellStyle name="Comma 2 3 4 5 5 2" xfId="13709"/>
    <cellStyle name="Comma 2 3 4 5 6" xfId="13710"/>
    <cellStyle name="Comma 2 3 4 5 6 2" xfId="13711"/>
    <cellStyle name="Comma 2 3 4 5 7" xfId="13712"/>
    <cellStyle name="Comma 2 3 4 5 7 2" xfId="13713"/>
    <cellStyle name="Comma 2 3 4 5 8" xfId="13714"/>
    <cellStyle name="Comma 2 3 4 5 8 2" xfId="13715"/>
    <cellStyle name="Comma 2 3 4 5 9" xfId="13716"/>
    <cellStyle name="Comma 2 3 4 5 9 2" xfId="13717"/>
    <cellStyle name="Comma 2 3 4 50" xfId="13718"/>
    <cellStyle name="Comma 2 3 4 50 2" xfId="13719"/>
    <cellStyle name="Comma 2 3 4 51" xfId="13720"/>
    <cellStyle name="Comma 2 3 4 51 2" xfId="13721"/>
    <cellStyle name="Comma 2 3 4 52" xfId="13722"/>
    <cellStyle name="Comma 2 3 4 6" xfId="13723"/>
    <cellStyle name="Comma 2 3 4 6 10" xfId="13724"/>
    <cellStyle name="Comma 2 3 4 6 10 2" xfId="13725"/>
    <cellStyle name="Comma 2 3 4 6 11" xfId="13726"/>
    <cellStyle name="Comma 2 3 4 6 11 2" xfId="13727"/>
    <cellStyle name="Comma 2 3 4 6 12" xfId="13728"/>
    <cellStyle name="Comma 2 3 4 6 2" xfId="13729"/>
    <cellStyle name="Comma 2 3 4 6 2 2" xfId="13730"/>
    <cellStyle name="Comma 2 3 4 6 3" xfId="13731"/>
    <cellStyle name="Comma 2 3 4 6 3 2" xfId="13732"/>
    <cellStyle name="Comma 2 3 4 6 4" xfId="13733"/>
    <cellStyle name="Comma 2 3 4 6 4 2" xfId="13734"/>
    <cellStyle name="Comma 2 3 4 6 5" xfId="13735"/>
    <cellStyle name="Comma 2 3 4 6 5 2" xfId="13736"/>
    <cellStyle name="Comma 2 3 4 6 6" xfId="13737"/>
    <cellStyle name="Comma 2 3 4 6 6 2" xfId="13738"/>
    <cellStyle name="Comma 2 3 4 6 7" xfId="13739"/>
    <cellStyle name="Comma 2 3 4 6 7 2" xfId="13740"/>
    <cellStyle name="Comma 2 3 4 6 8" xfId="13741"/>
    <cellStyle name="Comma 2 3 4 6 8 2" xfId="13742"/>
    <cellStyle name="Comma 2 3 4 6 9" xfId="13743"/>
    <cellStyle name="Comma 2 3 4 6 9 2" xfId="13744"/>
    <cellStyle name="Comma 2 3 4 7" xfId="13745"/>
    <cellStyle name="Comma 2 3 4 7 10" xfId="13746"/>
    <cellStyle name="Comma 2 3 4 7 10 2" xfId="13747"/>
    <cellStyle name="Comma 2 3 4 7 11" xfId="13748"/>
    <cellStyle name="Comma 2 3 4 7 11 2" xfId="13749"/>
    <cellStyle name="Comma 2 3 4 7 12" xfId="13750"/>
    <cellStyle name="Comma 2 3 4 7 2" xfId="13751"/>
    <cellStyle name="Comma 2 3 4 7 2 2" xfId="13752"/>
    <cellStyle name="Comma 2 3 4 7 3" xfId="13753"/>
    <cellStyle name="Comma 2 3 4 7 3 2" xfId="13754"/>
    <cellStyle name="Comma 2 3 4 7 4" xfId="13755"/>
    <cellStyle name="Comma 2 3 4 7 4 2" xfId="13756"/>
    <cellStyle name="Comma 2 3 4 7 5" xfId="13757"/>
    <cellStyle name="Comma 2 3 4 7 5 2" xfId="13758"/>
    <cellStyle name="Comma 2 3 4 7 6" xfId="13759"/>
    <cellStyle name="Comma 2 3 4 7 6 2" xfId="13760"/>
    <cellStyle name="Comma 2 3 4 7 7" xfId="13761"/>
    <cellStyle name="Comma 2 3 4 7 7 2" xfId="13762"/>
    <cellStyle name="Comma 2 3 4 7 8" xfId="13763"/>
    <cellStyle name="Comma 2 3 4 7 8 2" xfId="13764"/>
    <cellStyle name="Comma 2 3 4 7 9" xfId="13765"/>
    <cellStyle name="Comma 2 3 4 7 9 2" xfId="13766"/>
    <cellStyle name="Comma 2 3 4 8" xfId="13767"/>
    <cellStyle name="Comma 2 3 4 8 10" xfId="13768"/>
    <cellStyle name="Comma 2 3 4 8 10 2" xfId="13769"/>
    <cellStyle name="Comma 2 3 4 8 11" xfId="13770"/>
    <cellStyle name="Comma 2 3 4 8 11 2" xfId="13771"/>
    <cellStyle name="Comma 2 3 4 8 12" xfId="13772"/>
    <cellStyle name="Comma 2 3 4 8 2" xfId="13773"/>
    <cellStyle name="Comma 2 3 4 8 2 2" xfId="13774"/>
    <cellStyle name="Comma 2 3 4 8 3" xfId="13775"/>
    <cellStyle name="Comma 2 3 4 8 3 2" xfId="13776"/>
    <cellStyle name="Comma 2 3 4 8 4" xfId="13777"/>
    <cellStyle name="Comma 2 3 4 8 4 2" xfId="13778"/>
    <cellStyle name="Comma 2 3 4 8 5" xfId="13779"/>
    <cellStyle name="Comma 2 3 4 8 5 2" xfId="13780"/>
    <cellStyle name="Comma 2 3 4 8 6" xfId="13781"/>
    <cellStyle name="Comma 2 3 4 8 6 2" xfId="13782"/>
    <cellStyle name="Comma 2 3 4 8 7" xfId="13783"/>
    <cellStyle name="Comma 2 3 4 8 7 2" xfId="13784"/>
    <cellStyle name="Comma 2 3 4 8 8" xfId="13785"/>
    <cellStyle name="Comma 2 3 4 8 8 2" xfId="13786"/>
    <cellStyle name="Comma 2 3 4 8 9" xfId="13787"/>
    <cellStyle name="Comma 2 3 4 8 9 2" xfId="13788"/>
    <cellStyle name="Comma 2 3 4 9" xfId="13789"/>
    <cellStyle name="Comma 2 3 4 9 10" xfId="13790"/>
    <cellStyle name="Comma 2 3 4 9 10 2" xfId="13791"/>
    <cellStyle name="Comma 2 3 4 9 11" xfId="13792"/>
    <cellStyle name="Comma 2 3 4 9 11 2" xfId="13793"/>
    <cellStyle name="Comma 2 3 4 9 12" xfId="13794"/>
    <cellStyle name="Comma 2 3 4 9 2" xfId="13795"/>
    <cellStyle name="Comma 2 3 4 9 2 2" xfId="13796"/>
    <cellStyle name="Comma 2 3 4 9 3" xfId="13797"/>
    <cellStyle name="Comma 2 3 4 9 3 2" xfId="13798"/>
    <cellStyle name="Comma 2 3 4 9 4" xfId="13799"/>
    <cellStyle name="Comma 2 3 4 9 4 2" xfId="13800"/>
    <cellStyle name="Comma 2 3 4 9 5" xfId="13801"/>
    <cellStyle name="Comma 2 3 4 9 5 2" xfId="13802"/>
    <cellStyle name="Comma 2 3 4 9 6" xfId="13803"/>
    <cellStyle name="Comma 2 3 4 9 6 2" xfId="13804"/>
    <cellStyle name="Comma 2 3 4 9 7" xfId="13805"/>
    <cellStyle name="Comma 2 3 4 9 7 2" xfId="13806"/>
    <cellStyle name="Comma 2 3 4 9 8" xfId="13807"/>
    <cellStyle name="Comma 2 3 4 9 8 2" xfId="13808"/>
    <cellStyle name="Comma 2 3 4 9 9" xfId="13809"/>
    <cellStyle name="Comma 2 3 4 9 9 2" xfId="13810"/>
    <cellStyle name="Comma 2 3 40" xfId="13811"/>
    <cellStyle name="Comma 2 3 40 10" xfId="13812"/>
    <cellStyle name="Comma 2 3 40 10 2" xfId="13813"/>
    <cellStyle name="Comma 2 3 40 11" xfId="13814"/>
    <cellStyle name="Comma 2 3 40 11 2" xfId="13815"/>
    <cellStyle name="Comma 2 3 40 12" xfId="13816"/>
    <cellStyle name="Comma 2 3 40 2" xfId="13817"/>
    <cellStyle name="Comma 2 3 40 2 2" xfId="13818"/>
    <cellStyle name="Comma 2 3 40 3" xfId="13819"/>
    <cellStyle name="Comma 2 3 40 3 2" xfId="13820"/>
    <cellStyle name="Comma 2 3 40 4" xfId="13821"/>
    <cellStyle name="Comma 2 3 40 4 2" xfId="13822"/>
    <cellStyle name="Comma 2 3 40 5" xfId="13823"/>
    <cellStyle name="Comma 2 3 40 5 2" xfId="13824"/>
    <cellStyle name="Comma 2 3 40 6" xfId="13825"/>
    <cellStyle name="Comma 2 3 40 6 2" xfId="13826"/>
    <cellStyle name="Comma 2 3 40 7" xfId="13827"/>
    <cellStyle name="Comma 2 3 40 7 2" xfId="13828"/>
    <cellStyle name="Comma 2 3 40 8" xfId="13829"/>
    <cellStyle name="Comma 2 3 40 8 2" xfId="13830"/>
    <cellStyle name="Comma 2 3 40 9" xfId="13831"/>
    <cellStyle name="Comma 2 3 40 9 2" xfId="13832"/>
    <cellStyle name="Comma 2 3 41" xfId="13833"/>
    <cellStyle name="Comma 2 3 41 10" xfId="13834"/>
    <cellStyle name="Comma 2 3 41 10 2" xfId="13835"/>
    <cellStyle name="Comma 2 3 41 11" xfId="13836"/>
    <cellStyle name="Comma 2 3 41 11 2" xfId="13837"/>
    <cellStyle name="Comma 2 3 41 12" xfId="13838"/>
    <cellStyle name="Comma 2 3 41 2" xfId="13839"/>
    <cellStyle name="Comma 2 3 41 2 2" xfId="13840"/>
    <cellStyle name="Comma 2 3 41 3" xfId="13841"/>
    <cellStyle name="Comma 2 3 41 3 2" xfId="13842"/>
    <cellStyle name="Comma 2 3 41 4" xfId="13843"/>
    <cellStyle name="Comma 2 3 41 4 2" xfId="13844"/>
    <cellStyle name="Comma 2 3 41 5" xfId="13845"/>
    <cellStyle name="Comma 2 3 41 5 2" xfId="13846"/>
    <cellStyle name="Comma 2 3 41 6" xfId="13847"/>
    <cellStyle name="Comma 2 3 41 6 2" xfId="13848"/>
    <cellStyle name="Comma 2 3 41 7" xfId="13849"/>
    <cellStyle name="Comma 2 3 41 7 2" xfId="13850"/>
    <cellStyle name="Comma 2 3 41 8" xfId="13851"/>
    <cellStyle name="Comma 2 3 41 8 2" xfId="13852"/>
    <cellStyle name="Comma 2 3 41 9" xfId="13853"/>
    <cellStyle name="Comma 2 3 41 9 2" xfId="13854"/>
    <cellStyle name="Comma 2 3 42" xfId="13855"/>
    <cellStyle name="Comma 2 3 42 10" xfId="13856"/>
    <cellStyle name="Comma 2 3 42 10 2" xfId="13857"/>
    <cellStyle name="Comma 2 3 42 11" xfId="13858"/>
    <cellStyle name="Comma 2 3 42 11 2" xfId="13859"/>
    <cellStyle name="Comma 2 3 42 12" xfId="13860"/>
    <cellStyle name="Comma 2 3 42 2" xfId="13861"/>
    <cellStyle name="Comma 2 3 42 2 2" xfId="13862"/>
    <cellStyle name="Comma 2 3 42 3" xfId="13863"/>
    <cellStyle name="Comma 2 3 42 3 2" xfId="13864"/>
    <cellStyle name="Comma 2 3 42 4" xfId="13865"/>
    <cellStyle name="Comma 2 3 42 4 2" xfId="13866"/>
    <cellStyle name="Comma 2 3 42 5" xfId="13867"/>
    <cellStyle name="Comma 2 3 42 5 2" xfId="13868"/>
    <cellStyle name="Comma 2 3 42 6" xfId="13869"/>
    <cellStyle name="Comma 2 3 42 6 2" xfId="13870"/>
    <cellStyle name="Comma 2 3 42 7" xfId="13871"/>
    <cellStyle name="Comma 2 3 42 7 2" xfId="13872"/>
    <cellStyle name="Comma 2 3 42 8" xfId="13873"/>
    <cellStyle name="Comma 2 3 42 8 2" xfId="13874"/>
    <cellStyle name="Comma 2 3 42 9" xfId="13875"/>
    <cellStyle name="Comma 2 3 42 9 2" xfId="13876"/>
    <cellStyle name="Comma 2 3 43" xfId="13877"/>
    <cellStyle name="Comma 2 3 43 10" xfId="13878"/>
    <cellStyle name="Comma 2 3 43 10 2" xfId="13879"/>
    <cellStyle name="Comma 2 3 43 11" xfId="13880"/>
    <cellStyle name="Comma 2 3 43 11 2" xfId="13881"/>
    <cellStyle name="Comma 2 3 43 12" xfId="13882"/>
    <cellStyle name="Comma 2 3 43 2" xfId="13883"/>
    <cellStyle name="Comma 2 3 43 2 2" xfId="13884"/>
    <cellStyle name="Comma 2 3 43 3" xfId="13885"/>
    <cellStyle name="Comma 2 3 43 3 2" xfId="13886"/>
    <cellStyle name="Comma 2 3 43 4" xfId="13887"/>
    <cellStyle name="Comma 2 3 43 4 2" xfId="13888"/>
    <cellStyle name="Comma 2 3 43 5" xfId="13889"/>
    <cellStyle name="Comma 2 3 43 5 2" xfId="13890"/>
    <cellStyle name="Comma 2 3 43 6" xfId="13891"/>
    <cellStyle name="Comma 2 3 43 6 2" xfId="13892"/>
    <cellStyle name="Comma 2 3 43 7" xfId="13893"/>
    <cellStyle name="Comma 2 3 43 7 2" xfId="13894"/>
    <cellStyle name="Comma 2 3 43 8" xfId="13895"/>
    <cellStyle name="Comma 2 3 43 8 2" xfId="13896"/>
    <cellStyle name="Comma 2 3 43 9" xfId="13897"/>
    <cellStyle name="Comma 2 3 43 9 2" xfId="13898"/>
    <cellStyle name="Comma 2 3 44" xfId="13899"/>
    <cellStyle name="Comma 2 3 44 10" xfId="13900"/>
    <cellStyle name="Comma 2 3 44 10 2" xfId="13901"/>
    <cellStyle name="Comma 2 3 44 11" xfId="13902"/>
    <cellStyle name="Comma 2 3 44 11 2" xfId="13903"/>
    <cellStyle name="Comma 2 3 44 12" xfId="13904"/>
    <cellStyle name="Comma 2 3 44 2" xfId="13905"/>
    <cellStyle name="Comma 2 3 44 2 2" xfId="13906"/>
    <cellStyle name="Comma 2 3 44 3" xfId="13907"/>
    <cellStyle name="Comma 2 3 44 3 2" xfId="13908"/>
    <cellStyle name="Comma 2 3 44 4" xfId="13909"/>
    <cellStyle name="Comma 2 3 44 4 2" xfId="13910"/>
    <cellStyle name="Comma 2 3 44 5" xfId="13911"/>
    <cellStyle name="Comma 2 3 44 5 2" xfId="13912"/>
    <cellStyle name="Comma 2 3 44 6" xfId="13913"/>
    <cellStyle name="Comma 2 3 44 6 2" xfId="13914"/>
    <cellStyle name="Comma 2 3 44 7" xfId="13915"/>
    <cellStyle name="Comma 2 3 44 7 2" xfId="13916"/>
    <cellStyle name="Comma 2 3 44 8" xfId="13917"/>
    <cellStyle name="Comma 2 3 44 8 2" xfId="13918"/>
    <cellStyle name="Comma 2 3 44 9" xfId="13919"/>
    <cellStyle name="Comma 2 3 44 9 2" xfId="13920"/>
    <cellStyle name="Comma 2 3 45" xfId="13921"/>
    <cellStyle name="Comma 2 3 45 2" xfId="13922"/>
    <cellStyle name="Comma 2 3 46" xfId="13923"/>
    <cellStyle name="Comma 2 3 46 2" xfId="13924"/>
    <cellStyle name="Comma 2 3 47" xfId="13925"/>
    <cellStyle name="Comma 2 3 47 2" xfId="13926"/>
    <cellStyle name="Comma 2 3 48" xfId="13927"/>
    <cellStyle name="Comma 2 3 48 2" xfId="13928"/>
    <cellStyle name="Comma 2 3 49" xfId="13929"/>
    <cellStyle name="Comma 2 3 49 2" xfId="13930"/>
    <cellStyle name="Comma 2 3 5" xfId="13931"/>
    <cellStyle name="Comma 2 3 5 10" xfId="13932"/>
    <cellStyle name="Comma 2 3 5 10 10" xfId="13933"/>
    <cellStyle name="Comma 2 3 5 10 10 2" xfId="13934"/>
    <cellStyle name="Comma 2 3 5 10 11" xfId="13935"/>
    <cellStyle name="Comma 2 3 5 10 11 2" xfId="13936"/>
    <cellStyle name="Comma 2 3 5 10 12" xfId="13937"/>
    <cellStyle name="Comma 2 3 5 10 2" xfId="13938"/>
    <cellStyle name="Comma 2 3 5 10 2 2" xfId="13939"/>
    <cellStyle name="Comma 2 3 5 10 3" xfId="13940"/>
    <cellStyle name="Comma 2 3 5 10 3 2" xfId="13941"/>
    <cellStyle name="Comma 2 3 5 10 4" xfId="13942"/>
    <cellStyle name="Comma 2 3 5 10 4 2" xfId="13943"/>
    <cellStyle name="Comma 2 3 5 10 5" xfId="13944"/>
    <cellStyle name="Comma 2 3 5 10 5 2" xfId="13945"/>
    <cellStyle name="Comma 2 3 5 10 6" xfId="13946"/>
    <cellStyle name="Comma 2 3 5 10 6 2" xfId="13947"/>
    <cellStyle name="Comma 2 3 5 10 7" xfId="13948"/>
    <cellStyle name="Comma 2 3 5 10 7 2" xfId="13949"/>
    <cellStyle name="Comma 2 3 5 10 8" xfId="13950"/>
    <cellStyle name="Comma 2 3 5 10 8 2" xfId="13951"/>
    <cellStyle name="Comma 2 3 5 10 9" xfId="13952"/>
    <cellStyle name="Comma 2 3 5 10 9 2" xfId="13953"/>
    <cellStyle name="Comma 2 3 5 11" xfId="13954"/>
    <cellStyle name="Comma 2 3 5 11 10" xfId="13955"/>
    <cellStyle name="Comma 2 3 5 11 10 2" xfId="13956"/>
    <cellStyle name="Comma 2 3 5 11 11" xfId="13957"/>
    <cellStyle name="Comma 2 3 5 11 11 2" xfId="13958"/>
    <cellStyle name="Comma 2 3 5 11 12" xfId="13959"/>
    <cellStyle name="Comma 2 3 5 11 2" xfId="13960"/>
    <cellStyle name="Comma 2 3 5 11 2 2" xfId="13961"/>
    <cellStyle name="Comma 2 3 5 11 3" xfId="13962"/>
    <cellStyle name="Comma 2 3 5 11 3 2" xfId="13963"/>
    <cellStyle name="Comma 2 3 5 11 4" xfId="13964"/>
    <cellStyle name="Comma 2 3 5 11 4 2" xfId="13965"/>
    <cellStyle name="Comma 2 3 5 11 5" xfId="13966"/>
    <cellStyle name="Comma 2 3 5 11 5 2" xfId="13967"/>
    <cellStyle name="Comma 2 3 5 11 6" xfId="13968"/>
    <cellStyle name="Comma 2 3 5 11 6 2" xfId="13969"/>
    <cellStyle name="Comma 2 3 5 11 7" xfId="13970"/>
    <cellStyle name="Comma 2 3 5 11 7 2" xfId="13971"/>
    <cellStyle name="Comma 2 3 5 11 8" xfId="13972"/>
    <cellStyle name="Comma 2 3 5 11 8 2" xfId="13973"/>
    <cellStyle name="Comma 2 3 5 11 9" xfId="13974"/>
    <cellStyle name="Comma 2 3 5 11 9 2" xfId="13975"/>
    <cellStyle name="Comma 2 3 5 12" xfId="13976"/>
    <cellStyle name="Comma 2 3 5 12 10" xfId="13977"/>
    <cellStyle name="Comma 2 3 5 12 10 2" xfId="13978"/>
    <cellStyle name="Comma 2 3 5 12 11" xfId="13979"/>
    <cellStyle name="Comma 2 3 5 12 11 2" xfId="13980"/>
    <cellStyle name="Comma 2 3 5 12 12" xfId="13981"/>
    <cellStyle name="Comma 2 3 5 12 2" xfId="13982"/>
    <cellStyle name="Comma 2 3 5 12 2 2" xfId="13983"/>
    <cellStyle name="Comma 2 3 5 12 3" xfId="13984"/>
    <cellStyle name="Comma 2 3 5 12 3 2" xfId="13985"/>
    <cellStyle name="Comma 2 3 5 12 4" xfId="13986"/>
    <cellStyle name="Comma 2 3 5 12 4 2" xfId="13987"/>
    <cellStyle name="Comma 2 3 5 12 5" xfId="13988"/>
    <cellStyle name="Comma 2 3 5 12 5 2" xfId="13989"/>
    <cellStyle name="Comma 2 3 5 12 6" xfId="13990"/>
    <cellStyle name="Comma 2 3 5 12 6 2" xfId="13991"/>
    <cellStyle name="Comma 2 3 5 12 7" xfId="13992"/>
    <cellStyle name="Comma 2 3 5 12 7 2" xfId="13993"/>
    <cellStyle name="Comma 2 3 5 12 8" xfId="13994"/>
    <cellStyle name="Comma 2 3 5 12 8 2" xfId="13995"/>
    <cellStyle name="Comma 2 3 5 12 9" xfId="13996"/>
    <cellStyle name="Comma 2 3 5 12 9 2" xfId="13997"/>
    <cellStyle name="Comma 2 3 5 13" xfId="13998"/>
    <cellStyle name="Comma 2 3 5 13 10" xfId="13999"/>
    <cellStyle name="Comma 2 3 5 13 10 2" xfId="14000"/>
    <cellStyle name="Comma 2 3 5 13 11" xfId="14001"/>
    <cellStyle name="Comma 2 3 5 13 11 2" xfId="14002"/>
    <cellStyle name="Comma 2 3 5 13 12" xfId="14003"/>
    <cellStyle name="Comma 2 3 5 13 2" xfId="14004"/>
    <cellStyle name="Comma 2 3 5 13 2 2" xfId="14005"/>
    <cellStyle name="Comma 2 3 5 13 3" xfId="14006"/>
    <cellStyle name="Comma 2 3 5 13 3 2" xfId="14007"/>
    <cellStyle name="Comma 2 3 5 13 4" xfId="14008"/>
    <cellStyle name="Comma 2 3 5 13 4 2" xfId="14009"/>
    <cellStyle name="Comma 2 3 5 13 5" xfId="14010"/>
    <cellStyle name="Comma 2 3 5 13 5 2" xfId="14011"/>
    <cellStyle name="Comma 2 3 5 13 6" xfId="14012"/>
    <cellStyle name="Comma 2 3 5 13 6 2" xfId="14013"/>
    <cellStyle name="Comma 2 3 5 13 7" xfId="14014"/>
    <cellStyle name="Comma 2 3 5 13 7 2" xfId="14015"/>
    <cellStyle name="Comma 2 3 5 13 8" xfId="14016"/>
    <cellStyle name="Comma 2 3 5 13 8 2" xfId="14017"/>
    <cellStyle name="Comma 2 3 5 13 9" xfId="14018"/>
    <cellStyle name="Comma 2 3 5 13 9 2" xfId="14019"/>
    <cellStyle name="Comma 2 3 5 14" xfId="14020"/>
    <cellStyle name="Comma 2 3 5 14 10" xfId="14021"/>
    <cellStyle name="Comma 2 3 5 14 10 2" xfId="14022"/>
    <cellStyle name="Comma 2 3 5 14 11" xfId="14023"/>
    <cellStyle name="Comma 2 3 5 14 11 2" xfId="14024"/>
    <cellStyle name="Comma 2 3 5 14 12" xfId="14025"/>
    <cellStyle name="Comma 2 3 5 14 2" xfId="14026"/>
    <cellStyle name="Comma 2 3 5 14 2 2" xfId="14027"/>
    <cellStyle name="Comma 2 3 5 14 3" xfId="14028"/>
    <cellStyle name="Comma 2 3 5 14 3 2" xfId="14029"/>
    <cellStyle name="Comma 2 3 5 14 4" xfId="14030"/>
    <cellStyle name="Comma 2 3 5 14 4 2" xfId="14031"/>
    <cellStyle name="Comma 2 3 5 14 5" xfId="14032"/>
    <cellStyle name="Comma 2 3 5 14 5 2" xfId="14033"/>
    <cellStyle name="Comma 2 3 5 14 6" xfId="14034"/>
    <cellStyle name="Comma 2 3 5 14 6 2" xfId="14035"/>
    <cellStyle name="Comma 2 3 5 14 7" xfId="14036"/>
    <cellStyle name="Comma 2 3 5 14 7 2" xfId="14037"/>
    <cellStyle name="Comma 2 3 5 14 8" xfId="14038"/>
    <cellStyle name="Comma 2 3 5 14 8 2" xfId="14039"/>
    <cellStyle name="Comma 2 3 5 14 9" xfId="14040"/>
    <cellStyle name="Comma 2 3 5 14 9 2" xfId="14041"/>
    <cellStyle name="Comma 2 3 5 15" xfId="14042"/>
    <cellStyle name="Comma 2 3 5 15 10" xfId="14043"/>
    <cellStyle name="Comma 2 3 5 15 10 2" xfId="14044"/>
    <cellStyle name="Comma 2 3 5 15 11" xfId="14045"/>
    <cellStyle name="Comma 2 3 5 15 11 2" xfId="14046"/>
    <cellStyle name="Comma 2 3 5 15 12" xfId="14047"/>
    <cellStyle name="Comma 2 3 5 15 2" xfId="14048"/>
    <cellStyle name="Comma 2 3 5 15 2 2" xfId="14049"/>
    <cellStyle name="Comma 2 3 5 15 3" xfId="14050"/>
    <cellStyle name="Comma 2 3 5 15 3 2" xfId="14051"/>
    <cellStyle name="Comma 2 3 5 15 4" xfId="14052"/>
    <cellStyle name="Comma 2 3 5 15 4 2" xfId="14053"/>
    <cellStyle name="Comma 2 3 5 15 5" xfId="14054"/>
    <cellStyle name="Comma 2 3 5 15 5 2" xfId="14055"/>
    <cellStyle name="Comma 2 3 5 15 6" xfId="14056"/>
    <cellStyle name="Comma 2 3 5 15 6 2" xfId="14057"/>
    <cellStyle name="Comma 2 3 5 15 7" xfId="14058"/>
    <cellStyle name="Comma 2 3 5 15 7 2" xfId="14059"/>
    <cellStyle name="Comma 2 3 5 15 8" xfId="14060"/>
    <cellStyle name="Comma 2 3 5 15 8 2" xfId="14061"/>
    <cellStyle name="Comma 2 3 5 15 9" xfId="14062"/>
    <cellStyle name="Comma 2 3 5 15 9 2" xfId="14063"/>
    <cellStyle name="Comma 2 3 5 16" xfId="14064"/>
    <cellStyle name="Comma 2 3 5 16 2" xfId="14065"/>
    <cellStyle name="Comma 2 3 5 17" xfId="14066"/>
    <cellStyle name="Comma 2 3 5 17 2" xfId="14067"/>
    <cellStyle name="Comma 2 3 5 18" xfId="14068"/>
    <cellStyle name="Comma 2 3 5 18 2" xfId="14069"/>
    <cellStyle name="Comma 2 3 5 19" xfId="14070"/>
    <cellStyle name="Comma 2 3 5 19 2" xfId="14071"/>
    <cellStyle name="Comma 2 3 5 2" xfId="14072"/>
    <cellStyle name="Comma 2 3 5 2 10" xfId="14073"/>
    <cellStyle name="Comma 2 3 5 2 10 2" xfId="14074"/>
    <cellStyle name="Comma 2 3 5 2 11" xfId="14075"/>
    <cellStyle name="Comma 2 3 5 2 11 2" xfId="14076"/>
    <cellStyle name="Comma 2 3 5 2 12" xfId="14077"/>
    <cellStyle name="Comma 2 3 5 2 2" xfId="14078"/>
    <cellStyle name="Comma 2 3 5 2 2 2" xfId="14079"/>
    <cellStyle name="Comma 2 3 5 2 3" xfId="14080"/>
    <cellStyle name="Comma 2 3 5 2 3 2" xfId="14081"/>
    <cellStyle name="Comma 2 3 5 2 4" xfId="14082"/>
    <cellStyle name="Comma 2 3 5 2 4 2" xfId="14083"/>
    <cellStyle name="Comma 2 3 5 2 5" xfId="14084"/>
    <cellStyle name="Comma 2 3 5 2 5 2" xfId="14085"/>
    <cellStyle name="Comma 2 3 5 2 6" xfId="14086"/>
    <cellStyle name="Comma 2 3 5 2 6 2" xfId="14087"/>
    <cellStyle name="Comma 2 3 5 2 7" xfId="14088"/>
    <cellStyle name="Comma 2 3 5 2 7 2" xfId="14089"/>
    <cellStyle name="Comma 2 3 5 2 8" xfId="14090"/>
    <cellStyle name="Comma 2 3 5 2 8 2" xfId="14091"/>
    <cellStyle name="Comma 2 3 5 2 9" xfId="14092"/>
    <cellStyle name="Comma 2 3 5 2 9 2" xfId="14093"/>
    <cellStyle name="Comma 2 3 5 20" xfId="14094"/>
    <cellStyle name="Comma 2 3 5 20 2" xfId="14095"/>
    <cellStyle name="Comma 2 3 5 21" xfId="14096"/>
    <cellStyle name="Comma 2 3 5 21 2" xfId="14097"/>
    <cellStyle name="Comma 2 3 5 22" xfId="14098"/>
    <cellStyle name="Comma 2 3 5 22 2" xfId="14099"/>
    <cellStyle name="Comma 2 3 5 23" xfId="14100"/>
    <cellStyle name="Comma 2 3 5 23 2" xfId="14101"/>
    <cellStyle name="Comma 2 3 5 24" xfId="14102"/>
    <cellStyle name="Comma 2 3 5 24 2" xfId="14103"/>
    <cellStyle name="Comma 2 3 5 25" xfId="14104"/>
    <cellStyle name="Comma 2 3 5 25 2" xfId="14105"/>
    <cellStyle name="Comma 2 3 5 26" xfId="14106"/>
    <cellStyle name="Comma 2 3 5 3" xfId="14107"/>
    <cellStyle name="Comma 2 3 5 3 10" xfId="14108"/>
    <cellStyle name="Comma 2 3 5 3 10 2" xfId="14109"/>
    <cellStyle name="Comma 2 3 5 3 11" xfId="14110"/>
    <cellStyle name="Comma 2 3 5 3 11 2" xfId="14111"/>
    <cellStyle name="Comma 2 3 5 3 12" xfId="14112"/>
    <cellStyle name="Comma 2 3 5 3 2" xfId="14113"/>
    <cellStyle name="Comma 2 3 5 3 2 2" xfId="14114"/>
    <cellStyle name="Comma 2 3 5 3 3" xfId="14115"/>
    <cellStyle name="Comma 2 3 5 3 3 2" xfId="14116"/>
    <cellStyle name="Comma 2 3 5 3 4" xfId="14117"/>
    <cellStyle name="Comma 2 3 5 3 4 2" xfId="14118"/>
    <cellStyle name="Comma 2 3 5 3 5" xfId="14119"/>
    <cellStyle name="Comma 2 3 5 3 5 2" xfId="14120"/>
    <cellStyle name="Comma 2 3 5 3 6" xfId="14121"/>
    <cellStyle name="Comma 2 3 5 3 6 2" xfId="14122"/>
    <cellStyle name="Comma 2 3 5 3 7" xfId="14123"/>
    <cellStyle name="Comma 2 3 5 3 7 2" xfId="14124"/>
    <cellStyle name="Comma 2 3 5 3 8" xfId="14125"/>
    <cellStyle name="Comma 2 3 5 3 8 2" xfId="14126"/>
    <cellStyle name="Comma 2 3 5 3 9" xfId="14127"/>
    <cellStyle name="Comma 2 3 5 3 9 2" xfId="14128"/>
    <cellStyle name="Comma 2 3 5 4" xfId="14129"/>
    <cellStyle name="Comma 2 3 5 4 10" xfId="14130"/>
    <cellStyle name="Comma 2 3 5 4 10 2" xfId="14131"/>
    <cellStyle name="Comma 2 3 5 4 11" xfId="14132"/>
    <cellStyle name="Comma 2 3 5 4 11 2" xfId="14133"/>
    <cellStyle name="Comma 2 3 5 4 12" xfId="14134"/>
    <cellStyle name="Comma 2 3 5 4 2" xfId="14135"/>
    <cellStyle name="Comma 2 3 5 4 2 2" xfId="14136"/>
    <cellStyle name="Comma 2 3 5 4 3" xfId="14137"/>
    <cellStyle name="Comma 2 3 5 4 3 2" xfId="14138"/>
    <cellStyle name="Comma 2 3 5 4 4" xfId="14139"/>
    <cellStyle name="Comma 2 3 5 4 4 2" xfId="14140"/>
    <cellStyle name="Comma 2 3 5 4 5" xfId="14141"/>
    <cellStyle name="Comma 2 3 5 4 5 2" xfId="14142"/>
    <cellStyle name="Comma 2 3 5 4 6" xfId="14143"/>
    <cellStyle name="Comma 2 3 5 4 6 2" xfId="14144"/>
    <cellStyle name="Comma 2 3 5 4 7" xfId="14145"/>
    <cellStyle name="Comma 2 3 5 4 7 2" xfId="14146"/>
    <cellStyle name="Comma 2 3 5 4 8" xfId="14147"/>
    <cellStyle name="Comma 2 3 5 4 8 2" xfId="14148"/>
    <cellStyle name="Comma 2 3 5 4 9" xfId="14149"/>
    <cellStyle name="Comma 2 3 5 4 9 2" xfId="14150"/>
    <cellStyle name="Comma 2 3 5 5" xfId="14151"/>
    <cellStyle name="Comma 2 3 5 5 10" xfId="14152"/>
    <cellStyle name="Comma 2 3 5 5 10 2" xfId="14153"/>
    <cellStyle name="Comma 2 3 5 5 11" xfId="14154"/>
    <cellStyle name="Comma 2 3 5 5 11 2" xfId="14155"/>
    <cellStyle name="Comma 2 3 5 5 12" xfId="14156"/>
    <cellStyle name="Comma 2 3 5 5 2" xfId="14157"/>
    <cellStyle name="Comma 2 3 5 5 2 2" xfId="14158"/>
    <cellStyle name="Comma 2 3 5 5 3" xfId="14159"/>
    <cellStyle name="Comma 2 3 5 5 3 2" xfId="14160"/>
    <cellStyle name="Comma 2 3 5 5 4" xfId="14161"/>
    <cellStyle name="Comma 2 3 5 5 4 2" xfId="14162"/>
    <cellStyle name="Comma 2 3 5 5 5" xfId="14163"/>
    <cellStyle name="Comma 2 3 5 5 5 2" xfId="14164"/>
    <cellStyle name="Comma 2 3 5 5 6" xfId="14165"/>
    <cellStyle name="Comma 2 3 5 5 6 2" xfId="14166"/>
    <cellStyle name="Comma 2 3 5 5 7" xfId="14167"/>
    <cellStyle name="Comma 2 3 5 5 7 2" xfId="14168"/>
    <cellStyle name="Comma 2 3 5 5 8" xfId="14169"/>
    <cellStyle name="Comma 2 3 5 5 8 2" xfId="14170"/>
    <cellStyle name="Comma 2 3 5 5 9" xfId="14171"/>
    <cellStyle name="Comma 2 3 5 5 9 2" xfId="14172"/>
    <cellStyle name="Comma 2 3 5 6" xfId="14173"/>
    <cellStyle name="Comma 2 3 5 6 10" xfId="14174"/>
    <cellStyle name="Comma 2 3 5 6 10 2" xfId="14175"/>
    <cellStyle name="Comma 2 3 5 6 11" xfId="14176"/>
    <cellStyle name="Comma 2 3 5 6 11 2" xfId="14177"/>
    <cellStyle name="Comma 2 3 5 6 12" xfId="14178"/>
    <cellStyle name="Comma 2 3 5 6 2" xfId="14179"/>
    <cellStyle name="Comma 2 3 5 6 2 2" xfId="14180"/>
    <cellStyle name="Comma 2 3 5 6 3" xfId="14181"/>
    <cellStyle name="Comma 2 3 5 6 3 2" xfId="14182"/>
    <cellStyle name="Comma 2 3 5 6 4" xfId="14183"/>
    <cellStyle name="Comma 2 3 5 6 4 2" xfId="14184"/>
    <cellStyle name="Comma 2 3 5 6 5" xfId="14185"/>
    <cellStyle name="Comma 2 3 5 6 5 2" xfId="14186"/>
    <cellStyle name="Comma 2 3 5 6 6" xfId="14187"/>
    <cellStyle name="Comma 2 3 5 6 6 2" xfId="14188"/>
    <cellStyle name="Comma 2 3 5 6 7" xfId="14189"/>
    <cellStyle name="Comma 2 3 5 6 7 2" xfId="14190"/>
    <cellStyle name="Comma 2 3 5 6 8" xfId="14191"/>
    <cellStyle name="Comma 2 3 5 6 8 2" xfId="14192"/>
    <cellStyle name="Comma 2 3 5 6 9" xfId="14193"/>
    <cellStyle name="Comma 2 3 5 6 9 2" xfId="14194"/>
    <cellStyle name="Comma 2 3 5 7" xfId="14195"/>
    <cellStyle name="Comma 2 3 5 7 10" xfId="14196"/>
    <cellStyle name="Comma 2 3 5 7 10 2" xfId="14197"/>
    <cellStyle name="Comma 2 3 5 7 11" xfId="14198"/>
    <cellStyle name="Comma 2 3 5 7 11 2" xfId="14199"/>
    <cellStyle name="Comma 2 3 5 7 12" xfId="14200"/>
    <cellStyle name="Comma 2 3 5 7 2" xfId="14201"/>
    <cellStyle name="Comma 2 3 5 7 2 2" xfId="14202"/>
    <cellStyle name="Comma 2 3 5 7 3" xfId="14203"/>
    <cellStyle name="Comma 2 3 5 7 3 2" xfId="14204"/>
    <cellStyle name="Comma 2 3 5 7 4" xfId="14205"/>
    <cellStyle name="Comma 2 3 5 7 4 2" xfId="14206"/>
    <cellStyle name="Comma 2 3 5 7 5" xfId="14207"/>
    <cellStyle name="Comma 2 3 5 7 5 2" xfId="14208"/>
    <cellStyle name="Comma 2 3 5 7 6" xfId="14209"/>
    <cellStyle name="Comma 2 3 5 7 6 2" xfId="14210"/>
    <cellStyle name="Comma 2 3 5 7 7" xfId="14211"/>
    <cellStyle name="Comma 2 3 5 7 7 2" xfId="14212"/>
    <cellStyle name="Comma 2 3 5 7 8" xfId="14213"/>
    <cellStyle name="Comma 2 3 5 7 8 2" xfId="14214"/>
    <cellStyle name="Comma 2 3 5 7 9" xfId="14215"/>
    <cellStyle name="Comma 2 3 5 7 9 2" xfId="14216"/>
    <cellStyle name="Comma 2 3 5 8" xfId="14217"/>
    <cellStyle name="Comma 2 3 5 8 10" xfId="14218"/>
    <cellStyle name="Comma 2 3 5 8 10 2" xfId="14219"/>
    <cellStyle name="Comma 2 3 5 8 11" xfId="14220"/>
    <cellStyle name="Comma 2 3 5 8 11 2" xfId="14221"/>
    <cellStyle name="Comma 2 3 5 8 12" xfId="14222"/>
    <cellStyle name="Comma 2 3 5 8 2" xfId="14223"/>
    <cellStyle name="Comma 2 3 5 8 2 2" xfId="14224"/>
    <cellStyle name="Comma 2 3 5 8 3" xfId="14225"/>
    <cellStyle name="Comma 2 3 5 8 3 2" xfId="14226"/>
    <cellStyle name="Comma 2 3 5 8 4" xfId="14227"/>
    <cellStyle name="Comma 2 3 5 8 4 2" xfId="14228"/>
    <cellStyle name="Comma 2 3 5 8 5" xfId="14229"/>
    <cellStyle name="Comma 2 3 5 8 5 2" xfId="14230"/>
    <cellStyle name="Comma 2 3 5 8 6" xfId="14231"/>
    <cellStyle name="Comma 2 3 5 8 6 2" xfId="14232"/>
    <cellStyle name="Comma 2 3 5 8 7" xfId="14233"/>
    <cellStyle name="Comma 2 3 5 8 7 2" xfId="14234"/>
    <cellStyle name="Comma 2 3 5 8 8" xfId="14235"/>
    <cellStyle name="Comma 2 3 5 8 8 2" xfId="14236"/>
    <cellStyle name="Comma 2 3 5 8 9" xfId="14237"/>
    <cellStyle name="Comma 2 3 5 8 9 2" xfId="14238"/>
    <cellStyle name="Comma 2 3 5 9" xfId="14239"/>
    <cellStyle name="Comma 2 3 5 9 10" xfId="14240"/>
    <cellStyle name="Comma 2 3 5 9 10 2" xfId="14241"/>
    <cellStyle name="Comma 2 3 5 9 11" xfId="14242"/>
    <cellStyle name="Comma 2 3 5 9 11 2" xfId="14243"/>
    <cellStyle name="Comma 2 3 5 9 12" xfId="14244"/>
    <cellStyle name="Comma 2 3 5 9 2" xfId="14245"/>
    <cellStyle name="Comma 2 3 5 9 2 2" xfId="14246"/>
    <cellStyle name="Comma 2 3 5 9 3" xfId="14247"/>
    <cellStyle name="Comma 2 3 5 9 3 2" xfId="14248"/>
    <cellStyle name="Comma 2 3 5 9 4" xfId="14249"/>
    <cellStyle name="Comma 2 3 5 9 4 2" xfId="14250"/>
    <cellStyle name="Comma 2 3 5 9 5" xfId="14251"/>
    <cellStyle name="Comma 2 3 5 9 5 2" xfId="14252"/>
    <cellStyle name="Comma 2 3 5 9 6" xfId="14253"/>
    <cellStyle name="Comma 2 3 5 9 6 2" xfId="14254"/>
    <cellStyle name="Comma 2 3 5 9 7" xfId="14255"/>
    <cellStyle name="Comma 2 3 5 9 7 2" xfId="14256"/>
    <cellStyle name="Comma 2 3 5 9 8" xfId="14257"/>
    <cellStyle name="Comma 2 3 5 9 8 2" xfId="14258"/>
    <cellStyle name="Comma 2 3 5 9 9" xfId="14259"/>
    <cellStyle name="Comma 2 3 5 9 9 2" xfId="14260"/>
    <cellStyle name="Comma 2 3 50" xfId="14261"/>
    <cellStyle name="Comma 2 3 50 2" xfId="14262"/>
    <cellStyle name="Comma 2 3 51" xfId="14263"/>
    <cellStyle name="Comma 2 3 51 2" xfId="14264"/>
    <cellStyle name="Comma 2 3 52" xfId="14265"/>
    <cellStyle name="Comma 2 3 52 2" xfId="14266"/>
    <cellStyle name="Comma 2 3 53" xfId="14267"/>
    <cellStyle name="Comma 2 3 53 2" xfId="14268"/>
    <cellStyle name="Comma 2 3 54" xfId="14269"/>
    <cellStyle name="Comma 2 3 54 2" xfId="14270"/>
    <cellStyle name="Comma 2 3 55" xfId="14271"/>
    <cellStyle name="Comma 2 3 55 2" xfId="14272"/>
    <cellStyle name="Comma 2 3 56" xfId="14273"/>
    <cellStyle name="Comma 2 3 56 2" xfId="14274"/>
    <cellStyle name="Comma 2 3 57" xfId="14275"/>
    <cellStyle name="Comma 2 3 58" xfId="35950"/>
    <cellStyle name="Comma 2 3 6" xfId="14276"/>
    <cellStyle name="Comma 2 3 6 10" xfId="14277"/>
    <cellStyle name="Comma 2 3 6 10 10" xfId="14278"/>
    <cellStyle name="Comma 2 3 6 10 10 2" xfId="14279"/>
    <cellStyle name="Comma 2 3 6 10 11" xfId="14280"/>
    <cellStyle name="Comma 2 3 6 10 11 2" xfId="14281"/>
    <cellStyle name="Comma 2 3 6 10 12" xfId="14282"/>
    <cellStyle name="Comma 2 3 6 10 2" xfId="14283"/>
    <cellStyle name="Comma 2 3 6 10 2 2" xfId="14284"/>
    <cellStyle name="Comma 2 3 6 10 3" xfId="14285"/>
    <cellStyle name="Comma 2 3 6 10 3 2" xfId="14286"/>
    <cellStyle name="Comma 2 3 6 10 4" xfId="14287"/>
    <cellStyle name="Comma 2 3 6 10 4 2" xfId="14288"/>
    <cellStyle name="Comma 2 3 6 10 5" xfId="14289"/>
    <cellStyle name="Comma 2 3 6 10 5 2" xfId="14290"/>
    <cellStyle name="Comma 2 3 6 10 6" xfId="14291"/>
    <cellStyle name="Comma 2 3 6 10 6 2" xfId="14292"/>
    <cellStyle name="Comma 2 3 6 10 7" xfId="14293"/>
    <cellStyle name="Comma 2 3 6 10 7 2" xfId="14294"/>
    <cellStyle name="Comma 2 3 6 10 8" xfId="14295"/>
    <cellStyle name="Comma 2 3 6 10 8 2" xfId="14296"/>
    <cellStyle name="Comma 2 3 6 10 9" xfId="14297"/>
    <cellStyle name="Comma 2 3 6 10 9 2" xfId="14298"/>
    <cellStyle name="Comma 2 3 6 11" xfId="14299"/>
    <cellStyle name="Comma 2 3 6 11 10" xfId="14300"/>
    <cellStyle name="Comma 2 3 6 11 10 2" xfId="14301"/>
    <cellStyle name="Comma 2 3 6 11 11" xfId="14302"/>
    <cellStyle name="Comma 2 3 6 11 11 2" xfId="14303"/>
    <cellStyle name="Comma 2 3 6 11 12" xfId="14304"/>
    <cellStyle name="Comma 2 3 6 11 2" xfId="14305"/>
    <cellStyle name="Comma 2 3 6 11 2 2" xfId="14306"/>
    <cellStyle name="Comma 2 3 6 11 3" xfId="14307"/>
    <cellStyle name="Comma 2 3 6 11 3 2" xfId="14308"/>
    <cellStyle name="Comma 2 3 6 11 4" xfId="14309"/>
    <cellStyle name="Comma 2 3 6 11 4 2" xfId="14310"/>
    <cellStyle name="Comma 2 3 6 11 5" xfId="14311"/>
    <cellStyle name="Comma 2 3 6 11 5 2" xfId="14312"/>
    <cellStyle name="Comma 2 3 6 11 6" xfId="14313"/>
    <cellStyle name="Comma 2 3 6 11 6 2" xfId="14314"/>
    <cellStyle name="Comma 2 3 6 11 7" xfId="14315"/>
    <cellStyle name="Comma 2 3 6 11 7 2" xfId="14316"/>
    <cellStyle name="Comma 2 3 6 11 8" xfId="14317"/>
    <cellStyle name="Comma 2 3 6 11 8 2" xfId="14318"/>
    <cellStyle name="Comma 2 3 6 11 9" xfId="14319"/>
    <cellStyle name="Comma 2 3 6 11 9 2" xfId="14320"/>
    <cellStyle name="Comma 2 3 6 12" xfId="14321"/>
    <cellStyle name="Comma 2 3 6 12 10" xfId="14322"/>
    <cellStyle name="Comma 2 3 6 12 10 2" xfId="14323"/>
    <cellStyle name="Comma 2 3 6 12 11" xfId="14324"/>
    <cellStyle name="Comma 2 3 6 12 11 2" xfId="14325"/>
    <cellStyle name="Comma 2 3 6 12 12" xfId="14326"/>
    <cellStyle name="Comma 2 3 6 12 2" xfId="14327"/>
    <cellStyle name="Comma 2 3 6 12 2 2" xfId="14328"/>
    <cellStyle name="Comma 2 3 6 12 3" xfId="14329"/>
    <cellStyle name="Comma 2 3 6 12 3 2" xfId="14330"/>
    <cellStyle name="Comma 2 3 6 12 4" xfId="14331"/>
    <cellStyle name="Comma 2 3 6 12 4 2" xfId="14332"/>
    <cellStyle name="Comma 2 3 6 12 5" xfId="14333"/>
    <cellStyle name="Comma 2 3 6 12 5 2" xfId="14334"/>
    <cellStyle name="Comma 2 3 6 12 6" xfId="14335"/>
    <cellStyle name="Comma 2 3 6 12 6 2" xfId="14336"/>
    <cellStyle name="Comma 2 3 6 12 7" xfId="14337"/>
    <cellStyle name="Comma 2 3 6 12 7 2" xfId="14338"/>
    <cellStyle name="Comma 2 3 6 12 8" xfId="14339"/>
    <cellStyle name="Comma 2 3 6 12 8 2" xfId="14340"/>
    <cellStyle name="Comma 2 3 6 12 9" xfId="14341"/>
    <cellStyle name="Comma 2 3 6 12 9 2" xfId="14342"/>
    <cellStyle name="Comma 2 3 6 13" xfId="14343"/>
    <cellStyle name="Comma 2 3 6 13 10" xfId="14344"/>
    <cellStyle name="Comma 2 3 6 13 10 2" xfId="14345"/>
    <cellStyle name="Comma 2 3 6 13 11" xfId="14346"/>
    <cellStyle name="Comma 2 3 6 13 11 2" xfId="14347"/>
    <cellStyle name="Comma 2 3 6 13 12" xfId="14348"/>
    <cellStyle name="Comma 2 3 6 13 2" xfId="14349"/>
    <cellStyle name="Comma 2 3 6 13 2 2" xfId="14350"/>
    <cellStyle name="Comma 2 3 6 13 3" xfId="14351"/>
    <cellStyle name="Comma 2 3 6 13 3 2" xfId="14352"/>
    <cellStyle name="Comma 2 3 6 13 4" xfId="14353"/>
    <cellStyle name="Comma 2 3 6 13 4 2" xfId="14354"/>
    <cellStyle name="Comma 2 3 6 13 5" xfId="14355"/>
    <cellStyle name="Comma 2 3 6 13 5 2" xfId="14356"/>
    <cellStyle name="Comma 2 3 6 13 6" xfId="14357"/>
    <cellStyle name="Comma 2 3 6 13 6 2" xfId="14358"/>
    <cellStyle name="Comma 2 3 6 13 7" xfId="14359"/>
    <cellStyle name="Comma 2 3 6 13 7 2" xfId="14360"/>
    <cellStyle name="Comma 2 3 6 13 8" xfId="14361"/>
    <cellStyle name="Comma 2 3 6 13 8 2" xfId="14362"/>
    <cellStyle name="Comma 2 3 6 13 9" xfId="14363"/>
    <cellStyle name="Comma 2 3 6 13 9 2" xfId="14364"/>
    <cellStyle name="Comma 2 3 6 14" xfId="14365"/>
    <cellStyle name="Comma 2 3 6 14 10" xfId="14366"/>
    <cellStyle name="Comma 2 3 6 14 10 2" xfId="14367"/>
    <cellStyle name="Comma 2 3 6 14 11" xfId="14368"/>
    <cellStyle name="Comma 2 3 6 14 11 2" xfId="14369"/>
    <cellStyle name="Comma 2 3 6 14 12" xfId="14370"/>
    <cellStyle name="Comma 2 3 6 14 2" xfId="14371"/>
    <cellStyle name="Comma 2 3 6 14 2 2" xfId="14372"/>
    <cellStyle name="Comma 2 3 6 14 3" xfId="14373"/>
    <cellStyle name="Comma 2 3 6 14 3 2" xfId="14374"/>
    <cellStyle name="Comma 2 3 6 14 4" xfId="14375"/>
    <cellStyle name="Comma 2 3 6 14 4 2" xfId="14376"/>
    <cellStyle name="Comma 2 3 6 14 5" xfId="14377"/>
    <cellStyle name="Comma 2 3 6 14 5 2" xfId="14378"/>
    <cellStyle name="Comma 2 3 6 14 6" xfId="14379"/>
    <cellStyle name="Comma 2 3 6 14 6 2" xfId="14380"/>
    <cellStyle name="Comma 2 3 6 14 7" xfId="14381"/>
    <cellStyle name="Comma 2 3 6 14 7 2" xfId="14382"/>
    <cellStyle name="Comma 2 3 6 14 8" xfId="14383"/>
    <cellStyle name="Comma 2 3 6 14 8 2" xfId="14384"/>
    <cellStyle name="Comma 2 3 6 14 9" xfId="14385"/>
    <cellStyle name="Comma 2 3 6 14 9 2" xfId="14386"/>
    <cellStyle name="Comma 2 3 6 15" xfId="14387"/>
    <cellStyle name="Comma 2 3 6 15 10" xfId="14388"/>
    <cellStyle name="Comma 2 3 6 15 10 2" xfId="14389"/>
    <cellStyle name="Comma 2 3 6 15 11" xfId="14390"/>
    <cellStyle name="Comma 2 3 6 15 11 2" xfId="14391"/>
    <cellStyle name="Comma 2 3 6 15 12" xfId="14392"/>
    <cellStyle name="Comma 2 3 6 15 2" xfId="14393"/>
    <cellStyle name="Comma 2 3 6 15 2 2" xfId="14394"/>
    <cellStyle name="Comma 2 3 6 15 3" xfId="14395"/>
    <cellStyle name="Comma 2 3 6 15 3 2" xfId="14396"/>
    <cellStyle name="Comma 2 3 6 15 4" xfId="14397"/>
    <cellStyle name="Comma 2 3 6 15 4 2" xfId="14398"/>
    <cellStyle name="Comma 2 3 6 15 5" xfId="14399"/>
    <cellStyle name="Comma 2 3 6 15 5 2" xfId="14400"/>
    <cellStyle name="Comma 2 3 6 15 6" xfId="14401"/>
    <cellStyle name="Comma 2 3 6 15 6 2" xfId="14402"/>
    <cellStyle name="Comma 2 3 6 15 7" xfId="14403"/>
    <cellStyle name="Comma 2 3 6 15 7 2" xfId="14404"/>
    <cellStyle name="Comma 2 3 6 15 8" xfId="14405"/>
    <cellStyle name="Comma 2 3 6 15 8 2" xfId="14406"/>
    <cellStyle name="Comma 2 3 6 15 9" xfId="14407"/>
    <cellStyle name="Comma 2 3 6 15 9 2" xfId="14408"/>
    <cellStyle name="Comma 2 3 6 16" xfId="14409"/>
    <cellStyle name="Comma 2 3 6 16 2" xfId="14410"/>
    <cellStyle name="Comma 2 3 6 17" xfId="14411"/>
    <cellStyle name="Comma 2 3 6 17 2" xfId="14412"/>
    <cellStyle name="Comma 2 3 6 18" xfId="14413"/>
    <cellStyle name="Comma 2 3 6 18 2" xfId="14414"/>
    <cellStyle name="Comma 2 3 6 19" xfId="14415"/>
    <cellStyle name="Comma 2 3 6 19 2" xfId="14416"/>
    <cellStyle name="Comma 2 3 6 2" xfId="14417"/>
    <cellStyle name="Comma 2 3 6 2 10" xfId="14418"/>
    <cellStyle name="Comma 2 3 6 2 10 2" xfId="14419"/>
    <cellStyle name="Comma 2 3 6 2 11" xfId="14420"/>
    <cellStyle name="Comma 2 3 6 2 11 2" xfId="14421"/>
    <cellStyle name="Comma 2 3 6 2 12" xfId="14422"/>
    <cellStyle name="Comma 2 3 6 2 2" xfId="14423"/>
    <cellStyle name="Comma 2 3 6 2 2 2" xfId="14424"/>
    <cellStyle name="Comma 2 3 6 2 3" xfId="14425"/>
    <cellStyle name="Comma 2 3 6 2 3 2" xfId="14426"/>
    <cellStyle name="Comma 2 3 6 2 4" xfId="14427"/>
    <cellStyle name="Comma 2 3 6 2 4 2" xfId="14428"/>
    <cellStyle name="Comma 2 3 6 2 5" xfId="14429"/>
    <cellStyle name="Comma 2 3 6 2 5 2" xfId="14430"/>
    <cellStyle name="Comma 2 3 6 2 6" xfId="14431"/>
    <cellStyle name="Comma 2 3 6 2 6 2" xfId="14432"/>
    <cellStyle name="Comma 2 3 6 2 7" xfId="14433"/>
    <cellStyle name="Comma 2 3 6 2 7 2" xfId="14434"/>
    <cellStyle name="Comma 2 3 6 2 8" xfId="14435"/>
    <cellStyle name="Comma 2 3 6 2 8 2" xfId="14436"/>
    <cellStyle name="Comma 2 3 6 2 9" xfId="14437"/>
    <cellStyle name="Comma 2 3 6 2 9 2" xfId="14438"/>
    <cellStyle name="Comma 2 3 6 20" xfId="14439"/>
    <cellStyle name="Comma 2 3 6 20 2" xfId="14440"/>
    <cellStyle name="Comma 2 3 6 21" xfId="14441"/>
    <cellStyle name="Comma 2 3 6 21 2" xfId="14442"/>
    <cellStyle name="Comma 2 3 6 22" xfId="14443"/>
    <cellStyle name="Comma 2 3 6 22 2" xfId="14444"/>
    <cellStyle name="Comma 2 3 6 23" xfId="14445"/>
    <cellStyle name="Comma 2 3 6 23 2" xfId="14446"/>
    <cellStyle name="Comma 2 3 6 24" xfId="14447"/>
    <cellStyle name="Comma 2 3 6 24 2" xfId="14448"/>
    <cellStyle name="Comma 2 3 6 25" xfId="14449"/>
    <cellStyle name="Comma 2 3 6 25 2" xfId="14450"/>
    <cellStyle name="Comma 2 3 6 26" xfId="14451"/>
    <cellStyle name="Comma 2 3 6 3" xfId="14452"/>
    <cellStyle name="Comma 2 3 6 3 10" xfId="14453"/>
    <cellStyle name="Comma 2 3 6 3 10 2" xfId="14454"/>
    <cellStyle name="Comma 2 3 6 3 11" xfId="14455"/>
    <cellStyle name="Comma 2 3 6 3 11 2" xfId="14456"/>
    <cellStyle name="Comma 2 3 6 3 12" xfId="14457"/>
    <cellStyle name="Comma 2 3 6 3 2" xfId="14458"/>
    <cellStyle name="Comma 2 3 6 3 2 2" xfId="14459"/>
    <cellStyle name="Comma 2 3 6 3 3" xfId="14460"/>
    <cellStyle name="Comma 2 3 6 3 3 2" xfId="14461"/>
    <cellStyle name="Comma 2 3 6 3 4" xfId="14462"/>
    <cellStyle name="Comma 2 3 6 3 4 2" xfId="14463"/>
    <cellStyle name="Comma 2 3 6 3 5" xfId="14464"/>
    <cellStyle name="Comma 2 3 6 3 5 2" xfId="14465"/>
    <cellStyle name="Comma 2 3 6 3 6" xfId="14466"/>
    <cellStyle name="Comma 2 3 6 3 6 2" xfId="14467"/>
    <cellStyle name="Comma 2 3 6 3 7" xfId="14468"/>
    <cellStyle name="Comma 2 3 6 3 7 2" xfId="14469"/>
    <cellStyle name="Comma 2 3 6 3 8" xfId="14470"/>
    <cellStyle name="Comma 2 3 6 3 8 2" xfId="14471"/>
    <cellStyle name="Comma 2 3 6 3 9" xfId="14472"/>
    <cellStyle name="Comma 2 3 6 3 9 2" xfId="14473"/>
    <cellStyle name="Comma 2 3 6 4" xfId="14474"/>
    <cellStyle name="Comma 2 3 6 4 10" xfId="14475"/>
    <cellStyle name="Comma 2 3 6 4 10 2" xfId="14476"/>
    <cellStyle name="Comma 2 3 6 4 11" xfId="14477"/>
    <cellStyle name="Comma 2 3 6 4 11 2" xfId="14478"/>
    <cellStyle name="Comma 2 3 6 4 12" xfId="14479"/>
    <cellStyle name="Comma 2 3 6 4 2" xfId="14480"/>
    <cellStyle name="Comma 2 3 6 4 2 2" xfId="14481"/>
    <cellStyle name="Comma 2 3 6 4 3" xfId="14482"/>
    <cellStyle name="Comma 2 3 6 4 3 2" xfId="14483"/>
    <cellStyle name="Comma 2 3 6 4 4" xfId="14484"/>
    <cellStyle name="Comma 2 3 6 4 4 2" xfId="14485"/>
    <cellStyle name="Comma 2 3 6 4 5" xfId="14486"/>
    <cellStyle name="Comma 2 3 6 4 5 2" xfId="14487"/>
    <cellStyle name="Comma 2 3 6 4 6" xfId="14488"/>
    <cellStyle name="Comma 2 3 6 4 6 2" xfId="14489"/>
    <cellStyle name="Comma 2 3 6 4 7" xfId="14490"/>
    <cellStyle name="Comma 2 3 6 4 7 2" xfId="14491"/>
    <cellStyle name="Comma 2 3 6 4 8" xfId="14492"/>
    <cellStyle name="Comma 2 3 6 4 8 2" xfId="14493"/>
    <cellStyle name="Comma 2 3 6 4 9" xfId="14494"/>
    <cellStyle name="Comma 2 3 6 4 9 2" xfId="14495"/>
    <cellStyle name="Comma 2 3 6 5" xfId="14496"/>
    <cellStyle name="Comma 2 3 6 5 10" xfId="14497"/>
    <cellStyle name="Comma 2 3 6 5 10 2" xfId="14498"/>
    <cellStyle name="Comma 2 3 6 5 11" xfId="14499"/>
    <cellStyle name="Comma 2 3 6 5 11 2" xfId="14500"/>
    <cellStyle name="Comma 2 3 6 5 12" xfId="14501"/>
    <cellStyle name="Comma 2 3 6 5 2" xfId="14502"/>
    <cellStyle name="Comma 2 3 6 5 2 2" xfId="14503"/>
    <cellStyle name="Comma 2 3 6 5 3" xfId="14504"/>
    <cellStyle name="Comma 2 3 6 5 3 2" xfId="14505"/>
    <cellStyle name="Comma 2 3 6 5 4" xfId="14506"/>
    <cellStyle name="Comma 2 3 6 5 4 2" xfId="14507"/>
    <cellStyle name="Comma 2 3 6 5 5" xfId="14508"/>
    <cellStyle name="Comma 2 3 6 5 5 2" xfId="14509"/>
    <cellStyle name="Comma 2 3 6 5 6" xfId="14510"/>
    <cellStyle name="Comma 2 3 6 5 6 2" xfId="14511"/>
    <cellStyle name="Comma 2 3 6 5 7" xfId="14512"/>
    <cellStyle name="Comma 2 3 6 5 7 2" xfId="14513"/>
    <cellStyle name="Comma 2 3 6 5 8" xfId="14514"/>
    <cellStyle name="Comma 2 3 6 5 8 2" xfId="14515"/>
    <cellStyle name="Comma 2 3 6 5 9" xfId="14516"/>
    <cellStyle name="Comma 2 3 6 5 9 2" xfId="14517"/>
    <cellStyle name="Comma 2 3 6 6" xfId="14518"/>
    <cellStyle name="Comma 2 3 6 6 10" xfId="14519"/>
    <cellStyle name="Comma 2 3 6 6 10 2" xfId="14520"/>
    <cellStyle name="Comma 2 3 6 6 11" xfId="14521"/>
    <cellStyle name="Comma 2 3 6 6 11 2" xfId="14522"/>
    <cellStyle name="Comma 2 3 6 6 12" xfId="14523"/>
    <cellStyle name="Comma 2 3 6 6 2" xfId="14524"/>
    <cellStyle name="Comma 2 3 6 6 2 2" xfId="14525"/>
    <cellStyle name="Comma 2 3 6 6 3" xfId="14526"/>
    <cellStyle name="Comma 2 3 6 6 3 2" xfId="14527"/>
    <cellStyle name="Comma 2 3 6 6 4" xfId="14528"/>
    <cellStyle name="Comma 2 3 6 6 4 2" xfId="14529"/>
    <cellStyle name="Comma 2 3 6 6 5" xfId="14530"/>
    <cellStyle name="Comma 2 3 6 6 5 2" xfId="14531"/>
    <cellStyle name="Comma 2 3 6 6 6" xfId="14532"/>
    <cellStyle name="Comma 2 3 6 6 6 2" xfId="14533"/>
    <cellStyle name="Comma 2 3 6 6 7" xfId="14534"/>
    <cellStyle name="Comma 2 3 6 6 7 2" xfId="14535"/>
    <cellStyle name="Comma 2 3 6 6 8" xfId="14536"/>
    <cellStyle name="Comma 2 3 6 6 8 2" xfId="14537"/>
    <cellStyle name="Comma 2 3 6 6 9" xfId="14538"/>
    <cellStyle name="Comma 2 3 6 6 9 2" xfId="14539"/>
    <cellStyle name="Comma 2 3 6 7" xfId="14540"/>
    <cellStyle name="Comma 2 3 6 7 10" xfId="14541"/>
    <cellStyle name="Comma 2 3 6 7 10 2" xfId="14542"/>
    <cellStyle name="Comma 2 3 6 7 11" xfId="14543"/>
    <cellStyle name="Comma 2 3 6 7 11 2" xfId="14544"/>
    <cellStyle name="Comma 2 3 6 7 12" xfId="14545"/>
    <cellStyle name="Comma 2 3 6 7 2" xfId="14546"/>
    <cellStyle name="Comma 2 3 6 7 2 2" xfId="14547"/>
    <cellStyle name="Comma 2 3 6 7 3" xfId="14548"/>
    <cellStyle name="Comma 2 3 6 7 3 2" xfId="14549"/>
    <cellStyle name="Comma 2 3 6 7 4" xfId="14550"/>
    <cellStyle name="Comma 2 3 6 7 4 2" xfId="14551"/>
    <cellStyle name="Comma 2 3 6 7 5" xfId="14552"/>
    <cellStyle name="Comma 2 3 6 7 5 2" xfId="14553"/>
    <cellStyle name="Comma 2 3 6 7 6" xfId="14554"/>
    <cellStyle name="Comma 2 3 6 7 6 2" xfId="14555"/>
    <cellStyle name="Comma 2 3 6 7 7" xfId="14556"/>
    <cellStyle name="Comma 2 3 6 7 7 2" xfId="14557"/>
    <cellStyle name="Comma 2 3 6 7 8" xfId="14558"/>
    <cellStyle name="Comma 2 3 6 7 8 2" xfId="14559"/>
    <cellStyle name="Comma 2 3 6 7 9" xfId="14560"/>
    <cellStyle name="Comma 2 3 6 7 9 2" xfId="14561"/>
    <cellStyle name="Comma 2 3 6 8" xfId="14562"/>
    <cellStyle name="Comma 2 3 6 8 10" xfId="14563"/>
    <cellStyle name="Comma 2 3 6 8 10 2" xfId="14564"/>
    <cellStyle name="Comma 2 3 6 8 11" xfId="14565"/>
    <cellStyle name="Comma 2 3 6 8 11 2" xfId="14566"/>
    <cellStyle name="Comma 2 3 6 8 12" xfId="14567"/>
    <cellStyle name="Comma 2 3 6 8 2" xfId="14568"/>
    <cellStyle name="Comma 2 3 6 8 2 2" xfId="14569"/>
    <cellStyle name="Comma 2 3 6 8 3" xfId="14570"/>
    <cellStyle name="Comma 2 3 6 8 3 2" xfId="14571"/>
    <cellStyle name="Comma 2 3 6 8 4" xfId="14572"/>
    <cellStyle name="Comma 2 3 6 8 4 2" xfId="14573"/>
    <cellStyle name="Comma 2 3 6 8 5" xfId="14574"/>
    <cellStyle name="Comma 2 3 6 8 5 2" xfId="14575"/>
    <cellStyle name="Comma 2 3 6 8 6" xfId="14576"/>
    <cellStyle name="Comma 2 3 6 8 6 2" xfId="14577"/>
    <cellStyle name="Comma 2 3 6 8 7" xfId="14578"/>
    <cellStyle name="Comma 2 3 6 8 7 2" xfId="14579"/>
    <cellStyle name="Comma 2 3 6 8 8" xfId="14580"/>
    <cellStyle name="Comma 2 3 6 8 8 2" xfId="14581"/>
    <cellStyle name="Comma 2 3 6 8 9" xfId="14582"/>
    <cellStyle name="Comma 2 3 6 8 9 2" xfId="14583"/>
    <cellStyle name="Comma 2 3 6 9" xfId="14584"/>
    <cellStyle name="Comma 2 3 6 9 10" xfId="14585"/>
    <cellStyle name="Comma 2 3 6 9 10 2" xfId="14586"/>
    <cellStyle name="Comma 2 3 6 9 11" xfId="14587"/>
    <cellStyle name="Comma 2 3 6 9 11 2" xfId="14588"/>
    <cellStyle name="Comma 2 3 6 9 12" xfId="14589"/>
    <cellStyle name="Comma 2 3 6 9 2" xfId="14590"/>
    <cellStyle name="Comma 2 3 6 9 2 2" xfId="14591"/>
    <cellStyle name="Comma 2 3 6 9 3" xfId="14592"/>
    <cellStyle name="Comma 2 3 6 9 3 2" xfId="14593"/>
    <cellStyle name="Comma 2 3 6 9 4" xfId="14594"/>
    <cellStyle name="Comma 2 3 6 9 4 2" xfId="14595"/>
    <cellStyle name="Comma 2 3 6 9 5" xfId="14596"/>
    <cellStyle name="Comma 2 3 6 9 5 2" xfId="14597"/>
    <cellStyle name="Comma 2 3 6 9 6" xfId="14598"/>
    <cellStyle name="Comma 2 3 6 9 6 2" xfId="14599"/>
    <cellStyle name="Comma 2 3 6 9 7" xfId="14600"/>
    <cellStyle name="Comma 2 3 6 9 7 2" xfId="14601"/>
    <cellStyle name="Comma 2 3 6 9 8" xfId="14602"/>
    <cellStyle name="Comma 2 3 6 9 8 2" xfId="14603"/>
    <cellStyle name="Comma 2 3 6 9 9" xfId="14604"/>
    <cellStyle name="Comma 2 3 6 9 9 2" xfId="14605"/>
    <cellStyle name="Comma 2 3 7" xfId="14606"/>
    <cellStyle name="Comma 2 3 7 10" xfId="14607"/>
    <cellStyle name="Comma 2 3 7 10 2" xfId="14608"/>
    <cellStyle name="Comma 2 3 7 11" xfId="14609"/>
    <cellStyle name="Comma 2 3 7 11 2" xfId="14610"/>
    <cellStyle name="Comma 2 3 7 12" xfId="14611"/>
    <cellStyle name="Comma 2 3 7 2" xfId="14612"/>
    <cellStyle name="Comma 2 3 7 2 2" xfId="14613"/>
    <cellStyle name="Comma 2 3 7 3" xfId="14614"/>
    <cellStyle name="Comma 2 3 7 3 2" xfId="14615"/>
    <cellStyle name="Comma 2 3 7 4" xfId="14616"/>
    <cellStyle name="Comma 2 3 7 4 2" xfId="14617"/>
    <cellStyle name="Comma 2 3 7 5" xfId="14618"/>
    <cellStyle name="Comma 2 3 7 5 2" xfId="14619"/>
    <cellStyle name="Comma 2 3 7 6" xfId="14620"/>
    <cellStyle name="Comma 2 3 7 6 2" xfId="14621"/>
    <cellStyle name="Comma 2 3 7 7" xfId="14622"/>
    <cellStyle name="Comma 2 3 7 7 2" xfId="14623"/>
    <cellStyle name="Comma 2 3 7 8" xfId="14624"/>
    <cellStyle name="Comma 2 3 7 8 2" xfId="14625"/>
    <cellStyle name="Comma 2 3 7 9" xfId="14626"/>
    <cellStyle name="Comma 2 3 7 9 2" xfId="14627"/>
    <cellStyle name="Comma 2 3 8" xfId="14628"/>
    <cellStyle name="Comma 2 3 8 10" xfId="14629"/>
    <cellStyle name="Comma 2 3 8 10 2" xfId="14630"/>
    <cellStyle name="Comma 2 3 8 11" xfId="14631"/>
    <cellStyle name="Comma 2 3 8 11 2" xfId="14632"/>
    <cellStyle name="Comma 2 3 8 12" xfId="14633"/>
    <cellStyle name="Comma 2 3 8 2" xfId="14634"/>
    <cellStyle name="Comma 2 3 8 2 2" xfId="14635"/>
    <cellStyle name="Comma 2 3 8 3" xfId="14636"/>
    <cellStyle name="Comma 2 3 8 3 2" xfId="14637"/>
    <cellStyle name="Comma 2 3 8 4" xfId="14638"/>
    <cellStyle name="Comma 2 3 8 4 2" xfId="14639"/>
    <cellStyle name="Comma 2 3 8 5" xfId="14640"/>
    <cellStyle name="Comma 2 3 8 5 2" xfId="14641"/>
    <cellStyle name="Comma 2 3 8 6" xfId="14642"/>
    <cellStyle name="Comma 2 3 8 6 2" xfId="14643"/>
    <cellStyle name="Comma 2 3 8 7" xfId="14644"/>
    <cellStyle name="Comma 2 3 8 7 2" xfId="14645"/>
    <cellStyle name="Comma 2 3 8 8" xfId="14646"/>
    <cellStyle name="Comma 2 3 8 8 2" xfId="14647"/>
    <cellStyle name="Comma 2 3 8 9" xfId="14648"/>
    <cellStyle name="Comma 2 3 8 9 2" xfId="14649"/>
    <cellStyle name="Comma 2 3 9" xfId="14650"/>
    <cellStyle name="Comma 2 3 9 10" xfId="14651"/>
    <cellStyle name="Comma 2 3 9 10 2" xfId="14652"/>
    <cellStyle name="Comma 2 3 9 11" xfId="14653"/>
    <cellStyle name="Comma 2 3 9 11 2" xfId="14654"/>
    <cellStyle name="Comma 2 3 9 12" xfId="14655"/>
    <cellStyle name="Comma 2 3 9 2" xfId="14656"/>
    <cellStyle name="Comma 2 3 9 2 2" xfId="14657"/>
    <cellStyle name="Comma 2 3 9 3" xfId="14658"/>
    <cellStyle name="Comma 2 3 9 3 2" xfId="14659"/>
    <cellStyle name="Comma 2 3 9 4" xfId="14660"/>
    <cellStyle name="Comma 2 3 9 4 2" xfId="14661"/>
    <cellStyle name="Comma 2 3 9 5" xfId="14662"/>
    <cellStyle name="Comma 2 3 9 5 2" xfId="14663"/>
    <cellStyle name="Comma 2 3 9 6" xfId="14664"/>
    <cellStyle name="Comma 2 3 9 6 2" xfId="14665"/>
    <cellStyle name="Comma 2 3 9 7" xfId="14666"/>
    <cellStyle name="Comma 2 3 9 7 2" xfId="14667"/>
    <cellStyle name="Comma 2 3 9 8" xfId="14668"/>
    <cellStyle name="Comma 2 3 9 8 2" xfId="14669"/>
    <cellStyle name="Comma 2 3 9 9" xfId="14670"/>
    <cellStyle name="Comma 2 3 9 9 2" xfId="14671"/>
    <cellStyle name="Comma 2 3_consumption scenario A" xfId="37623"/>
    <cellStyle name="Comma 2 4" xfId="14672"/>
    <cellStyle name="Comma 2 4 10" xfId="14673"/>
    <cellStyle name="Comma 2 4 10 10" xfId="14674"/>
    <cellStyle name="Comma 2 4 10 10 2" xfId="14675"/>
    <cellStyle name="Comma 2 4 10 11" xfId="14676"/>
    <cellStyle name="Comma 2 4 10 11 2" xfId="14677"/>
    <cellStyle name="Comma 2 4 10 12" xfId="14678"/>
    <cellStyle name="Comma 2 4 10 2" xfId="14679"/>
    <cellStyle name="Comma 2 4 10 2 2" xfId="14680"/>
    <cellStyle name="Comma 2 4 10 3" xfId="14681"/>
    <cellStyle name="Comma 2 4 10 3 2" xfId="14682"/>
    <cellStyle name="Comma 2 4 10 4" xfId="14683"/>
    <cellStyle name="Comma 2 4 10 4 2" xfId="14684"/>
    <cellStyle name="Comma 2 4 10 5" xfId="14685"/>
    <cellStyle name="Comma 2 4 10 5 2" xfId="14686"/>
    <cellStyle name="Comma 2 4 10 6" xfId="14687"/>
    <cellStyle name="Comma 2 4 10 6 2" xfId="14688"/>
    <cellStyle name="Comma 2 4 10 7" xfId="14689"/>
    <cellStyle name="Comma 2 4 10 7 2" xfId="14690"/>
    <cellStyle name="Comma 2 4 10 8" xfId="14691"/>
    <cellStyle name="Comma 2 4 10 8 2" xfId="14692"/>
    <cellStyle name="Comma 2 4 10 9" xfId="14693"/>
    <cellStyle name="Comma 2 4 10 9 2" xfId="14694"/>
    <cellStyle name="Comma 2 4 11" xfId="14695"/>
    <cellStyle name="Comma 2 4 11 10" xfId="14696"/>
    <cellStyle name="Comma 2 4 11 10 2" xfId="14697"/>
    <cellStyle name="Comma 2 4 11 11" xfId="14698"/>
    <cellStyle name="Comma 2 4 11 11 2" xfId="14699"/>
    <cellStyle name="Comma 2 4 11 12" xfId="14700"/>
    <cellStyle name="Comma 2 4 11 2" xfId="14701"/>
    <cellStyle name="Comma 2 4 11 2 2" xfId="14702"/>
    <cellStyle name="Comma 2 4 11 3" xfId="14703"/>
    <cellStyle name="Comma 2 4 11 3 2" xfId="14704"/>
    <cellStyle name="Comma 2 4 11 4" xfId="14705"/>
    <cellStyle name="Comma 2 4 11 4 2" xfId="14706"/>
    <cellStyle name="Comma 2 4 11 5" xfId="14707"/>
    <cellStyle name="Comma 2 4 11 5 2" xfId="14708"/>
    <cellStyle name="Comma 2 4 11 6" xfId="14709"/>
    <cellStyle name="Comma 2 4 11 6 2" xfId="14710"/>
    <cellStyle name="Comma 2 4 11 7" xfId="14711"/>
    <cellStyle name="Comma 2 4 11 7 2" xfId="14712"/>
    <cellStyle name="Comma 2 4 11 8" xfId="14713"/>
    <cellStyle name="Comma 2 4 11 8 2" xfId="14714"/>
    <cellStyle name="Comma 2 4 11 9" xfId="14715"/>
    <cellStyle name="Comma 2 4 11 9 2" xfId="14716"/>
    <cellStyle name="Comma 2 4 12" xfId="14717"/>
    <cellStyle name="Comma 2 4 12 10" xfId="14718"/>
    <cellStyle name="Comma 2 4 12 10 2" xfId="14719"/>
    <cellStyle name="Comma 2 4 12 11" xfId="14720"/>
    <cellStyle name="Comma 2 4 12 11 2" xfId="14721"/>
    <cellStyle name="Comma 2 4 12 12" xfId="14722"/>
    <cellStyle name="Comma 2 4 12 2" xfId="14723"/>
    <cellStyle name="Comma 2 4 12 2 2" xfId="14724"/>
    <cellStyle name="Comma 2 4 12 3" xfId="14725"/>
    <cellStyle name="Comma 2 4 12 3 2" xfId="14726"/>
    <cellStyle name="Comma 2 4 12 4" xfId="14727"/>
    <cellStyle name="Comma 2 4 12 4 2" xfId="14728"/>
    <cellStyle name="Comma 2 4 12 5" xfId="14729"/>
    <cellStyle name="Comma 2 4 12 5 2" xfId="14730"/>
    <cellStyle name="Comma 2 4 12 6" xfId="14731"/>
    <cellStyle name="Comma 2 4 12 6 2" xfId="14732"/>
    <cellStyle name="Comma 2 4 12 7" xfId="14733"/>
    <cellStyle name="Comma 2 4 12 7 2" xfId="14734"/>
    <cellStyle name="Comma 2 4 12 8" xfId="14735"/>
    <cellStyle name="Comma 2 4 12 8 2" xfId="14736"/>
    <cellStyle name="Comma 2 4 12 9" xfId="14737"/>
    <cellStyle name="Comma 2 4 12 9 2" xfId="14738"/>
    <cellStyle name="Comma 2 4 13" xfId="14739"/>
    <cellStyle name="Comma 2 4 13 10" xfId="14740"/>
    <cellStyle name="Comma 2 4 13 10 2" xfId="14741"/>
    <cellStyle name="Comma 2 4 13 11" xfId="14742"/>
    <cellStyle name="Comma 2 4 13 11 2" xfId="14743"/>
    <cellStyle name="Comma 2 4 13 12" xfId="14744"/>
    <cellStyle name="Comma 2 4 13 2" xfId="14745"/>
    <cellStyle name="Comma 2 4 13 2 2" xfId="14746"/>
    <cellStyle name="Comma 2 4 13 3" xfId="14747"/>
    <cellStyle name="Comma 2 4 13 3 2" xfId="14748"/>
    <cellStyle name="Comma 2 4 13 4" xfId="14749"/>
    <cellStyle name="Comma 2 4 13 4 2" xfId="14750"/>
    <cellStyle name="Comma 2 4 13 5" xfId="14751"/>
    <cellStyle name="Comma 2 4 13 5 2" xfId="14752"/>
    <cellStyle name="Comma 2 4 13 6" xfId="14753"/>
    <cellStyle name="Comma 2 4 13 6 2" xfId="14754"/>
    <cellStyle name="Comma 2 4 13 7" xfId="14755"/>
    <cellStyle name="Comma 2 4 13 7 2" xfId="14756"/>
    <cellStyle name="Comma 2 4 13 8" xfId="14757"/>
    <cellStyle name="Comma 2 4 13 8 2" xfId="14758"/>
    <cellStyle name="Comma 2 4 13 9" xfId="14759"/>
    <cellStyle name="Comma 2 4 13 9 2" xfId="14760"/>
    <cellStyle name="Comma 2 4 14" xfId="14761"/>
    <cellStyle name="Comma 2 4 14 10" xfId="14762"/>
    <cellStyle name="Comma 2 4 14 10 2" xfId="14763"/>
    <cellStyle name="Comma 2 4 14 11" xfId="14764"/>
    <cellStyle name="Comma 2 4 14 11 2" xfId="14765"/>
    <cellStyle name="Comma 2 4 14 12" xfId="14766"/>
    <cellStyle name="Comma 2 4 14 2" xfId="14767"/>
    <cellStyle name="Comma 2 4 14 2 2" xfId="14768"/>
    <cellStyle name="Comma 2 4 14 3" xfId="14769"/>
    <cellStyle name="Comma 2 4 14 3 2" xfId="14770"/>
    <cellStyle name="Comma 2 4 14 4" xfId="14771"/>
    <cellStyle name="Comma 2 4 14 4 2" xfId="14772"/>
    <cellStyle name="Comma 2 4 14 5" xfId="14773"/>
    <cellStyle name="Comma 2 4 14 5 2" xfId="14774"/>
    <cellStyle name="Comma 2 4 14 6" xfId="14775"/>
    <cellStyle name="Comma 2 4 14 6 2" xfId="14776"/>
    <cellStyle name="Comma 2 4 14 7" xfId="14777"/>
    <cellStyle name="Comma 2 4 14 7 2" xfId="14778"/>
    <cellStyle name="Comma 2 4 14 8" xfId="14779"/>
    <cellStyle name="Comma 2 4 14 8 2" xfId="14780"/>
    <cellStyle name="Comma 2 4 14 9" xfId="14781"/>
    <cellStyle name="Comma 2 4 14 9 2" xfId="14782"/>
    <cellStyle name="Comma 2 4 15" xfId="14783"/>
    <cellStyle name="Comma 2 4 15 10" xfId="14784"/>
    <cellStyle name="Comma 2 4 15 10 2" xfId="14785"/>
    <cellStyle name="Comma 2 4 15 11" xfId="14786"/>
    <cellStyle name="Comma 2 4 15 11 2" xfId="14787"/>
    <cellStyle name="Comma 2 4 15 12" xfId="14788"/>
    <cellStyle name="Comma 2 4 15 2" xfId="14789"/>
    <cellStyle name="Comma 2 4 15 2 2" xfId="14790"/>
    <cellStyle name="Comma 2 4 15 3" xfId="14791"/>
    <cellStyle name="Comma 2 4 15 3 2" xfId="14792"/>
    <cellStyle name="Comma 2 4 15 4" xfId="14793"/>
    <cellStyle name="Comma 2 4 15 4 2" xfId="14794"/>
    <cellStyle name="Comma 2 4 15 5" xfId="14795"/>
    <cellStyle name="Comma 2 4 15 5 2" xfId="14796"/>
    <cellStyle name="Comma 2 4 15 6" xfId="14797"/>
    <cellStyle name="Comma 2 4 15 6 2" xfId="14798"/>
    <cellStyle name="Comma 2 4 15 7" xfId="14799"/>
    <cellStyle name="Comma 2 4 15 7 2" xfId="14800"/>
    <cellStyle name="Comma 2 4 15 8" xfId="14801"/>
    <cellStyle name="Comma 2 4 15 8 2" xfId="14802"/>
    <cellStyle name="Comma 2 4 15 9" xfId="14803"/>
    <cellStyle name="Comma 2 4 15 9 2" xfId="14804"/>
    <cellStyle name="Comma 2 4 16" xfId="14805"/>
    <cellStyle name="Comma 2 4 16 10" xfId="14806"/>
    <cellStyle name="Comma 2 4 16 10 2" xfId="14807"/>
    <cellStyle name="Comma 2 4 16 11" xfId="14808"/>
    <cellStyle name="Comma 2 4 16 11 2" xfId="14809"/>
    <cellStyle name="Comma 2 4 16 12" xfId="14810"/>
    <cellStyle name="Comma 2 4 16 2" xfId="14811"/>
    <cellStyle name="Comma 2 4 16 2 2" xfId="14812"/>
    <cellStyle name="Comma 2 4 16 3" xfId="14813"/>
    <cellStyle name="Comma 2 4 16 3 2" xfId="14814"/>
    <cellStyle name="Comma 2 4 16 4" xfId="14815"/>
    <cellStyle name="Comma 2 4 16 4 2" xfId="14816"/>
    <cellStyle name="Comma 2 4 16 5" xfId="14817"/>
    <cellStyle name="Comma 2 4 16 5 2" xfId="14818"/>
    <cellStyle name="Comma 2 4 16 6" xfId="14819"/>
    <cellStyle name="Comma 2 4 16 6 2" xfId="14820"/>
    <cellStyle name="Comma 2 4 16 7" xfId="14821"/>
    <cellStyle name="Comma 2 4 16 7 2" xfId="14822"/>
    <cellStyle name="Comma 2 4 16 8" xfId="14823"/>
    <cellStyle name="Comma 2 4 16 8 2" xfId="14824"/>
    <cellStyle name="Comma 2 4 16 9" xfId="14825"/>
    <cellStyle name="Comma 2 4 16 9 2" xfId="14826"/>
    <cellStyle name="Comma 2 4 17" xfId="14827"/>
    <cellStyle name="Comma 2 4 17 10" xfId="14828"/>
    <cellStyle name="Comma 2 4 17 10 2" xfId="14829"/>
    <cellStyle name="Comma 2 4 17 11" xfId="14830"/>
    <cellStyle name="Comma 2 4 17 11 2" xfId="14831"/>
    <cellStyle name="Comma 2 4 17 12" xfId="14832"/>
    <cellStyle name="Comma 2 4 17 2" xfId="14833"/>
    <cellStyle name="Comma 2 4 17 2 2" xfId="14834"/>
    <cellStyle name="Comma 2 4 17 3" xfId="14835"/>
    <cellStyle name="Comma 2 4 17 3 2" xfId="14836"/>
    <cellStyle name="Comma 2 4 17 4" xfId="14837"/>
    <cellStyle name="Comma 2 4 17 4 2" xfId="14838"/>
    <cellStyle name="Comma 2 4 17 5" xfId="14839"/>
    <cellStyle name="Comma 2 4 17 5 2" xfId="14840"/>
    <cellStyle name="Comma 2 4 17 6" xfId="14841"/>
    <cellStyle name="Comma 2 4 17 6 2" xfId="14842"/>
    <cellStyle name="Comma 2 4 17 7" xfId="14843"/>
    <cellStyle name="Comma 2 4 17 7 2" xfId="14844"/>
    <cellStyle name="Comma 2 4 17 8" xfId="14845"/>
    <cellStyle name="Comma 2 4 17 8 2" xfId="14846"/>
    <cellStyle name="Comma 2 4 17 9" xfId="14847"/>
    <cellStyle name="Comma 2 4 17 9 2" xfId="14848"/>
    <cellStyle name="Comma 2 4 18" xfId="14849"/>
    <cellStyle name="Comma 2 4 18 10" xfId="14850"/>
    <cellStyle name="Comma 2 4 18 10 2" xfId="14851"/>
    <cellStyle name="Comma 2 4 18 11" xfId="14852"/>
    <cellStyle name="Comma 2 4 18 11 2" xfId="14853"/>
    <cellStyle name="Comma 2 4 18 12" xfId="14854"/>
    <cellStyle name="Comma 2 4 18 2" xfId="14855"/>
    <cellStyle name="Comma 2 4 18 2 2" xfId="14856"/>
    <cellStyle name="Comma 2 4 18 3" xfId="14857"/>
    <cellStyle name="Comma 2 4 18 3 2" xfId="14858"/>
    <cellStyle name="Comma 2 4 18 4" xfId="14859"/>
    <cellStyle name="Comma 2 4 18 4 2" xfId="14860"/>
    <cellStyle name="Comma 2 4 18 5" xfId="14861"/>
    <cellStyle name="Comma 2 4 18 5 2" xfId="14862"/>
    <cellStyle name="Comma 2 4 18 6" xfId="14863"/>
    <cellStyle name="Comma 2 4 18 6 2" xfId="14864"/>
    <cellStyle name="Comma 2 4 18 7" xfId="14865"/>
    <cellStyle name="Comma 2 4 18 7 2" xfId="14866"/>
    <cellStyle name="Comma 2 4 18 8" xfId="14867"/>
    <cellStyle name="Comma 2 4 18 8 2" xfId="14868"/>
    <cellStyle name="Comma 2 4 18 9" xfId="14869"/>
    <cellStyle name="Comma 2 4 18 9 2" xfId="14870"/>
    <cellStyle name="Comma 2 4 19" xfId="14871"/>
    <cellStyle name="Comma 2 4 19 10" xfId="14872"/>
    <cellStyle name="Comma 2 4 19 10 2" xfId="14873"/>
    <cellStyle name="Comma 2 4 19 11" xfId="14874"/>
    <cellStyle name="Comma 2 4 19 11 2" xfId="14875"/>
    <cellStyle name="Comma 2 4 19 12" xfId="14876"/>
    <cellStyle name="Comma 2 4 19 2" xfId="14877"/>
    <cellStyle name="Comma 2 4 19 2 2" xfId="14878"/>
    <cellStyle name="Comma 2 4 19 3" xfId="14879"/>
    <cellStyle name="Comma 2 4 19 3 2" xfId="14880"/>
    <cellStyle name="Comma 2 4 19 4" xfId="14881"/>
    <cellStyle name="Comma 2 4 19 4 2" xfId="14882"/>
    <cellStyle name="Comma 2 4 19 5" xfId="14883"/>
    <cellStyle name="Comma 2 4 19 5 2" xfId="14884"/>
    <cellStyle name="Comma 2 4 19 6" xfId="14885"/>
    <cellStyle name="Comma 2 4 19 6 2" xfId="14886"/>
    <cellStyle name="Comma 2 4 19 7" xfId="14887"/>
    <cellStyle name="Comma 2 4 19 7 2" xfId="14888"/>
    <cellStyle name="Comma 2 4 19 8" xfId="14889"/>
    <cellStyle name="Comma 2 4 19 8 2" xfId="14890"/>
    <cellStyle name="Comma 2 4 19 9" xfId="14891"/>
    <cellStyle name="Comma 2 4 19 9 2" xfId="14892"/>
    <cellStyle name="Comma 2 4 2" xfId="14893"/>
    <cellStyle name="Comma 2 4 2 10" xfId="14894"/>
    <cellStyle name="Comma 2 4 2 10 10" xfId="14895"/>
    <cellStyle name="Comma 2 4 2 10 10 2" xfId="14896"/>
    <cellStyle name="Comma 2 4 2 10 11" xfId="14897"/>
    <cellStyle name="Comma 2 4 2 10 11 2" xfId="14898"/>
    <cellStyle name="Comma 2 4 2 10 12" xfId="14899"/>
    <cellStyle name="Comma 2 4 2 10 2" xfId="14900"/>
    <cellStyle name="Comma 2 4 2 10 2 2" xfId="14901"/>
    <cellStyle name="Comma 2 4 2 10 3" xfId="14902"/>
    <cellStyle name="Comma 2 4 2 10 3 2" xfId="14903"/>
    <cellStyle name="Comma 2 4 2 10 4" xfId="14904"/>
    <cellStyle name="Comma 2 4 2 10 4 2" xfId="14905"/>
    <cellStyle name="Comma 2 4 2 10 5" xfId="14906"/>
    <cellStyle name="Comma 2 4 2 10 5 2" xfId="14907"/>
    <cellStyle name="Comma 2 4 2 10 6" xfId="14908"/>
    <cellStyle name="Comma 2 4 2 10 6 2" xfId="14909"/>
    <cellStyle name="Comma 2 4 2 10 7" xfId="14910"/>
    <cellStyle name="Comma 2 4 2 10 7 2" xfId="14911"/>
    <cellStyle name="Comma 2 4 2 10 8" xfId="14912"/>
    <cellStyle name="Comma 2 4 2 10 8 2" xfId="14913"/>
    <cellStyle name="Comma 2 4 2 10 9" xfId="14914"/>
    <cellStyle name="Comma 2 4 2 10 9 2" xfId="14915"/>
    <cellStyle name="Comma 2 4 2 11" xfId="14916"/>
    <cellStyle name="Comma 2 4 2 11 10" xfId="14917"/>
    <cellStyle name="Comma 2 4 2 11 10 2" xfId="14918"/>
    <cellStyle name="Comma 2 4 2 11 11" xfId="14919"/>
    <cellStyle name="Comma 2 4 2 11 11 2" xfId="14920"/>
    <cellStyle name="Comma 2 4 2 11 12" xfId="14921"/>
    <cellStyle name="Comma 2 4 2 11 2" xfId="14922"/>
    <cellStyle name="Comma 2 4 2 11 2 2" xfId="14923"/>
    <cellStyle name="Comma 2 4 2 11 3" xfId="14924"/>
    <cellStyle name="Comma 2 4 2 11 3 2" xfId="14925"/>
    <cellStyle name="Comma 2 4 2 11 4" xfId="14926"/>
    <cellStyle name="Comma 2 4 2 11 4 2" xfId="14927"/>
    <cellStyle name="Comma 2 4 2 11 5" xfId="14928"/>
    <cellStyle name="Comma 2 4 2 11 5 2" xfId="14929"/>
    <cellStyle name="Comma 2 4 2 11 6" xfId="14930"/>
    <cellStyle name="Comma 2 4 2 11 6 2" xfId="14931"/>
    <cellStyle name="Comma 2 4 2 11 7" xfId="14932"/>
    <cellStyle name="Comma 2 4 2 11 7 2" xfId="14933"/>
    <cellStyle name="Comma 2 4 2 11 8" xfId="14934"/>
    <cellStyle name="Comma 2 4 2 11 8 2" xfId="14935"/>
    <cellStyle name="Comma 2 4 2 11 9" xfId="14936"/>
    <cellStyle name="Comma 2 4 2 11 9 2" xfId="14937"/>
    <cellStyle name="Comma 2 4 2 12" xfId="14938"/>
    <cellStyle name="Comma 2 4 2 12 10" xfId="14939"/>
    <cellStyle name="Comma 2 4 2 12 10 2" xfId="14940"/>
    <cellStyle name="Comma 2 4 2 12 11" xfId="14941"/>
    <cellStyle name="Comma 2 4 2 12 11 2" xfId="14942"/>
    <cellStyle name="Comma 2 4 2 12 12" xfId="14943"/>
    <cellStyle name="Comma 2 4 2 12 2" xfId="14944"/>
    <cellStyle name="Comma 2 4 2 12 2 2" xfId="14945"/>
    <cellStyle name="Comma 2 4 2 12 3" xfId="14946"/>
    <cellStyle name="Comma 2 4 2 12 3 2" xfId="14947"/>
    <cellStyle name="Comma 2 4 2 12 4" xfId="14948"/>
    <cellStyle name="Comma 2 4 2 12 4 2" xfId="14949"/>
    <cellStyle name="Comma 2 4 2 12 5" xfId="14950"/>
    <cellStyle name="Comma 2 4 2 12 5 2" xfId="14951"/>
    <cellStyle name="Comma 2 4 2 12 6" xfId="14952"/>
    <cellStyle name="Comma 2 4 2 12 6 2" xfId="14953"/>
    <cellStyle name="Comma 2 4 2 12 7" xfId="14954"/>
    <cellStyle name="Comma 2 4 2 12 7 2" xfId="14955"/>
    <cellStyle name="Comma 2 4 2 12 8" xfId="14956"/>
    <cellStyle name="Comma 2 4 2 12 8 2" xfId="14957"/>
    <cellStyle name="Comma 2 4 2 12 9" xfId="14958"/>
    <cellStyle name="Comma 2 4 2 12 9 2" xfId="14959"/>
    <cellStyle name="Comma 2 4 2 13" xfId="14960"/>
    <cellStyle name="Comma 2 4 2 13 10" xfId="14961"/>
    <cellStyle name="Comma 2 4 2 13 10 2" xfId="14962"/>
    <cellStyle name="Comma 2 4 2 13 11" xfId="14963"/>
    <cellStyle name="Comma 2 4 2 13 11 2" xfId="14964"/>
    <cellStyle name="Comma 2 4 2 13 12" xfId="14965"/>
    <cellStyle name="Comma 2 4 2 13 2" xfId="14966"/>
    <cellStyle name="Comma 2 4 2 13 2 2" xfId="14967"/>
    <cellStyle name="Comma 2 4 2 13 3" xfId="14968"/>
    <cellStyle name="Comma 2 4 2 13 3 2" xfId="14969"/>
    <cellStyle name="Comma 2 4 2 13 4" xfId="14970"/>
    <cellStyle name="Comma 2 4 2 13 4 2" xfId="14971"/>
    <cellStyle name="Comma 2 4 2 13 5" xfId="14972"/>
    <cellStyle name="Comma 2 4 2 13 5 2" xfId="14973"/>
    <cellStyle name="Comma 2 4 2 13 6" xfId="14974"/>
    <cellStyle name="Comma 2 4 2 13 6 2" xfId="14975"/>
    <cellStyle name="Comma 2 4 2 13 7" xfId="14976"/>
    <cellStyle name="Comma 2 4 2 13 7 2" xfId="14977"/>
    <cellStyle name="Comma 2 4 2 13 8" xfId="14978"/>
    <cellStyle name="Comma 2 4 2 13 8 2" xfId="14979"/>
    <cellStyle name="Comma 2 4 2 13 9" xfId="14980"/>
    <cellStyle name="Comma 2 4 2 13 9 2" xfId="14981"/>
    <cellStyle name="Comma 2 4 2 14" xfId="14982"/>
    <cellStyle name="Comma 2 4 2 14 10" xfId="14983"/>
    <cellStyle name="Comma 2 4 2 14 10 2" xfId="14984"/>
    <cellStyle name="Comma 2 4 2 14 11" xfId="14985"/>
    <cellStyle name="Comma 2 4 2 14 11 2" xfId="14986"/>
    <cellStyle name="Comma 2 4 2 14 12" xfId="14987"/>
    <cellStyle name="Comma 2 4 2 14 2" xfId="14988"/>
    <cellStyle name="Comma 2 4 2 14 2 2" xfId="14989"/>
    <cellStyle name="Comma 2 4 2 14 3" xfId="14990"/>
    <cellStyle name="Comma 2 4 2 14 3 2" xfId="14991"/>
    <cellStyle name="Comma 2 4 2 14 4" xfId="14992"/>
    <cellStyle name="Comma 2 4 2 14 4 2" xfId="14993"/>
    <cellStyle name="Comma 2 4 2 14 5" xfId="14994"/>
    <cellStyle name="Comma 2 4 2 14 5 2" xfId="14995"/>
    <cellStyle name="Comma 2 4 2 14 6" xfId="14996"/>
    <cellStyle name="Comma 2 4 2 14 6 2" xfId="14997"/>
    <cellStyle name="Comma 2 4 2 14 7" xfId="14998"/>
    <cellStyle name="Comma 2 4 2 14 7 2" xfId="14999"/>
    <cellStyle name="Comma 2 4 2 14 8" xfId="15000"/>
    <cellStyle name="Comma 2 4 2 14 8 2" xfId="15001"/>
    <cellStyle name="Comma 2 4 2 14 9" xfId="15002"/>
    <cellStyle name="Comma 2 4 2 14 9 2" xfId="15003"/>
    <cellStyle name="Comma 2 4 2 15" xfId="15004"/>
    <cellStyle name="Comma 2 4 2 15 10" xfId="15005"/>
    <cellStyle name="Comma 2 4 2 15 10 2" xfId="15006"/>
    <cellStyle name="Comma 2 4 2 15 11" xfId="15007"/>
    <cellStyle name="Comma 2 4 2 15 11 2" xfId="15008"/>
    <cellStyle name="Comma 2 4 2 15 12" xfId="15009"/>
    <cellStyle name="Comma 2 4 2 15 2" xfId="15010"/>
    <cellStyle name="Comma 2 4 2 15 2 2" xfId="15011"/>
    <cellStyle name="Comma 2 4 2 15 3" xfId="15012"/>
    <cellStyle name="Comma 2 4 2 15 3 2" xfId="15013"/>
    <cellStyle name="Comma 2 4 2 15 4" xfId="15014"/>
    <cellStyle name="Comma 2 4 2 15 4 2" xfId="15015"/>
    <cellStyle name="Comma 2 4 2 15 5" xfId="15016"/>
    <cellStyle name="Comma 2 4 2 15 5 2" xfId="15017"/>
    <cellStyle name="Comma 2 4 2 15 6" xfId="15018"/>
    <cellStyle name="Comma 2 4 2 15 6 2" xfId="15019"/>
    <cellStyle name="Comma 2 4 2 15 7" xfId="15020"/>
    <cellStyle name="Comma 2 4 2 15 7 2" xfId="15021"/>
    <cellStyle name="Comma 2 4 2 15 8" xfId="15022"/>
    <cellStyle name="Comma 2 4 2 15 8 2" xfId="15023"/>
    <cellStyle name="Comma 2 4 2 15 9" xfId="15024"/>
    <cellStyle name="Comma 2 4 2 15 9 2" xfId="15025"/>
    <cellStyle name="Comma 2 4 2 16" xfId="15026"/>
    <cellStyle name="Comma 2 4 2 16 10" xfId="15027"/>
    <cellStyle name="Comma 2 4 2 16 10 2" xfId="15028"/>
    <cellStyle name="Comma 2 4 2 16 11" xfId="15029"/>
    <cellStyle name="Comma 2 4 2 16 11 2" xfId="15030"/>
    <cellStyle name="Comma 2 4 2 16 12" xfId="15031"/>
    <cellStyle name="Comma 2 4 2 16 2" xfId="15032"/>
    <cellStyle name="Comma 2 4 2 16 2 2" xfId="15033"/>
    <cellStyle name="Comma 2 4 2 16 3" xfId="15034"/>
    <cellStyle name="Comma 2 4 2 16 3 2" xfId="15035"/>
    <cellStyle name="Comma 2 4 2 16 4" xfId="15036"/>
    <cellStyle name="Comma 2 4 2 16 4 2" xfId="15037"/>
    <cellStyle name="Comma 2 4 2 16 5" xfId="15038"/>
    <cellStyle name="Comma 2 4 2 16 5 2" xfId="15039"/>
    <cellStyle name="Comma 2 4 2 16 6" xfId="15040"/>
    <cellStyle name="Comma 2 4 2 16 6 2" xfId="15041"/>
    <cellStyle name="Comma 2 4 2 16 7" xfId="15042"/>
    <cellStyle name="Comma 2 4 2 16 7 2" xfId="15043"/>
    <cellStyle name="Comma 2 4 2 16 8" xfId="15044"/>
    <cellStyle name="Comma 2 4 2 16 8 2" xfId="15045"/>
    <cellStyle name="Comma 2 4 2 16 9" xfId="15046"/>
    <cellStyle name="Comma 2 4 2 16 9 2" xfId="15047"/>
    <cellStyle name="Comma 2 4 2 17" xfId="15048"/>
    <cellStyle name="Comma 2 4 2 17 10" xfId="15049"/>
    <cellStyle name="Comma 2 4 2 17 10 2" xfId="15050"/>
    <cellStyle name="Comma 2 4 2 17 11" xfId="15051"/>
    <cellStyle name="Comma 2 4 2 17 11 2" xfId="15052"/>
    <cellStyle name="Comma 2 4 2 17 12" xfId="15053"/>
    <cellStyle name="Comma 2 4 2 17 2" xfId="15054"/>
    <cellStyle name="Comma 2 4 2 17 2 2" xfId="15055"/>
    <cellStyle name="Comma 2 4 2 17 3" xfId="15056"/>
    <cellStyle name="Comma 2 4 2 17 3 2" xfId="15057"/>
    <cellStyle name="Comma 2 4 2 17 4" xfId="15058"/>
    <cellStyle name="Comma 2 4 2 17 4 2" xfId="15059"/>
    <cellStyle name="Comma 2 4 2 17 5" xfId="15060"/>
    <cellStyle name="Comma 2 4 2 17 5 2" xfId="15061"/>
    <cellStyle name="Comma 2 4 2 17 6" xfId="15062"/>
    <cellStyle name="Comma 2 4 2 17 6 2" xfId="15063"/>
    <cellStyle name="Comma 2 4 2 17 7" xfId="15064"/>
    <cellStyle name="Comma 2 4 2 17 7 2" xfId="15065"/>
    <cellStyle name="Comma 2 4 2 17 8" xfId="15066"/>
    <cellStyle name="Comma 2 4 2 17 8 2" xfId="15067"/>
    <cellStyle name="Comma 2 4 2 17 9" xfId="15068"/>
    <cellStyle name="Comma 2 4 2 17 9 2" xfId="15069"/>
    <cellStyle name="Comma 2 4 2 18" xfId="15070"/>
    <cellStyle name="Comma 2 4 2 18 10" xfId="15071"/>
    <cellStyle name="Comma 2 4 2 18 10 2" xfId="15072"/>
    <cellStyle name="Comma 2 4 2 18 11" xfId="15073"/>
    <cellStyle name="Comma 2 4 2 18 11 2" xfId="15074"/>
    <cellStyle name="Comma 2 4 2 18 12" xfId="15075"/>
    <cellStyle name="Comma 2 4 2 18 2" xfId="15076"/>
    <cellStyle name="Comma 2 4 2 18 2 2" xfId="15077"/>
    <cellStyle name="Comma 2 4 2 18 3" xfId="15078"/>
    <cellStyle name="Comma 2 4 2 18 3 2" xfId="15079"/>
    <cellStyle name="Comma 2 4 2 18 4" xfId="15080"/>
    <cellStyle name="Comma 2 4 2 18 4 2" xfId="15081"/>
    <cellStyle name="Comma 2 4 2 18 5" xfId="15082"/>
    <cellStyle name="Comma 2 4 2 18 5 2" xfId="15083"/>
    <cellStyle name="Comma 2 4 2 18 6" xfId="15084"/>
    <cellStyle name="Comma 2 4 2 18 6 2" xfId="15085"/>
    <cellStyle name="Comma 2 4 2 18 7" xfId="15086"/>
    <cellStyle name="Comma 2 4 2 18 7 2" xfId="15087"/>
    <cellStyle name="Comma 2 4 2 18 8" xfId="15088"/>
    <cellStyle name="Comma 2 4 2 18 8 2" xfId="15089"/>
    <cellStyle name="Comma 2 4 2 18 9" xfId="15090"/>
    <cellStyle name="Comma 2 4 2 18 9 2" xfId="15091"/>
    <cellStyle name="Comma 2 4 2 19" xfId="15092"/>
    <cellStyle name="Comma 2 4 2 19 10" xfId="15093"/>
    <cellStyle name="Comma 2 4 2 19 10 2" xfId="15094"/>
    <cellStyle name="Comma 2 4 2 19 11" xfId="15095"/>
    <cellStyle name="Comma 2 4 2 19 11 2" xfId="15096"/>
    <cellStyle name="Comma 2 4 2 19 12" xfId="15097"/>
    <cellStyle name="Comma 2 4 2 19 2" xfId="15098"/>
    <cellStyle name="Comma 2 4 2 19 2 2" xfId="15099"/>
    <cellStyle name="Comma 2 4 2 19 3" xfId="15100"/>
    <cellStyle name="Comma 2 4 2 19 3 2" xfId="15101"/>
    <cellStyle name="Comma 2 4 2 19 4" xfId="15102"/>
    <cellStyle name="Comma 2 4 2 19 4 2" xfId="15103"/>
    <cellStyle name="Comma 2 4 2 19 5" xfId="15104"/>
    <cellStyle name="Comma 2 4 2 19 5 2" xfId="15105"/>
    <cellStyle name="Comma 2 4 2 19 6" xfId="15106"/>
    <cellStyle name="Comma 2 4 2 19 6 2" xfId="15107"/>
    <cellStyle name="Comma 2 4 2 19 7" xfId="15108"/>
    <cellStyle name="Comma 2 4 2 19 7 2" xfId="15109"/>
    <cellStyle name="Comma 2 4 2 19 8" xfId="15110"/>
    <cellStyle name="Comma 2 4 2 19 8 2" xfId="15111"/>
    <cellStyle name="Comma 2 4 2 19 9" xfId="15112"/>
    <cellStyle name="Comma 2 4 2 19 9 2" xfId="15113"/>
    <cellStyle name="Comma 2 4 2 2" xfId="15114"/>
    <cellStyle name="Comma 2 4 2 2 10" xfId="15115"/>
    <cellStyle name="Comma 2 4 2 2 10 2" xfId="15116"/>
    <cellStyle name="Comma 2 4 2 2 11" xfId="15117"/>
    <cellStyle name="Comma 2 4 2 2 11 2" xfId="15118"/>
    <cellStyle name="Comma 2 4 2 2 12" xfId="15119"/>
    <cellStyle name="Comma 2 4 2 2 2" xfId="15120"/>
    <cellStyle name="Comma 2 4 2 2 2 2" xfId="15121"/>
    <cellStyle name="Comma 2 4 2 2 3" xfId="15122"/>
    <cellStyle name="Comma 2 4 2 2 3 2" xfId="15123"/>
    <cellStyle name="Comma 2 4 2 2 4" xfId="15124"/>
    <cellStyle name="Comma 2 4 2 2 4 2" xfId="15125"/>
    <cellStyle name="Comma 2 4 2 2 5" xfId="15126"/>
    <cellStyle name="Comma 2 4 2 2 5 2" xfId="15127"/>
    <cellStyle name="Comma 2 4 2 2 6" xfId="15128"/>
    <cellStyle name="Comma 2 4 2 2 6 2" xfId="15129"/>
    <cellStyle name="Comma 2 4 2 2 7" xfId="15130"/>
    <cellStyle name="Comma 2 4 2 2 7 2" xfId="15131"/>
    <cellStyle name="Comma 2 4 2 2 8" xfId="15132"/>
    <cellStyle name="Comma 2 4 2 2 8 2" xfId="15133"/>
    <cellStyle name="Comma 2 4 2 2 9" xfId="15134"/>
    <cellStyle name="Comma 2 4 2 2 9 2" xfId="15135"/>
    <cellStyle name="Comma 2 4 2 20" xfId="15136"/>
    <cellStyle name="Comma 2 4 2 20 10" xfId="15137"/>
    <cellStyle name="Comma 2 4 2 20 10 2" xfId="15138"/>
    <cellStyle name="Comma 2 4 2 20 11" xfId="15139"/>
    <cellStyle name="Comma 2 4 2 20 11 2" xfId="15140"/>
    <cellStyle name="Comma 2 4 2 20 12" xfId="15141"/>
    <cellStyle name="Comma 2 4 2 20 2" xfId="15142"/>
    <cellStyle name="Comma 2 4 2 20 2 2" xfId="15143"/>
    <cellStyle name="Comma 2 4 2 20 3" xfId="15144"/>
    <cellStyle name="Comma 2 4 2 20 3 2" xfId="15145"/>
    <cellStyle name="Comma 2 4 2 20 4" xfId="15146"/>
    <cellStyle name="Comma 2 4 2 20 4 2" xfId="15147"/>
    <cellStyle name="Comma 2 4 2 20 5" xfId="15148"/>
    <cellStyle name="Comma 2 4 2 20 5 2" xfId="15149"/>
    <cellStyle name="Comma 2 4 2 20 6" xfId="15150"/>
    <cellStyle name="Comma 2 4 2 20 6 2" xfId="15151"/>
    <cellStyle name="Comma 2 4 2 20 7" xfId="15152"/>
    <cellStyle name="Comma 2 4 2 20 7 2" xfId="15153"/>
    <cellStyle name="Comma 2 4 2 20 8" xfId="15154"/>
    <cellStyle name="Comma 2 4 2 20 8 2" xfId="15155"/>
    <cellStyle name="Comma 2 4 2 20 9" xfId="15156"/>
    <cellStyle name="Comma 2 4 2 20 9 2" xfId="15157"/>
    <cellStyle name="Comma 2 4 2 21" xfId="15158"/>
    <cellStyle name="Comma 2 4 2 21 10" xfId="15159"/>
    <cellStyle name="Comma 2 4 2 21 10 2" xfId="15160"/>
    <cellStyle name="Comma 2 4 2 21 11" xfId="15161"/>
    <cellStyle name="Comma 2 4 2 21 11 2" xfId="15162"/>
    <cellStyle name="Comma 2 4 2 21 12" xfId="15163"/>
    <cellStyle name="Comma 2 4 2 21 2" xfId="15164"/>
    <cellStyle name="Comma 2 4 2 21 2 2" xfId="15165"/>
    <cellStyle name="Comma 2 4 2 21 3" xfId="15166"/>
    <cellStyle name="Comma 2 4 2 21 3 2" xfId="15167"/>
    <cellStyle name="Comma 2 4 2 21 4" xfId="15168"/>
    <cellStyle name="Comma 2 4 2 21 4 2" xfId="15169"/>
    <cellStyle name="Comma 2 4 2 21 5" xfId="15170"/>
    <cellStyle name="Comma 2 4 2 21 5 2" xfId="15171"/>
    <cellStyle name="Comma 2 4 2 21 6" xfId="15172"/>
    <cellStyle name="Comma 2 4 2 21 6 2" xfId="15173"/>
    <cellStyle name="Comma 2 4 2 21 7" xfId="15174"/>
    <cellStyle name="Comma 2 4 2 21 7 2" xfId="15175"/>
    <cellStyle name="Comma 2 4 2 21 8" xfId="15176"/>
    <cellStyle name="Comma 2 4 2 21 8 2" xfId="15177"/>
    <cellStyle name="Comma 2 4 2 21 9" xfId="15178"/>
    <cellStyle name="Comma 2 4 2 21 9 2" xfId="15179"/>
    <cellStyle name="Comma 2 4 2 22" xfId="15180"/>
    <cellStyle name="Comma 2 4 2 22 10" xfId="15181"/>
    <cellStyle name="Comma 2 4 2 22 10 2" xfId="15182"/>
    <cellStyle name="Comma 2 4 2 22 11" xfId="15183"/>
    <cellStyle name="Comma 2 4 2 22 11 2" xfId="15184"/>
    <cellStyle name="Comma 2 4 2 22 12" xfId="15185"/>
    <cellStyle name="Comma 2 4 2 22 2" xfId="15186"/>
    <cellStyle name="Comma 2 4 2 22 2 2" xfId="15187"/>
    <cellStyle name="Comma 2 4 2 22 3" xfId="15188"/>
    <cellStyle name="Comma 2 4 2 22 3 2" xfId="15189"/>
    <cellStyle name="Comma 2 4 2 22 4" xfId="15190"/>
    <cellStyle name="Comma 2 4 2 22 4 2" xfId="15191"/>
    <cellStyle name="Comma 2 4 2 22 5" xfId="15192"/>
    <cellStyle name="Comma 2 4 2 22 5 2" xfId="15193"/>
    <cellStyle name="Comma 2 4 2 22 6" xfId="15194"/>
    <cellStyle name="Comma 2 4 2 22 6 2" xfId="15195"/>
    <cellStyle name="Comma 2 4 2 22 7" xfId="15196"/>
    <cellStyle name="Comma 2 4 2 22 7 2" xfId="15197"/>
    <cellStyle name="Comma 2 4 2 22 8" xfId="15198"/>
    <cellStyle name="Comma 2 4 2 22 8 2" xfId="15199"/>
    <cellStyle name="Comma 2 4 2 22 9" xfId="15200"/>
    <cellStyle name="Comma 2 4 2 22 9 2" xfId="15201"/>
    <cellStyle name="Comma 2 4 2 23" xfId="15202"/>
    <cellStyle name="Comma 2 4 2 23 10" xfId="15203"/>
    <cellStyle name="Comma 2 4 2 23 10 2" xfId="15204"/>
    <cellStyle name="Comma 2 4 2 23 11" xfId="15205"/>
    <cellStyle name="Comma 2 4 2 23 11 2" xfId="15206"/>
    <cellStyle name="Comma 2 4 2 23 12" xfId="15207"/>
    <cellStyle name="Comma 2 4 2 23 2" xfId="15208"/>
    <cellStyle name="Comma 2 4 2 23 2 2" xfId="15209"/>
    <cellStyle name="Comma 2 4 2 23 3" xfId="15210"/>
    <cellStyle name="Comma 2 4 2 23 3 2" xfId="15211"/>
    <cellStyle name="Comma 2 4 2 23 4" xfId="15212"/>
    <cellStyle name="Comma 2 4 2 23 4 2" xfId="15213"/>
    <cellStyle name="Comma 2 4 2 23 5" xfId="15214"/>
    <cellStyle name="Comma 2 4 2 23 5 2" xfId="15215"/>
    <cellStyle name="Comma 2 4 2 23 6" xfId="15216"/>
    <cellStyle name="Comma 2 4 2 23 6 2" xfId="15217"/>
    <cellStyle name="Comma 2 4 2 23 7" xfId="15218"/>
    <cellStyle name="Comma 2 4 2 23 7 2" xfId="15219"/>
    <cellStyle name="Comma 2 4 2 23 8" xfId="15220"/>
    <cellStyle name="Comma 2 4 2 23 8 2" xfId="15221"/>
    <cellStyle name="Comma 2 4 2 23 9" xfId="15222"/>
    <cellStyle name="Comma 2 4 2 23 9 2" xfId="15223"/>
    <cellStyle name="Comma 2 4 2 24" xfId="15224"/>
    <cellStyle name="Comma 2 4 2 24 10" xfId="15225"/>
    <cellStyle name="Comma 2 4 2 24 10 2" xfId="15226"/>
    <cellStyle name="Comma 2 4 2 24 11" xfId="15227"/>
    <cellStyle name="Comma 2 4 2 24 11 2" xfId="15228"/>
    <cellStyle name="Comma 2 4 2 24 12" xfId="15229"/>
    <cellStyle name="Comma 2 4 2 24 2" xfId="15230"/>
    <cellStyle name="Comma 2 4 2 24 2 2" xfId="15231"/>
    <cellStyle name="Comma 2 4 2 24 3" xfId="15232"/>
    <cellStyle name="Comma 2 4 2 24 3 2" xfId="15233"/>
    <cellStyle name="Comma 2 4 2 24 4" xfId="15234"/>
    <cellStyle name="Comma 2 4 2 24 4 2" xfId="15235"/>
    <cellStyle name="Comma 2 4 2 24 5" xfId="15236"/>
    <cellStyle name="Comma 2 4 2 24 5 2" xfId="15237"/>
    <cellStyle name="Comma 2 4 2 24 6" xfId="15238"/>
    <cellStyle name="Comma 2 4 2 24 6 2" xfId="15239"/>
    <cellStyle name="Comma 2 4 2 24 7" xfId="15240"/>
    <cellStyle name="Comma 2 4 2 24 7 2" xfId="15241"/>
    <cellStyle name="Comma 2 4 2 24 8" xfId="15242"/>
    <cellStyle name="Comma 2 4 2 24 8 2" xfId="15243"/>
    <cellStyle name="Comma 2 4 2 24 9" xfId="15244"/>
    <cellStyle name="Comma 2 4 2 24 9 2" xfId="15245"/>
    <cellStyle name="Comma 2 4 2 25" xfId="15246"/>
    <cellStyle name="Comma 2 4 2 25 10" xfId="15247"/>
    <cellStyle name="Comma 2 4 2 25 10 2" xfId="15248"/>
    <cellStyle name="Comma 2 4 2 25 11" xfId="15249"/>
    <cellStyle name="Comma 2 4 2 25 11 2" xfId="15250"/>
    <cellStyle name="Comma 2 4 2 25 12" xfId="15251"/>
    <cellStyle name="Comma 2 4 2 25 2" xfId="15252"/>
    <cellStyle name="Comma 2 4 2 25 2 2" xfId="15253"/>
    <cellStyle name="Comma 2 4 2 25 3" xfId="15254"/>
    <cellStyle name="Comma 2 4 2 25 3 2" xfId="15255"/>
    <cellStyle name="Comma 2 4 2 25 4" xfId="15256"/>
    <cellStyle name="Comma 2 4 2 25 4 2" xfId="15257"/>
    <cellStyle name="Comma 2 4 2 25 5" xfId="15258"/>
    <cellStyle name="Comma 2 4 2 25 5 2" xfId="15259"/>
    <cellStyle name="Comma 2 4 2 25 6" xfId="15260"/>
    <cellStyle name="Comma 2 4 2 25 6 2" xfId="15261"/>
    <cellStyle name="Comma 2 4 2 25 7" xfId="15262"/>
    <cellStyle name="Comma 2 4 2 25 7 2" xfId="15263"/>
    <cellStyle name="Comma 2 4 2 25 8" xfId="15264"/>
    <cellStyle name="Comma 2 4 2 25 8 2" xfId="15265"/>
    <cellStyle name="Comma 2 4 2 25 9" xfId="15266"/>
    <cellStyle name="Comma 2 4 2 25 9 2" xfId="15267"/>
    <cellStyle name="Comma 2 4 2 26" xfId="15268"/>
    <cellStyle name="Comma 2 4 2 26 10" xfId="15269"/>
    <cellStyle name="Comma 2 4 2 26 10 2" xfId="15270"/>
    <cellStyle name="Comma 2 4 2 26 11" xfId="15271"/>
    <cellStyle name="Comma 2 4 2 26 11 2" xfId="15272"/>
    <cellStyle name="Comma 2 4 2 26 12" xfId="15273"/>
    <cellStyle name="Comma 2 4 2 26 2" xfId="15274"/>
    <cellStyle name="Comma 2 4 2 26 2 2" xfId="15275"/>
    <cellStyle name="Comma 2 4 2 26 3" xfId="15276"/>
    <cellStyle name="Comma 2 4 2 26 3 2" xfId="15277"/>
    <cellStyle name="Comma 2 4 2 26 4" xfId="15278"/>
    <cellStyle name="Comma 2 4 2 26 4 2" xfId="15279"/>
    <cellStyle name="Comma 2 4 2 26 5" xfId="15280"/>
    <cellStyle name="Comma 2 4 2 26 5 2" xfId="15281"/>
    <cellStyle name="Comma 2 4 2 26 6" xfId="15282"/>
    <cellStyle name="Comma 2 4 2 26 6 2" xfId="15283"/>
    <cellStyle name="Comma 2 4 2 26 7" xfId="15284"/>
    <cellStyle name="Comma 2 4 2 26 7 2" xfId="15285"/>
    <cellStyle name="Comma 2 4 2 26 8" xfId="15286"/>
    <cellStyle name="Comma 2 4 2 26 8 2" xfId="15287"/>
    <cellStyle name="Comma 2 4 2 26 9" xfId="15288"/>
    <cellStyle name="Comma 2 4 2 26 9 2" xfId="15289"/>
    <cellStyle name="Comma 2 4 2 27" xfId="15290"/>
    <cellStyle name="Comma 2 4 2 27 10" xfId="15291"/>
    <cellStyle name="Comma 2 4 2 27 10 2" xfId="15292"/>
    <cellStyle name="Comma 2 4 2 27 11" xfId="15293"/>
    <cellStyle name="Comma 2 4 2 27 11 2" xfId="15294"/>
    <cellStyle name="Comma 2 4 2 27 12" xfId="15295"/>
    <cellStyle name="Comma 2 4 2 27 2" xfId="15296"/>
    <cellStyle name="Comma 2 4 2 27 2 2" xfId="15297"/>
    <cellStyle name="Comma 2 4 2 27 3" xfId="15298"/>
    <cellStyle name="Comma 2 4 2 27 3 2" xfId="15299"/>
    <cellStyle name="Comma 2 4 2 27 4" xfId="15300"/>
    <cellStyle name="Comma 2 4 2 27 4 2" xfId="15301"/>
    <cellStyle name="Comma 2 4 2 27 5" xfId="15302"/>
    <cellStyle name="Comma 2 4 2 27 5 2" xfId="15303"/>
    <cellStyle name="Comma 2 4 2 27 6" xfId="15304"/>
    <cellStyle name="Comma 2 4 2 27 6 2" xfId="15305"/>
    <cellStyle name="Comma 2 4 2 27 7" xfId="15306"/>
    <cellStyle name="Comma 2 4 2 27 7 2" xfId="15307"/>
    <cellStyle name="Comma 2 4 2 27 8" xfId="15308"/>
    <cellStyle name="Comma 2 4 2 27 8 2" xfId="15309"/>
    <cellStyle name="Comma 2 4 2 27 9" xfId="15310"/>
    <cellStyle name="Comma 2 4 2 27 9 2" xfId="15311"/>
    <cellStyle name="Comma 2 4 2 28" xfId="15312"/>
    <cellStyle name="Comma 2 4 2 28 10" xfId="15313"/>
    <cellStyle name="Comma 2 4 2 28 10 2" xfId="15314"/>
    <cellStyle name="Comma 2 4 2 28 11" xfId="15315"/>
    <cellStyle name="Comma 2 4 2 28 11 2" xfId="15316"/>
    <cellStyle name="Comma 2 4 2 28 12" xfId="15317"/>
    <cellStyle name="Comma 2 4 2 28 2" xfId="15318"/>
    <cellStyle name="Comma 2 4 2 28 2 2" xfId="15319"/>
    <cellStyle name="Comma 2 4 2 28 3" xfId="15320"/>
    <cellStyle name="Comma 2 4 2 28 3 2" xfId="15321"/>
    <cellStyle name="Comma 2 4 2 28 4" xfId="15322"/>
    <cellStyle name="Comma 2 4 2 28 4 2" xfId="15323"/>
    <cellStyle name="Comma 2 4 2 28 5" xfId="15324"/>
    <cellStyle name="Comma 2 4 2 28 5 2" xfId="15325"/>
    <cellStyle name="Comma 2 4 2 28 6" xfId="15326"/>
    <cellStyle name="Comma 2 4 2 28 6 2" xfId="15327"/>
    <cellStyle name="Comma 2 4 2 28 7" xfId="15328"/>
    <cellStyle name="Comma 2 4 2 28 7 2" xfId="15329"/>
    <cellStyle name="Comma 2 4 2 28 8" xfId="15330"/>
    <cellStyle name="Comma 2 4 2 28 8 2" xfId="15331"/>
    <cellStyle name="Comma 2 4 2 28 9" xfId="15332"/>
    <cellStyle name="Comma 2 4 2 28 9 2" xfId="15333"/>
    <cellStyle name="Comma 2 4 2 29" xfId="15334"/>
    <cellStyle name="Comma 2 4 2 29 10" xfId="15335"/>
    <cellStyle name="Comma 2 4 2 29 10 2" xfId="15336"/>
    <cellStyle name="Comma 2 4 2 29 11" xfId="15337"/>
    <cellStyle name="Comma 2 4 2 29 11 2" xfId="15338"/>
    <cellStyle name="Comma 2 4 2 29 12" xfId="15339"/>
    <cellStyle name="Comma 2 4 2 29 2" xfId="15340"/>
    <cellStyle name="Comma 2 4 2 29 2 2" xfId="15341"/>
    <cellStyle name="Comma 2 4 2 29 3" xfId="15342"/>
    <cellStyle name="Comma 2 4 2 29 3 2" xfId="15343"/>
    <cellStyle name="Comma 2 4 2 29 4" xfId="15344"/>
    <cellStyle name="Comma 2 4 2 29 4 2" xfId="15345"/>
    <cellStyle name="Comma 2 4 2 29 5" xfId="15346"/>
    <cellStyle name="Comma 2 4 2 29 5 2" xfId="15347"/>
    <cellStyle name="Comma 2 4 2 29 6" xfId="15348"/>
    <cellStyle name="Comma 2 4 2 29 6 2" xfId="15349"/>
    <cellStyle name="Comma 2 4 2 29 7" xfId="15350"/>
    <cellStyle name="Comma 2 4 2 29 7 2" xfId="15351"/>
    <cellStyle name="Comma 2 4 2 29 8" xfId="15352"/>
    <cellStyle name="Comma 2 4 2 29 8 2" xfId="15353"/>
    <cellStyle name="Comma 2 4 2 29 9" xfId="15354"/>
    <cellStyle name="Comma 2 4 2 29 9 2" xfId="15355"/>
    <cellStyle name="Comma 2 4 2 3" xfId="15356"/>
    <cellStyle name="Comma 2 4 2 3 10" xfId="15357"/>
    <cellStyle name="Comma 2 4 2 3 10 2" xfId="15358"/>
    <cellStyle name="Comma 2 4 2 3 11" xfId="15359"/>
    <cellStyle name="Comma 2 4 2 3 11 2" xfId="15360"/>
    <cellStyle name="Comma 2 4 2 3 12" xfId="15361"/>
    <cellStyle name="Comma 2 4 2 3 2" xfId="15362"/>
    <cellStyle name="Comma 2 4 2 3 2 2" xfId="15363"/>
    <cellStyle name="Comma 2 4 2 3 3" xfId="15364"/>
    <cellStyle name="Comma 2 4 2 3 3 2" xfId="15365"/>
    <cellStyle name="Comma 2 4 2 3 4" xfId="15366"/>
    <cellStyle name="Comma 2 4 2 3 4 2" xfId="15367"/>
    <cellStyle name="Comma 2 4 2 3 5" xfId="15368"/>
    <cellStyle name="Comma 2 4 2 3 5 2" xfId="15369"/>
    <cellStyle name="Comma 2 4 2 3 6" xfId="15370"/>
    <cellStyle name="Comma 2 4 2 3 6 2" xfId="15371"/>
    <cellStyle name="Comma 2 4 2 3 7" xfId="15372"/>
    <cellStyle name="Comma 2 4 2 3 7 2" xfId="15373"/>
    <cellStyle name="Comma 2 4 2 3 8" xfId="15374"/>
    <cellStyle name="Comma 2 4 2 3 8 2" xfId="15375"/>
    <cellStyle name="Comma 2 4 2 3 9" xfId="15376"/>
    <cellStyle name="Comma 2 4 2 3 9 2" xfId="15377"/>
    <cellStyle name="Comma 2 4 2 30" xfId="15378"/>
    <cellStyle name="Comma 2 4 2 30 10" xfId="15379"/>
    <cellStyle name="Comma 2 4 2 30 10 2" xfId="15380"/>
    <cellStyle name="Comma 2 4 2 30 11" xfId="15381"/>
    <cellStyle name="Comma 2 4 2 30 11 2" xfId="15382"/>
    <cellStyle name="Comma 2 4 2 30 12" xfId="15383"/>
    <cellStyle name="Comma 2 4 2 30 2" xfId="15384"/>
    <cellStyle name="Comma 2 4 2 30 2 2" xfId="15385"/>
    <cellStyle name="Comma 2 4 2 30 3" xfId="15386"/>
    <cellStyle name="Comma 2 4 2 30 3 2" xfId="15387"/>
    <cellStyle name="Comma 2 4 2 30 4" xfId="15388"/>
    <cellStyle name="Comma 2 4 2 30 4 2" xfId="15389"/>
    <cellStyle name="Comma 2 4 2 30 5" xfId="15390"/>
    <cellStyle name="Comma 2 4 2 30 5 2" xfId="15391"/>
    <cellStyle name="Comma 2 4 2 30 6" xfId="15392"/>
    <cellStyle name="Comma 2 4 2 30 6 2" xfId="15393"/>
    <cellStyle name="Comma 2 4 2 30 7" xfId="15394"/>
    <cellStyle name="Comma 2 4 2 30 7 2" xfId="15395"/>
    <cellStyle name="Comma 2 4 2 30 8" xfId="15396"/>
    <cellStyle name="Comma 2 4 2 30 8 2" xfId="15397"/>
    <cellStyle name="Comma 2 4 2 30 9" xfId="15398"/>
    <cellStyle name="Comma 2 4 2 30 9 2" xfId="15399"/>
    <cellStyle name="Comma 2 4 2 31" xfId="15400"/>
    <cellStyle name="Comma 2 4 2 31 10" xfId="15401"/>
    <cellStyle name="Comma 2 4 2 31 10 2" xfId="15402"/>
    <cellStyle name="Comma 2 4 2 31 11" xfId="15403"/>
    <cellStyle name="Comma 2 4 2 31 11 2" xfId="15404"/>
    <cellStyle name="Comma 2 4 2 31 12" xfId="15405"/>
    <cellStyle name="Comma 2 4 2 31 2" xfId="15406"/>
    <cellStyle name="Comma 2 4 2 31 2 2" xfId="15407"/>
    <cellStyle name="Comma 2 4 2 31 3" xfId="15408"/>
    <cellStyle name="Comma 2 4 2 31 3 2" xfId="15409"/>
    <cellStyle name="Comma 2 4 2 31 4" xfId="15410"/>
    <cellStyle name="Comma 2 4 2 31 4 2" xfId="15411"/>
    <cellStyle name="Comma 2 4 2 31 5" xfId="15412"/>
    <cellStyle name="Comma 2 4 2 31 5 2" xfId="15413"/>
    <cellStyle name="Comma 2 4 2 31 6" xfId="15414"/>
    <cellStyle name="Comma 2 4 2 31 6 2" xfId="15415"/>
    <cellStyle name="Comma 2 4 2 31 7" xfId="15416"/>
    <cellStyle name="Comma 2 4 2 31 7 2" xfId="15417"/>
    <cellStyle name="Comma 2 4 2 31 8" xfId="15418"/>
    <cellStyle name="Comma 2 4 2 31 8 2" xfId="15419"/>
    <cellStyle name="Comma 2 4 2 31 9" xfId="15420"/>
    <cellStyle name="Comma 2 4 2 31 9 2" xfId="15421"/>
    <cellStyle name="Comma 2 4 2 32" xfId="15422"/>
    <cellStyle name="Comma 2 4 2 32 10" xfId="15423"/>
    <cellStyle name="Comma 2 4 2 32 10 2" xfId="15424"/>
    <cellStyle name="Comma 2 4 2 32 11" xfId="15425"/>
    <cellStyle name="Comma 2 4 2 32 11 2" xfId="15426"/>
    <cellStyle name="Comma 2 4 2 32 12" xfId="15427"/>
    <cellStyle name="Comma 2 4 2 32 2" xfId="15428"/>
    <cellStyle name="Comma 2 4 2 32 2 2" xfId="15429"/>
    <cellStyle name="Comma 2 4 2 32 3" xfId="15430"/>
    <cellStyle name="Comma 2 4 2 32 3 2" xfId="15431"/>
    <cellStyle name="Comma 2 4 2 32 4" xfId="15432"/>
    <cellStyle name="Comma 2 4 2 32 4 2" xfId="15433"/>
    <cellStyle name="Comma 2 4 2 32 5" xfId="15434"/>
    <cellStyle name="Comma 2 4 2 32 5 2" xfId="15435"/>
    <cellStyle name="Comma 2 4 2 32 6" xfId="15436"/>
    <cellStyle name="Comma 2 4 2 32 6 2" xfId="15437"/>
    <cellStyle name="Comma 2 4 2 32 7" xfId="15438"/>
    <cellStyle name="Comma 2 4 2 32 7 2" xfId="15439"/>
    <cellStyle name="Comma 2 4 2 32 8" xfId="15440"/>
    <cellStyle name="Comma 2 4 2 32 8 2" xfId="15441"/>
    <cellStyle name="Comma 2 4 2 32 9" xfId="15442"/>
    <cellStyle name="Comma 2 4 2 32 9 2" xfId="15443"/>
    <cellStyle name="Comma 2 4 2 33" xfId="15444"/>
    <cellStyle name="Comma 2 4 2 33 10" xfId="15445"/>
    <cellStyle name="Comma 2 4 2 33 10 2" xfId="15446"/>
    <cellStyle name="Comma 2 4 2 33 11" xfId="15447"/>
    <cellStyle name="Comma 2 4 2 33 11 2" xfId="15448"/>
    <cellStyle name="Comma 2 4 2 33 12" xfId="15449"/>
    <cellStyle name="Comma 2 4 2 33 2" xfId="15450"/>
    <cellStyle name="Comma 2 4 2 33 2 2" xfId="15451"/>
    <cellStyle name="Comma 2 4 2 33 3" xfId="15452"/>
    <cellStyle name="Comma 2 4 2 33 3 2" xfId="15453"/>
    <cellStyle name="Comma 2 4 2 33 4" xfId="15454"/>
    <cellStyle name="Comma 2 4 2 33 4 2" xfId="15455"/>
    <cellStyle name="Comma 2 4 2 33 5" xfId="15456"/>
    <cellStyle name="Comma 2 4 2 33 5 2" xfId="15457"/>
    <cellStyle name="Comma 2 4 2 33 6" xfId="15458"/>
    <cellStyle name="Comma 2 4 2 33 6 2" xfId="15459"/>
    <cellStyle name="Comma 2 4 2 33 7" xfId="15460"/>
    <cellStyle name="Comma 2 4 2 33 7 2" xfId="15461"/>
    <cellStyle name="Comma 2 4 2 33 8" xfId="15462"/>
    <cellStyle name="Comma 2 4 2 33 8 2" xfId="15463"/>
    <cellStyle name="Comma 2 4 2 33 9" xfId="15464"/>
    <cellStyle name="Comma 2 4 2 33 9 2" xfId="15465"/>
    <cellStyle name="Comma 2 4 2 34" xfId="15466"/>
    <cellStyle name="Comma 2 4 2 34 10" xfId="15467"/>
    <cellStyle name="Comma 2 4 2 34 10 2" xfId="15468"/>
    <cellStyle name="Comma 2 4 2 34 11" xfId="15469"/>
    <cellStyle name="Comma 2 4 2 34 11 2" xfId="15470"/>
    <cellStyle name="Comma 2 4 2 34 12" xfId="15471"/>
    <cellStyle name="Comma 2 4 2 34 2" xfId="15472"/>
    <cellStyle name="Comma 2 4 2 34 2 2" xfId="15473"/>
    <cellStyle name="Comma 2 4 2 34 3" xfId="15474"/>
    <cellStyle name="Comma 2 4 2 34 3 2" xfId="15475"/>
    <cellStyle name="Comma 2 4 2 34 4" xfId="15476"/>
    <cellStyle name="Comma 2 4 2 34 4 2" xfId="15477"/>
    <cellStyle name="Comma 2 4 2 34 5" xfId="15478"/>
    <cellStyle name="Comma 2 4 2 34 5 2" xfId="15479"/>
    <cellStyle name="Comma 2 4 2 34 6" xfId="15480"/>
    <cellStyle name="Comma 2 4 2 34 6 2" xfId="15481"/>
    <cellStyle name="Comma 2 4 2 34 7" xfId="15482"/>
    <cellStyle name="Comma 2 4 2 34 7 2" xfId="15483"/>
    <cellStyle name="Comma 2 4 2 34 8" xfId="15484"/>
    <cellStyle name="Comma 2 4 2 34 8 2" xfId="15485"/>
    <cellStyle name="Comma 2 4 2 34 9" xfId="15486"/>
    <cellStyle name="Comma 2 4 2 34 9 2" xfId="15487"/>
    <cellStyle name="Comma 2 4 2 35" xfId="15488"/>
    <cellStyle name="Comma 2 4 2 35 10" xfId="15489"/>
    <cellStyle name="Comma 2 4 2 35 10 2" xfId="15490"/>
    <cellStyle name="Comma 2 4 2 35 11" xfId="15491"/>
    <cellStyle name="Comma 2 4 2 35 11 2" xfId="15492"/>
    <cellStyle name="Comma 2 4 2 35 12" xfId="15493"/>
    <cellStyle name="Comma 2 4 2 35 2" xfId="15494"/>
    <cellStyle name="Comma 2 4 2 35 2 2" xfId="15495"/>
    <cellStyle name="Comma 2 4 2 35 3" xfId="15496"/>
    <cellStyle name="Comma 2 4 2 35 3 2" xfId="15497"/>
    <cellStyle name="Comma 2 4 2 35 4" xfId="15498"/>
    <cellStyle name="Comma 2 4 2 35 4 2" xfId="15499"/>
    <cellStyle name="Comma 2 4 2 35 5" xfId="15500"/>
    <cellStyle name="Comma 2 4 2 35 5 2" xfId="15501"/>
    <cellStyle name="Comma 2 4 2 35 6" xfId="15502"/>
    <cellStyle name="Comma 2 4 2 35 6 2" xfId="15503"/>
    <cellStyle name="Comma 2 4 2 35 7" xfId="15504"/>
    <cellStyle name="Comma 2 4 2 35 7 2" xfId="15505"/>
    <cellStyle name="Comma 2 4 2 35 8" xfId="15506"/>
    <cellStyle name="Comma 2 4 2 35 8 2" xfId="15507"/>
    <cellStyle name="Comma 2 4 2 35 9" xfId="15508"/>
    <cellStyle name="Comma 2 4 2 35 9 2" xfId="15509"/>
    <cellStyle name="Comma 2 4 2 36" xfId="15510"/>
    <cellStyle name="Comma 2 4 2 36 10" xfId="15511"/>
    <cellStyle name="Comma 2 4 2 36 10 2" xfId="15512"/>
    <cellStyle name="Comma 2 4 2 36 11" xfId="15513"/>
    <cellStyle name="Comma 2 4 2 36 11 2" xfId="15514"/>
    <cellStyle name="Comma 2 4 2 36 12" xfId="15515"/>
    <cellStyle name="Comma 2 4 2 36 2" xfId="15516"/>
    <cellStyle name="Comma 2 4 2 36 2 2" xfId="15517"/>
    <cellStyle name="Comma 2 4 2 36 3" xfId="15518"/>
    <cellStyle name="Comma 2 4 2 36 3 2" xfId="15519"/>
    <cellStyle name="Comma 2 4 2 36 4" xfId="15520"/>
    <cellStyle name="Comma 2 4 2 36 4 2" xfId="15521"/>
    <cellStyle name="Comma 2 4 2 36 5" xfId="15522"/>
    <cellStyle name="Comma 2 4 2 36 5 2" xfId="15523"/>
    <cellStyle name="Comma 2 4 2 36 6" xfId="15524"/>
    <cellStyle name="Comma 2 4 2 36 6 2" xfId="15525"/>
    <cellStyle name="Comma 2 4 2 36 7" xfId="15526"/>
    <cellStyle name="Comma 2 4 2 36 7 2" xfId="15527"/>
    <cellStyle name="Comma 2 4 2 36 8" xfId="15528"/>
    <cellStyle name="Comma 2 4 2 36 8 2" xfId="15529"/>
    <cellStyle name="Comma 2 4 2 36 9" xfId="15530"/>
    <cellStyle name="Comma 2 4 2 36 9 2" xfId="15531"/>
    <cellStyle name="Comma 2 4 2 37" xfId="15532"/>
    <cellStyle name="Comma 2 4 2 37 10" xfId="15533"/>
    <cellStyle name="Comma 2 4 2 37 10 2" xfId="15534"/>
    <cellStyle name="Comma 2 4 2 37 11" xfId="15535"/>
    <cellStyle name="Comma 2 4 2 37 11 2" xfId="15536"/>
    <cellStyle name="Comma 2 4 2 37 12" xfId="15537"/>
    <cellStyle name="Comma 2 4 2 37 2" xfId="15538"/>
    <cellStyle name="Comma 2 4 2 37 2 2" xfId="15539"/>
    <cellStyle name="Comma 2 4 2 37 3" xfId="15540"/>
    <cellStyle name="Comma 2 4 2 37 3 2" xfId="15541"/>
    <cellStyle name="Comma 2 4 2 37 4" xfId="15542"/>
    <cellStyle name="Comma 2 4 2 37 4 2" xfId="15543"/>
    <cellStyle name="Comma 2 4 2 37 5" xfId="15544"/>
    <cellStyle name="Comma 2 4 2 37 5 2" xfId="15545"/>
    <cellStyle name="Comma 2 4 2 37 6" xfId="15546"/>
    <cellStyle name="Comma 2 4 2 37 6 2" xfId="15547"/>
    <cellStyle name="Comma 2 4 2 37 7" xfId="15548"/>
    <cellStyle name="Comma 2 4 2 37 7 2" xfId="15549"/>
    <cellStyle name="Comma 2 4 2 37 8" xfId="15550"/>
    <cellStyle name="Comma 2 4 2 37 8 2" xfId="15551"/>
    <cellStyle name="Comma 2 4 2 37 9" xfId="15552"/>
    <cellStyle name="Comma 2 4 2 37 9 2" xfId="15553"/>
    <cellStyle name="Comma 2 4 2 38" xfId="15554"/>
    <cellStyle name="Comma 2 4 2 38 10" xfId="15555"/>
    <cellStyle name="Comma 2 4 2 38 10 2" xfId="15556"/>
    <cellStyle name="Comma 2 4 2 38 11" xfId="15557"/>
    <cellStyle name="Comma 2 4 2 38 11 2" xfId="15558"/>
    <cellStyle name="Comma 2 4 2 38 12" xfId="15559"/>
    <cellStyle name="Comma 2 4 2 38 2" xfId="15560"/>
    <cellStyle name="Comma 2 4 2 38 2 2" xfId="15561"/>
    <cellStyle name="Comma 2 4 2 38 3" xfId="15562"/>
    <cellStyle name="Comma 2 4 2 38 3 2" xfId="15563"/>
    <cellStyle name="Comma 2 4 2 38 4" xfId="15564"/>
    <cellStyle name="Comma 2 4 2 38 4 2" xfId="15565"/>
    <cellStyle name="Comma 2 4 2 38 5" xfId="15566"/>
    <cellStyle name="Comma 2 4 2 38 5 2" xfId="15567"/>
    <cellStyle name="Comma 2 4 2 38 6" xfId="15568"/>
    <cellStyle name="Comma 2 4 2 38 6 2" xfId="15569"/>
    <cellStyle name="Comma 2 4 2 38 7" xfId="15570"/>
    <cellStyle name="Comma 2 4 2 38 7 2" xfId="15571"/>
    <cellStyle name="Comma 2 4 2 38 8" xfId="15572"/>
    <cellStyle name="Comma 2 4 2 38 8 2" xfId="15573"/>
    <cellStyle name="Comma 2 4 2 38 9" xfId="15574"/>
    <cellStyle name="Comma 2 4 2 38 9 2" xfId="15575"/>
    <cellStyle name="Comma 2 4 2 39" xfId="15576"/>
    <cellStyle name="Comma 2 4 2 39 10" xfId="15577"/>
    <cellStyle name="Comma 2 4 2 39 10 2" xfId="15578"/>
    <cellStyle name="Comma 2 4 2 39 11" xfId="15579"/>
    <cellStyle name="Comma 2 4 2 39 11 2" xfId="15580"/>
    <cellStyle name="Comma 2 4 2 39 12" xfId="15581"/>
    <cellStyle name="Comma 2 4 2 39 2" xfId="15582"/>
    <cellStyle name="Comma 2 4 2 39 2 2" xfId="15583"/>
    <cellStyle name="Comma 2 4 2 39 3" xfId="15584"/>
    <cellStyle name="Comma 2 4 2 39 3 2" xfId="15585"/>
    <cellStyle name="Comma 2 4 2 39 4" xfId="15586"/>
    <cellStyle name="Comma 2 4 2 39 4 2" xfId="15587"/>
    <cellStyle name="Comma 2 4 2 39 5" xfId="15588"/>
    <cellStyle name="Comma 2 4 2 39 5 2" xfId="15589"/>
    <cellStyle name="Comma 2 4 2 39 6" xfId="15590"/>
    <cellStyle name="Comma 2 4 2 39 6 2" xfId="15591"/>
    <cellStyle name="Comma 2 4 2 39 7" xfId="15592"/>
    <cellStyle name="Comma 2 4 2 39 7 2" xfId="15593"/>
    <cellStyle name="Comma 2 4 2 39 8" xfId="15594"/>
    <cellStyle name="Comma 2 4 2 39 8 2" xfId="15595"/>
    <cellStyle name="Comma 2 4 2 39 9" xfId="15596"/>
    <cellStyle name="Comma 2 4 2 39 9 2" xfId="15597"/>
    <cellStyle name="Comma 2 4 2 4" xfId="15598"/>
    <cellStyle name="Comma 2 4 2 4 10" xfId="15599"/>
    <cellStyle name="Comma 2 4 2 4 10 2" xfId="15600"/>
    <cellStyle name="Comma 2 4 2 4 11" xfId="15601"/>
    <cellStyle name="Comma 2 4 2 4 11 2" xfId="15602"/>
    <cellStyle name="Comma 2 4 2 4 12" xfId="15603"/>
    <cellStyle name="Comma 2 4 2 4 2" xfId="15604"/>
    <cellStyle name="Comma 2 4 2 4 2 2" xfId="15605"/>
    <cellStyle name="Comma 2 4 2 4 3" xfId="15606"/>
    <cellStyle name="Comma 2 4 2 4 3 2" xfId="15607"/>
    <cellStyle name="Comma 2 4 2 4 4" xfId="15608"/>
    <cellStyle name="Comma 2 4 2 4 4 2" xfId="15609"/>
    <cellStyle name="Comma 2 4 2 4 5" xfId="15610"/>
    <cellStyle name="Comma 2 4 2 4 5 2" xfId="15611"/>
    <cellStyle name="Comma 2 4 2 4 6" xfId="15612"/>
    <cellStyle name="Comma 2 4 2 4 6 2" xfId="15613"/>
    <cellStyle name="Comma 2 4 2 4 7" xfId="15614"/>
    <cellStyle name="Comma 2 4 2 4 7 2" xfId="15615"/>
    <cellStyle name="Comma 2 4 2 4 8" xfId="15616"/>
    <cellStyle name="Comma 2 4 2 4 8 2" xfId="15617"/>
    <cellStyle name="Comma 2 4 2 4 9" xfId="15618"/>
    <cellStyle name="Comma 2 4 2 4 9 2" xfId="15619"/>
    <cellStyle name="Comma 2 4 2 40" xfId="15620"/>
    <cellStyle name="Comma 2 4 2 40 2" xfId="15621"/>
    <cellStyle name="Comma 2 4 2 41" xfId="15622"/>
    <cellStyle name="Comma 2 4 2 41 2" xfId="15623"/>
    <cellStyle name="Comma 2 4 2 42" xfId="15624"/>
    <cellStyle name="Comma 2 4 2 42 2" xfId="15625"/>
    <cellStyle name="Comma 2 4 2 43" xfId="15626"/>
    <cellStyle name="Comma 2 4 2 43 2" xfId="15627"/>
    <cellStyle name="Comma 2 4 2 44" xfId="15628"/>
    <cellStyle name="Comma 2 4 2 44 2" xfId="15629"/>
    <cellStyle name="Comma 2 4 2 45" xfId="15630"/>
    <cellStyle name="Comma 2 4 2 45 2" xfId="15631"/>
    <cellStyle name="Comma 2 4 2 46" xfId="15632"/>
    <cellStyle name="Comma 2 4 2 46 2" xfId="15633"/>
    <cellStyle name="Comma 2 4 2 47" xfId="15634"/>
    <cellStyle name="Comma 2 4 2 47 2" xfId="15635"/>
    <cellStyle name="Comma 2 4 2 48" xfId="15636"/>
    <cellStyle name="Comma 2 4 2 48 2" xfId="15637"/>
    <cellStyle name="Comma 2 4 2 49" xfId="15638"/>
    <cellStyle name="Comma 2 4 2 49 2" xfId="15639"/>
    <cellStyle name="Comma 2 4 2 5" xfId="15640"/>
    <cellStyle name="Comma 2 4 2 5 10" xfId="15641"/>
    <cellStyle name="Comma 2 4 2 5 10 2" xfId="15642"/>
    <cellStyle name="Comma 2 4 2 5 11" xfId="15643"/>
    <cellStyle name="Comma 2 4 2 5 11 2" xfId="15644"/>
    <cellStyle name="Comma 2 4 2 5 12" xfId="15645"/>
    <cellStyle name="Comma 2 4 2 5 2" xfId="15646"/>
    <cellStyle name="Comma 2 4 2 5 2 2" xfId="15647"/>
    <cellStyle name="Comma 2 4 2 5 3" xfId="15648"/>
    <cellStyle name="Comma 2 4 2 5 3 2" xfId="15649"/>
    <cellStyle name="Comma 2 4 2 5 4" xfId="15650"/>
    <cellStyle name="Comma 2 4 2 5 4 2" xfId="15651"/>
    <cellStyle name="Comma 2 4 2 5 5" xfId="15652"/>
    <cellStyle name="Comma 2 4 2 5 5 2" xfId="15653"/>
    <cellStyle name="Comma 2 4 2 5 6" xfId="15654"/>
    <cellStyle name="Comma 2 4 2 5 6 2" xfId="15655"/>
    <cellStyle name="Comma 2 4 2 5 7" xfId="15656"/>
    <cellStyle name="Comma 2 4 2 5 7 2" xfId="15657"/>
    <cellStyle name="Comma 2 4 2 5 8" xfId="15658"/>
    <cellStyle name="Comma 2 4 2 5 8 2" xfId="15659"/>
    <cellStyle name="Comma 2 4 2 5 9" xfId="15660"/>
    <cellStyle name="Comma 2 4 2 5 9 2" xfId="15661"/>
    <cellStyle name="Comma 2 4 2 50" xfId="15662"/>
    <cellStyle name="Comma 2 4 2 50 2" xfId="15663"/>
    <cellStyle name="Comma 2 4 2 51" xfId="15664"/>
    <cellStyle name="Comma 2 4 2 51 2" xfId="15665"/>
    <cellStyle name="Comma 2 4 2 52" xfId="15666"/>
    <cellStyle name="Comma 2 4 2 6" xfId="15667"/>
    <cellStyle name="Comma 2 4 2 6 10" xfId="15668"/>
    <cellStyle name="Comma 2 4 2 6 10 2" xfId="15669"/>
    <cellStyle name="Comma 2 4 2 6 11" xfId="15670"/>
    <cellStyle name="Comma 2 4 2 6 11 2" xfId="15671"/>
    <cellStyle name="Comma 2 4 2 6 12" xfId="15672"/>
    <cellStyle name="Comma 2 4 2 6 2" xfId="15673"/>
    <cellStyle name="Comma 2 4 2 6 2 2" xfId="15674"/>
    <cellStyle name="Comma 2 4 2 6 3" xfId="15675"/>
    <cellStyle name="Comma 2 4 2 6 3 2" xfId="15676"/>
    <cellStyle name="Comma 2 4 2 6 4" xfId="15677"/>
    <cellStyle name="Comma 2 4 2 6 4 2" xfId="15678"/>
    <cellStyle name="Comma 2 4 2 6 5" xfId="15679"/>
    <cellStyle name="Comma 2 4 2 6 5 2" xfId="15680"/>
    <cellStyle name="Comma 2 4 2 6 6" xfId="15681"/>
    <cellStyle name="Comma 2 4 2 6 6 2" xfId="15682"/>
    <cellStyle name="Comma 2 4 2 6 7" xfId="15683"/>
    <cellStyle name="Comma 2 4 2 6 7 2" xfId="15684"/>
    <cellStyle name="Comma 2 4 2 6 8" xfId="15685"/>
    <cellStyle name="Comma 2 4 2 6 8 2" xfId="15686"/>
    <cellStyle name="Comma 2 4 2 6 9" xfId="15687"/>
    <cellStyle name="Comma 2 4 2 6 9 2" xfId="15688"/>
    <cellStyle name="Comma 2 4 2 7" xfId="15689"/>
    <cellStyle name="Comma 2 4 2 7 10" xfId="15690"/>
    <cellStyle name="Comma 2 4 2 7 10 2" xfId="15691"/>
    <cellStyle name="Comma 2 4 2 7 11" xfId="15692"/>
    <cellStyle name="Comma 2 4 2 7 11 2" xfId="15693"/>
    <cellStyle name="Comma 2 4 2 7 12" xfId="15694"/>
    <cellStyle name="Comma 2 4 2 7 2" xfId="15695"/>
    <cellStyle name="Comma 2 4 2 7 2 2" xfId="15696"/>
    <cellStyle name="Comma 2 4 2 7 3" xfId="15697"/>
    <cellStyle name="Comma 2 4 2 7 3 2" xfId="15698"/>
    <cellStyle name="Comma 2 4 2 7 4" xfId="15699"/>
    <cellStyle name="Comma 2 4 2 7 4 2" xfId="15700"/>
    <cellStyle name="Comma 2 4 2 7 5" xfId="15701"/>
    <cellStyle name="Comma 2 4 2 7 5 2" xfId="15702"/>
    <cellStyle name="Comma 2 4 2 7 6" xfId="15703"/>
    <cellStyle name="Comma 2 4 2 7 6 2" xfId="15704"/>
    <cellStyle name="Comma 2 4 2 7 7" xfId="15705"/>
    <cellStyle name="Comma 2 4 2 7 7 2" xfId="15706"/>
    <cellStyle name="Comma 2 4 2 7 8" xfId="15707"/>
    <cellStyle name="Comma 2 4 2 7 8 2" xfId="15708"/>
    <cellStyle name="Comma 2 4 2 7 9" xfId="15709"/>
    <cellStyle name="Comma 2 4 2 7 9 2" xfId="15710"/>
    <cellStyle name="Comma 2 4 2 8" xfId="15711"/>
    <cellStyle name="Comma 2 4 2 8 10" xfId="15712"/>
    <cellStyle name="Comma 2 4 2 8 10 2" xfId="15713"/>
    <cellStyle name="Comma 2 4 2 8 11" xfId="15714"/>
    <cellStyle name="Comma 2 4 2 8 11 2" xfId="15715"/>
    <cellStyle name="Comma 2 4 2 8 12" xfId="15716"/>
    <cellStyle name="Comma 2 4 2 8 2" xfId="15717"/>
    <cellStyle name="Comma 2 4 2 8 2 2" xfId="15718"/>
    <cellStyle name="Comma 2 4 2 8 3" xfId="15719"/>
    <cellStyle name="Comma 2 4 2 8 3 2" xfId="15720"/>
    <cellStyle name="Comma 2 4 2 8 4" xfId="15721"/>
    <cellStyle name="Comma 2 4 2 8 4 2" xfId="15722"/>
    <cellStyle name="Comma 2 4 2 8 5" xfId="15723"/>
    <cellStyle name="Comma 2 4 2 8 5 2" xfId="15724"/>
    <cellStyle name="Comma 2 4 2 8 6" xfId="15725"/>
    <cellStyle name="Comma 2 4 2 8 6 2" xfId="15726"/>
    <cellStyle name="Comma 2 4 2 8 7" xfId="15727"/>
    <cellStyle name="Comma 2 4 2 8 7 2" xfId="15728"/>
    <cellStyle name="Comma 2 4 2 8 8" xfId="15729"/>
    <cellStyle name="Comma 2 4 2 8 8 2" xfId="15730"/>
    <cellStyle name="Comma 2 4 2 8 9" xfId="15731"/>
    <cellStyle name="Comma 2 4 2 8 9 2" xfId="15732"/>
    <cellStyle name="Comma 2 4 2 9" xfId="15733"/>
    <cellStyle name="Comma 2 4 2 9 10" xfId="15734"/>
    <cellStyle name="Comma 2 4 2 9 10 2" xfId="15735"/>
    <cellStyle name="Comma 2 4 2 9 11" xfId="15736"/>
    <cellStyle name="Comma 2 4 2 9 11 2" xfId="15737"/>
    <cellStyle name="Comma 2 4 2 9 12" xfId="15738"/>
    <cellStyle name="Comma 2 4 2 9 2" xfId="15739"/>
    <cellStyle name="Comma 2 4 2 9 2 2" xfId="15740"/>
    <cellStyle name="Comma 2 4 2 9 3" xfId="15741"/>
    <cellStyle name="Comma 2 4 2 9 3 2" xfId="15742"/>
    <cellStyle name="Comma 2 4 2 9 4" xfId="15743"/>
    <cellStyle name="Comma 2 4 2 9 4 2" xfId="15744"/>
    <cellStyle name="Comma 2 4 2 9 5" xfId="15745"/>
    <cellStyle name="Comma 2 4 2 9 5 2" xfId="15746"/>
    <cellStyle name="Comma 2 4 2 9 6" xfId="15747"/>
    <cellStyle name="Comma 2 4 2 9 6 2" xfId="15748"/>
    <cellStyle name="Comma 2 4 2 9 7" xfId="15749"/>
    <cellStyle name="Comma 2 4 2 9 7 2" xfId="15750"/>
    <cellStyle name="Comma 2 4 2 9 8" xfId="15751"/>
    <cellStyle name="Comma 2 4 2 9 8 2" xfId="15752"/>
    <cellStyle name="Comma 2 4 2 9 9" xfId="15753"/>
    <cellStyle name="Comma 2 4 2 9 9 2" xfId="15754"/>
    <cellStyle name="Comma 2 4 20" xfId="15755"/>
    <cellStyle name="Comma 2 4 20 10" xfId="15756"/>
    <cellStyle name="Comma 2 4 20 10 2" xfId="15757"/>
    <cellStyle name="Comma 2 4 20 11" xfId="15758"/>
    <cellStyle name="Comma 2 4 20 11 2" xfId="15759"/>
    <cellStyle name="Comma 2 4 20 12" xfId="15760"/>
    <cellStyle name="Comma 2 4 20 2" xfId="15761"/>
    <cellStyle name="Comma 2 4 20 2 2" xfId="15762"/>
    <cellStyle name="Comma 2 4 20 3" xfId="15763"/>
    <cellStyle name="Comma 2 4 20 3 2" xfId="15764"/>
    <cellStyle name="Comma 2 4 20 4" xfId="15765"/>
    <cellStyle name="Comma 2 4 20 4 2" xfId="15766"/>
    <cellStyle name="Comma 2 4 20 5" xfId="15767"/>
    <cellStyle name="Comma 2 4 20 5 2" xfId="15768"/>
    <cellStyle name="Comma 2 4 20 6" xfId="15769"/>
    <cellStyle name="Comma 2 4 20 6 2" xfId="15770"/>
    <cellStyle name="Comma 2 4 20 7" xfId="15771"/>
    <cellStyle name="Comma 2 4 20 7 2" xfId="15772"/>
    <cellStyle name="Comma 2 4 20 8" xfId="15773"/>
    <cellStyle name="Comma 2 4 20 8 2" xfId="15774"/>
    <cellStyle name="Comma 2 4 20 9" xfId="15775"/>
    <cellStyle name="Comma 2 4 20 9 2" xfId="15776"/>
    <cellStyle name="Comma 2 4 21" xfId="15777"/>
    <cellStyle name="Comma 2 4 21 10" xfId="15778"/>
    <cellStyle name="Comma 2 4 21 10 2" xfId="15779"/>
    <cellStyle name="Comma 2 4 21 11" xfId="15780"/>
    <cellStyle name="Comma 2 4 21 11 2" xfId="15781"/>
    <cellStyle name="Comma 2 4 21 12" xfId="15782"/>
    <cellStyle name="Comma 2 4 21 2" xfId="15783"/>
    <cellStyle name="Comma 2 4 21 2 2" xfId="15784"/>
    <cellStyle name="Comma 2 4 21 3" xfId="15785"/>
    <cellStyle name="Comma 2 4 21 3 2" xfId="15786"/>
    <cellStyle name="Comma 2 4 21 4" xfId="15787"/>
    <cellStyle name="Comma 2 4 21 4 2" xfId="15788"/>
    <cellStyle name="Comma 2 4 21 5" xfId="15789"/>
    <cellStyle name="Comma 2 4 21 5 2" xfId="15790"/>
    <cellStyle name="Comma 2 4 21 6" xfId="15791"/>
    <cellStyle name="Comma 2 4 21 6 2" xfId="15792"/>
    <cellStyle name="Comma 2 4 21 7" xfId="15793"/>
    <cellStyle name="Comma 2 4 21 7 2" xfId="15794"/>
    <cellStyle name="Comma 2 4 21 8" xfId="15795"/>
    <cellStyle name="Comma 2 4 21 8 2" xfId="15796"/>
    <cellStyle name="Comma 2 4 21 9" xfId="15797"/>
    <cellStyle name="Comma 2 4 21 9 2" xfId="15798"/>
    <cellStyle name="Comma 2 4 22" xfId="15799"/>
    <cellStyle name="Comma 2 4 22 10" xfId="15800"/>
    <cellStyle name="Comma 2 4 22 10 2" xfId="15801"/>
    <cellStyle name="Comma 2 4 22 11" xfId="15802"/>
    <cellStyle name="Comma 2 4 22 11 2" xfId="15803"/>
    <cellStyle name="Comma 2 4 22 12" xfId="15804"/>
    <cellStyle name="Comma 2 4 22 2" xfId="15805"/>
    <cellStyle name="Comma 2 4 22 2 2" xfId="15806"/>
    <cellStyle name="Comma 2 4 22 3" xfId="15807"/>
    <cellStyle name="Comma 2 4 22 3 2" xfId="15808"/>
    <cellStyle name="Comma 2 4 22 4" xfId="15809"/>
    <cellStyle name="Comma 2 4 22 4 2" xfId="15810"/>
    <cellStyle name="Comma 2 4 22 5" xfId="15811"/>
    <cellStyle name="Comma 2 4 22 5 2" xfId="15812"/>
    <cellStyle name="Comma 2 4 22 6" xfId="15813"/>
    <cellStyle name="Comma 2 4 22 6 2" xfId="15814"/>
    <cellStyle name="Comma 2 4 22 7" xfId="15815"/>
    <cellStyle name="Comma 2 4 22 7 2" xfId="15816"/>
    <cellStyle name="Comma 2 4 22 8" xfId="15817"/>
    <cellStyle name="Comma 2 4 22 8 2" xfId="15818"/>
    <cellStyle name="Comma 2 4 22 9" xfId="15819"/>
    <cellStyle name="Comma 2 4 22 9 2" xfId="15820"/>
    <cellStyle name="Comma 2 4 23" xfId="15821"/>
    <cellStyle name="Comma 2 4 23 10" xfId="15822"/>
    <cellStyle name="Comma 2 4 23 10 2" xfId="15823"/>
    <cellStyle name="Comma 2 4 23 11" xfId="15824"/>
    <cellStyle name="Comma 2 4 23 11 2" xfId="15825"/>
    <cellStyle name="Comma 2 4 23 12" xfId="15826"/>
    <cellStyle name="Comma 2 4 23 2" xfId="15827"/>
    <cellStyle name="Comma 2 4 23 2 2" xfId="15828"/>
    <cellStyle name="Comma 2 4 23 3" xfId="15829"/>
    <cellStyle name="Comma 2 4 23 3 2" xfId="15830"/>
    <cellStyle name="Comma 2 4 23 4" xfId="15831"/>
    <cellStyle name="Comma 2 4 23 4 2" xfId="15832"/>
    <cellStyle name="Comma 2 4 23 5" xfId="15833"/>
    <cellStyle name="Comma 2 4 23 5 2" xfId="15834"/>
    <cellStyle name="Comma 2 4 23 6" xfId="15835"/>
    <cellStyle name="Comma 2 4 23 6 2" xfId="15836"/>
    <cellStyle name="Comma 2 4 23 7" xfId="15837"/>
    <cellStyle name="Comma 2 4 23 7 2" xfId="15838"/>
    <cellStyle name="Comma 2 4 23 8" xfId="15839"/>
    <cellStyle name="Comma 2 4 23 8 2" xfId="15840"/>
    <cellStyle name="Comma 2 4 23 9" xfId="15841"/>
    <cellStyle name="Comma 2 4 23 9 2" xfId="15842"/>
    <cellStyle name="Comma 2 4 24" xfId="15843"/>
    <cellStyle name="Comma 2 4 24 10" xfId="15844"/>
    <cellStyle name="Comma 2 4 24 10 2" xfId="15845"/>
    <cellStyle name="Comma 2 4 24 11" xfId="15846"/>
    <cellStyle name="Comma 2 4 24 11 2" xfId="15847"/>
    <cellStyle name="Comma 2 4 24 12" xfId="15848"/>
    <cellStyle name="Comma 2 4 24 2" xfId="15849"/>
    <cellStyle name="Comma 2 4 24 2 2" xfId="15850"/>
    <cellStyle name="Comma 2 4 24 3" xfId="15851"/>
    <cellStyle name="Comma 2 4 24 3 2" xfId="15852"/>
    <cellStyle name="Comma 2 4 24 4" xfId="15853"/>
    <cellStyle name="Comma 2 4 24 4 2" xfId="15854"/>
    <cellStyle name="Comma 2 4 24 5" xfId="15855"/>
    <cellStyle name="Comma 2 4 24 5 2" xfId="15856"/>
    <cellStyle name="Comma 2 4 24 6" xfId="15857"/>
    <cellStyle name="Comma 2 4 24 6 2" xfId="15858"/>
    <cellStyle name="Comma 2 4 24 7" xfId="15859"/>
    <cellStyle name="Comma 2 4 24 7 2" xfId="15860"/>
    <cellStyle name="Comma 2 4 24 8" xfId="15861"/>
    <cellStyle name="Comma 2 4 24 8 2" xfId="15862"/>
    <cellStyle name="Comma 2 4 24 9" xfId="15863"/>
    <cellStyle name="Comma 2 4 24 9 2" xfId="15864"/>
    <cellStyle name="Comma 2 4 25" xfId="15865"/>
    <cellStyle name="Comma 2 4 25 10" xfId="15866"/>
    <cellStyle name="Comma 2 4 25 10 2" xfId="15867"/>
    <cellStyle name="Comma 2 4 25 11" xfId="15868"/>
    <cellStyle name="Comma 2 4 25 11 2" xfId="15869"/>
    <cellStyle name="Comma 2 4 25 12" xfId="15870"/>
    <cellStyle name="Comma 2 4 25 2" xfId="15871"/>
    <cellStyle name="Comma 2 4 25 2 2" xfId="15872"/>
    <cellStyle name="Comma 2 4 25 3" xfId="15873"/>
    <cellStyle name="Comma 2 4 25 3 2" xfId="15874"/>
    <cellStyle name="Comma 2 4 25 4" xfId="15875"/>
    <cellStyle name="Comma 2 4 25 4 2" xfId="15876"/>
    <cellStyle name="Comma 2 4 25 5" xfId="15877"/>
    <cellStyle name="Comma 2 4 25 5 2" xfId="15878"/>
    <cellStyle name="Comma 2 4 25 6" xfId="15879"/>
    <cellStyle name="Comma 2 4 25 6 2" xfId="15880"/>
    <cellStyle name="Comma 2 4 25 7" xfId="15881"/>
    <cellStyle name="Comma 2 4 25 7 2" xfId="15882"/>
    <cellStyle name="Comma 2 4 25 8" xfId="15883"/>
    <cellStyle name="Comma 2 4 25 8 2" xfId="15884"/>
    <cellStyle name="Comma 2 4 25 9" xfId="15885"/>
    <cellStyle name="Comma 2 4 25 9 2" xfId="15886"/>
    <cellStyle name="Comma 2 4 26" xfId="15887"/>
    <cellStyle name="Comma 2 4 26 10" xfId="15888"/>
    <cellStyle name="Comma 2 4 26 10 2" xfId="15889"/>
    <cellStyle name="Comma 2 4 26 11" xfId="15890"/>
    <cellStyle name="Comma 2 4 26 11 2" xfId="15891"/>
    <cellStyle name="Comma 2 4 26 12" xfId="15892"/>
    <cellStyle name="Comma 2 4 26 2" xfId="15893"/>
    <cellStyle name="Comma 2 4 26 2 2" xfId="15894"/>
    <cellStyle name="Comma 2 4 26 3" xfId="15895"/>
    <cellStyle name="Comma 2 4 26 3 2" xfId="15896"/>
    <cellStyle name="Comma 2 4 26 4" xfId="15897"/>
    <cellStyle name="Comma 2 4 26 4 2" xfId="15898"/>
    <cellStyle name="Comma 2 4 26 5" xfId="15899"/>
    <cellStyle name="Comma 2 4 26 5 2" xfId="15900"/>
    <cellStyle name="Comma 2 4 26 6" xfId="15901"/>
    <cellStyle name="Comma 2 4 26 6 2" xfId="15902"/>
    <cellStyle name="Comma 2 4 26 7" xfId="15903"/>
    <cellStyle name="Comma 2 4 26 7 2" xfId="15904"/>
    <cellStyle name="Comma 2 4 26 8" xfId="15905"/>
    <cellStyle name="Comma 2 4 26 8 2" xfId="15906"/>
    <cellStyle name="Comma 2 4 26 9" xfId="15907"/>
    <cellStyle name="Comma 2 4 26 9 2" xfId="15908"/>
    <cellStyle name="Comma 2 4 27" xfId="15909"/>
    <cellStyle name="Comma 2 4 27 10" xfId="15910"/>
    <cellStyle name="Comma 2 4 27 10 2" xfId="15911"/>
    <cellStyle name="Comma 2 4 27 11" xfId="15912"/>
    <cellStyle name="Comma 2 4 27 11 2" xfId="15913"/>
    <cellStyle name="Comma 2 4 27 12" xfId="15914"/>
    <cellStyle name="Comma 2 4 27 2" xfId="15915"/>
    <cellStyle name="Comma 2 4 27 2 2" xfId="15916"/>
    <cellStyle name="Comma 2 4 27 3" xfId="15917"/>
    <cellStyle name="Comma 2 4 27 3 2" xfId="15918"/>
    <cellStyle name="Comma 2 4 27 4" xfId="15919"/>
    <cellStyle name="Comma 2 4 27 4 2" xfId="15920"/>
    <cellStyle name="Comma 2 4 27 5" xfId="15921"/>
    <cellStyle name="Comma 2 4 27 5 2" xfId="15922"/>
    <cellStyle name="Comma 2 4 27 6" xfId="15923"/>
    <cellStyle name="Comma 2 4 27 6 2" xfId="15924"/>
    <cellStyle name="Comma 2 4 27 7" xfId="15925"/>
    <cellStyle name="Comma 2 4 27 7 2" xfId="15926"/>
    <cellStyle name="Comma 2 4 27 8" xfId="15927"/>
    <cellStyle name="Comma 2 4 27 8 2" xfId="15928"/>
    <cellStyle name="Comma 2 4 27 9" xfId="15929"/>
    <cellStyle name="Comma 2 4 27 9 2" xfId="15930"/>
    <cellStyle name="Comma 2 4 28" xfId="15931"/>
    <cellStyle name="Comma 2 4 28 10" xfId="15932"/>
    <cellStyle name="Comma 2 4 28 10 2" xfId="15933"/>
    <cellStyle name="Comma 2 4 28 11" xfId="15934"/>
    <cellStyle name="Comma 2 4 28 11 2" xfId="15935"/>
    <cellStyle name="Comma 2 4 28 12" xfId="15936"/>
    <cellStyle name="Comma 2 4 28 2" xfId="15937"/>
    <cellStyle name="Comma 2 4 28 2 2" xfId="15938"/>
    <cellStyle name="Comma 2 4 28 3" xfId="15939"/>
    <cellStyle name="Comma 2 4 28 3 2" xfId="15940"/>
    <cellStyle name="Comma 2 4 28 4" xfId="15941"/>
    <cellStyle name="Comma 2 4 28 4 2" xfId="15942"/>
    <cellStyle name="Comma 2 4 28 5" xfId="15943"/>
    <cellStyle name="Comma 2 4 28 5 2" xfId="15944"/>
    <cellStyle name="Comma 2 4 28 6" xfId="15945"/>
    <cellStyle name="Comma 2 4 28 6 2" xfId="15946"/>
    <cellStyle name="Comma 2 4 28 7" xfId="15947"/>
    <cellStyle name="Comma 2 4 28 7 2" xfId="15948"/>
    <cellStyle name="Comma 2 4 28 8" xfId="15949"/>
    <cellStyle name="Comma 2 4 28 8 2" xfId="15950"/>
    <cellStyle name="Comma 2 4 28 9" xfId="15951"/>
    <cellStyle name="Comma 2 4 28 9 2" xfId="15952"/>
    <cellStyle name="Comma 2 4 29" xfId="15953"/>
    <cellStyle name="Comma 2 4 29 10" xfId="15954"/>
    <cellStyle name="Comma 2 4 29 10 2" xfId="15955"/>
    <cellStyle name="Comma 2 4 29 11" xfId="15956"/>
    <cellStyle name="Comma 2 4 29 11 2" xfId="15957"/>
    <cellStyle name="Comma 2 4 29 12" xfId="15958"/>
    <cellStyle name="Comma 2 4 29 2" xfId="15959"/>
    <cellStyle name="Comma 2 4 29 2 2" xfId="15960"/>
    <cellStyle name="Comma 2 4 29 3" xfId="15961"/>
    <cellStyle name="Comma 2 4 29 3 2" xfId="15962"/>
    <cellStyle name="Comma 2 4 29 4" xfId="15963"/>
    <cellStyle name="Comma 2 4 29 4 2" xfId="15964"/>
    <cellStyle name="Comma 2 4 29 5" xfId="15965"/>
    <cellStyle name="Comma 2 4 29 5 2" xfId="15966"/>
    <cellStyle name="Comma 2 4 29 6" xfId="15967"/>
    <cellStyle name="Comma 2 4 29 6 2" xfId="15968"/>
    <cellStyle name="Comma 2 4 29 7" xfId="15969"/>
    <cellStyle name="Comma 2 4 29 7 2" xfId="15970"/>
    <cellStyle name="Comma 2 4 29 8" xfId="15971"/>
    <cellStyle name="Comma 2 4 29 8 2" xfId="15972"/>
    <cellStyle name="Comma 2 4 29 9" xfId="15973"/>
    <cellStyle name="Comma 2 4 29 9 2" xfId="15974"/>
    <cellStyle name="Comma 2 4 3" xfId="15975"/>
    <cellStyle name="Comma 2 4 3 10" xfId="15976"/>
    <cellStyle name="Comma 2 4 3 10 10" xfId="15977"/>
    <cellStyle name="Comma 2 4 3 10 10 2" xfId="15978"/>
    <cellStyle name="Comma 2 4 3 10 11" xfId="15979"/>
    <cellStyle name="Comma 2 4 3 10 11 2" xfId="15980"/>
    <cellStyle name="Comma 2 4 3 10 12" xfId="15981"/>
    <cellStyle name="Comma 2 4 3 10 2" xfId="15982"/>
    <cellStyle name="Comma 2 4 3 10 2 2" xfId="15983"/>
    <cellStyle name="Comma 2 4 3 10 3" xfId="15984"/>
    <cellStyle name="Comma 2 4 3 10 3 2" xfId="15985"/>
    <cellStyle name="Comma 2 4 3 10 4" xfId="15986"/>
    <cellStyle name="Comma 2 4 3 10 4 2" xfId="15987"/>
    <cellStyle name="Comma 2 4 3 10 5" xfId="15988"/>
    <cellStyle name="Comma 2 4 3 10 5 2" xfId="15989"/>
    <cellStyle name="Comma 2 4 3 10 6" xfId="15990"/>
    <cellStyle name="Comma 2 4 3 10 6 2" xfId="15991"/>
    <cellStyle name="Comma 2 4 3 10 7" xfId="15992"/>
    <cellStyle name="Comma 2 4 3 10 7 2" xfId="15993"/>
    <cellStyle name="Comma 2 4 3 10 8" xfId="15994"/>
    <cellStyle name="Comma 2 4 3 10 8 2" xfId="15995"/>
    <cellStyle name="Comma 2 4 3 10 9" xfId="15996"/>
    <cellStyle name="Comma 2 4 3 10 9 2" xfId="15997"/>
    <cellStyle name="Comma 2 4 3 11" xfId="15998"/>
    <cellStyle name="Comma 2 4 3 11 10" xfId="15999"/>
    <cellStyle name="Comma 2 4 3 11 10 2" xfId="16000"/>
    <cellStyle name="Comma 2 4 3 11 11" xfId="16001"/>
    <cellStyle name="Comma 2 4 3 11 11 2" xfId="16002"/>
    <cellStyle name="Comma 2 4 3 11 12" xfId="16003"/>
    <cellStyle name="Comma 2 4 3 11 2" xfId="16004"/>
    <cellStyle name="Comma 2 4 3 11 2 2" xfId="16005"/>
    <cellStyle name="Comma 2 4 3 11 3" xfId="16006"/>
    <cellStyle name="Comma 2 4 3 11 3 2" xfId="16007"/>
    <cellStyle name="Comma 2 4 3 11 4" xfId="16008"/>
    <cellStyle name="Comma 2 4 3 11 4 2" xfId="16009"/>
    <cellStyle name="Comma 2 4 3 11 5" xfId="16010"/>
    <cellStyle name="Comma 2 4 3 11 5 2" xfId="16011"/>
    <cellStyle name="Comma 2 4 3 11 6" xfId="16012"/>
    <cellStyle name="Comma 2 4 3 11 6 2" xfId="16013"/>
    <cellStyle name="Comma 2 4 3 11 7" xfId="16014"/>
    <cellStyle name="Comma 2 4 3 11 7 2" xfId="16015"/>
    <cellStyle name="Comma 2 4 3 11 8" xfId="16016"/>
    <cellStyle name="Comma 2 4 3 11 8 2" xfId="16017"/>
    <cellStyle name="Comma 2 4 3 11 9" xfId="16018"/>
    <cellStyle name="Comma 2 4 3 11 9 2" xfId="16019"/>
    <cellStyle name="Comma 2 4 3 12" xfId="16020"/>
    <cellStyle name="Comma 2 4 3 12 10" xfId="16021"/>
    <cellStyle name="Comma 2 4 3 12 10 2" xfId="16022"/>
    <cellStyle name="Comma 2 4 3 12 11" xfId="16023"/>
    <cellStyle name="Comma 2 4 3 12 11 2" xfId="16024"/>
    <cellStyle name="Comma 2 4 3 12 12" xfId="16025"/>
    <cellStyle name="Comma 2 4 3 12 2" xfId="16026"/>
    <cellStyle name="Comma 2 4 3 12 2 2" xfId="16027"/>
    <cellStyle name="Comma 2 4 3 12 3" xfId="16028"/>
    <cellStyle name="Comma 2 4 3 12 3 2" xfId="16029"/>
    <cellStyle name="Comma 2 4 3 12 4" xfId="16030"/>
    <cellStyle name="Comma 2 4 3 12 4 2" xfId="16031"/>
    <cellStyle name="Comma 2 4 3 12 5" xfId="16032"/>
    <cellStyle name="Comma 2 4 3 12 5 2" xfId="16033"/>
    <cellStyle name="Comma 2 4 3 12 6" xfId="16034"/>
    <cellStyle name="Comma 2 4 3 12 6 2" xfId="16035"/>
    <cellStyle name="Comma 2 4 3 12 7" xfId="16036"/>
    <cellStyle name="Comma 2 4 3 12 7 2" xfId="16037"/>
    <cellStyle name="Comma 2 4 3 12 8" xfId="16038"/>
    <cellStyle name="Comma 2 4 3 12 8 2" xfId="16039"/>
    <cellStyle name="Comma 2 4 3 12 9" xfId="16040"/>
    <cellStyle name="Comma 2 4 3 12 9 2" xfId="16041"/>
    <cellStyle name="Comma 2 4 3 13" xfId="16042"/>
    <cellStyle name="Comma 2 4 3 13 10" xfId="16043"/>
    <cellStyle name="Comma 2 4 3 13 10 2" xfId="16044"/>
    <cellStyle name="Comma 2 4 3 13 11" xfId="16045"/>
    <cellStyle name="Comma 2 4 3 13 11 2" xfId="16046"/>
    <cellStyle name="Comma 2 4 3 13 12" xfId="16047"/>
    <cellStyle name="Comma 2 4 3 13 2" xfId="16048"/>
    <cellStyle name="Comma 2 4 3 13 2 2" xfId="16049"/>
    <cellStyle name="Comma 2 4 3 13 3" xfId="16050"/>
    <cellStyle name="Comma 2 4 3 13 3 2" xfId="16051"/>
    <cellStyle name="Comma 2 4 3 13 4" xfId="16052"/>
    <cellStyle name="Comma 2 4 3 13 4 2" xfId="16053"/>
    <cellStyle name="Comma 2 4 3 13 5" xfId="16054"/>
    <cellStyle name="Comma 2 4 3 13 5 2" xfId="16055"/>
    <cellStyle name="Comma 2 4 3 13 6" xfId="16056"/>
    <cellStyle name="Comma 2 4 3 13 6 2" xfId="16057"/>
    <cellStyle name="Comma 2 4 3 13 7" xfId="16058"/>
    <cellStyle name="Comma 2 4 3 13 7 2" xfId="16059"/>
    <cellStyle name="Comma 2 4 3 13 8" xfId="16060"/>
    <cellStyle name="Comma 2 4 3 13 8 2" xfId="16061"/>
    <cellStyle name="Comma 2 4 3 13 9" xfId="16062"/>
    <cellStyle name="Comma 2 4 3 13 9 2" xfId="16063"/>
    <cellStyle name="Comma 2 4 3 14" xfId="16064"/>
    <cellStyle name="Comma 2 4 3 14 10" xfId="16065"/>
    <cellStyle name="Comma 2 4 3 14 10 2" xfId="16066"/>
    <cellStyle name="Comma 2 4 3 14 11" xfId="16067"/>
    <cellStyle name="Comma 2 4 3 14 11 2" xfId="16068"/>
    <cellStyle name="Comma 2 4 3 14 12" xfId="16069"/>
    <cellStyle name="Comma 2 4 3 14 2" xfId="16070"/>
    <cellStyle name="Comma 2 4 3 14 2 2" xfId="16071"/>
    <cellStyle name="Comma 2 4 3 14 3" xfId="16072"/>
    <cellStyle name="Comma 2 4 3 14 3 2" xfId="16073"/>
    <cellStyle name="Comma 2 4 3 14 4" xfId="16074"/>
    <cellStyle name="Comma 2 4 3 14 4 2" xfId="16075"/>
    <cellStyle name="Comma 2 4 3 14 5" xfId="16076"/>
    <cellStyle name="Comma 2 4 3 14 5 2" xfId="16077"/>
    <cellStyle name="Comma 2 4 3 14 6" xfId="16078"/>
    <cellStyle name="Comma 2 4 3 14 6 2" xfId="16079"/>
    <cellStyle name="Comma 2 4 3 14 7" xfId="16080"/>
    <cellStyle name="Comma 2 4 3 14 7 2" xfId="16081"/>
    <cellStyle name="Comma 2 4 3 14 8" xfId="16082"/>
    <cellStyle name="Comma 2 4 3 14 8 2" xfId="16083"/>
    <cellStyle name="Comma 2 4 3 14 9" xfId="16084"/>
    <cellStyle name="Comma 2 4 3 14 9 2" xfId="16085"/>
    <cellStyle name="Comma 2 4 3 15" xfId="16086"/>
    <cellStyle name="Comma 2 4 3 15 10" xfId="16087"/>
    <cellStyle name="Comma 2 4 3 15 10 2" xfId="16088"/>
    <cellStyle name="Comma 2 4 3 15 11" xfId="16089"/>
    <cellStyle name="Comma 2 4 3 15 11 2" xfId="16090"/>
    <cellStyle name="Comma 2 4 3 15 12" xfId="16091"/>
    <cellStyle name="Comma 2 4 3 15 2" xfId="16092"/>
    <cellStyle name="Comma 2 4 3 15 2 2" xfId="16093"/>
    <cellStyle name="Comma 2 4 3 15 3" xfId="16094"/>
    <cellStyle name="Comma 2 4 3 15 3 2" xfId="16095"/>
    <cellStyle name="Comma 2 4 3 15 4" xfId="16096"/>
    <cellStyle name="Comma 2 4 3 15 4 2" xfId="16097"/>
    <cellStyle name="Comma 2 4 3 15 5" xfId="16098"/>
    <cellStyle name="Comma 2 4 3 15 5 2" xfId="16099"/>
    <cellStyle name="Comma 2 4 3 15 6" xfId="16100"/>
    <cellStyle name="Comma 2 4 3 15 6 2" xfId="16101"/>
    <cellStyle name="Comma 2 4 3 15 7" xfId="16102"/>
    <cellStyle name="Comma 2 4 3 15 7 2" xfId="16103"/>
    <cellStyle name="Comma 2 4 3 15 8" xfId="16104"/>
    <cellStyle name="Comma 2 4 3 15 8 2" xfId="16105"/>
    <cellStyle name="Comma 2 4 3 15 9" xfId="16106"/>
    <cellStyle name="Comma 2 4 3 15 9 2" xfId="16107"/>
    <cellStyle name="Comma 2 4 3 16" xfId="16108"/>
    <cellStyle name="Comma 2 4 3 16 10" xfId="16109"/>
    <cellStyle name="Comma 2 4 3 16 10 2" xfId="16110"/>
    <cellStyle name="Comma 2 4 3 16 11" xfId="16111"/>
    <cellStyle name="Comma 2 4 3 16 11 2" xfId="16112"/>
    <cellStyle name="Comma 2 4 3 16 12" xfId="16113"/>
    <cellStyle name="Comma 2 4 3 16 2" xfId="16114"/>
    <cellStyle name="Comma 2 4 3 16 2 2" xfId="16115"/>
    <cellStyle name="Comma 2 4 3 16 3" xfId="16116"/>
    <cellStyle name="Comma 2 4 3 16 3 2" xfId="16117"/>
    <cellStyle name="Comma 2 4 3 16 4" xfId="16118"/>
    <cellStyle name="Comma 2 4 3 16 4 2" xfId="16119"/>
    <cellStyle name="Comma 2 4 3 16 5" xfId="16120"/>
    <cellStyle name="Comma 2 4 3 16 5 2" xfId="16121"/>
    <cellStyle name="Comma 2 4 3 16 6" xfId="16122"/>
    <cellStyle name="Comma 2 4 3 16 6 2" xfId="16123"/>
    <cellStyle name="Comma 2 4 3 16 7" xfId="16124"/>
    <cellStyle name="Comma 2 4 3 16 7 2" xfId="16125"/>
    <cellStyle name="Comma 2 4 3 16 8" xfId="16126"/>
    <cellStyle name="Comma 2 4 3 16 8 2" xfId="16127"/>
    <cellStyle name="Comma 2 4 3 16 9" xfId="16128"/>
    <cellStyle name="Comma 2 4 3 16 9 2" xfId="16129"/>
    <cellStyle name="Comma 2 4 3 17" xfId="16130"/>
    <cellStyle name="Comma 2 4 3 17 10" xfId="16131"/>
    <cellStyle name="Comma 2 4 3 17 10 2" xfId="16132"/>
    <cellStyle name="Comma 2 4 3 17 11" xfId="16133"/>
    <cellStyle name="Comma 2 4 3 17 11 2" xfId="16134"/>
    <cellStyle name="Comma 2 4 3 17 12" xfId="16135"/>
    <cellStyle name="Comma 2 4 3 17 2" xfId="16136"/>
    <cellStyle name="Comma 2 4 3 17 2 2" xfId="16137"/>
    <cellStyle name="Comma 2 4 3 17 3" xfId="16138"/>
    <cellStyle name="Comma 2 4 3 17 3 2" xfId="16139"/>
    <cellStyle name="Comma 2 4 3 17 4" xfId="16140"/>
    <cellStyle name="Comma 2 4 3 17 4 2" xfId="16141"/>
    <cellStyle name="Comma 2 4 3 17 5" xfId="16142"/>
    <cellStyle name="Comma 2 4 3 17 5 2" xfId="16143"/>
    <cellStyle name="Comma 2 4 3 17 6" xfId="16144"/>
    <cellStyle name="Comma 2 4 3 17 6 2" xfId="16145"/>
    <cellStyle name="Comma 2 4 3 17 7" xfId="16146"/>
    <cellStyle name="Comma 2 4 3 17 7 2" xfId="16147"/>
    <cellStyle name="Comma 2 4 3 17 8" xfId="16148"/>
    <cellStyle name="Comma 2 4 3 17 8 2" xfId="16149"/>
    <cellStyle name="Comma 2 4 3 17 9" xfId="16150"/>
    <cellStyle name="Comma 2 4 3 17 9 2" xfId="16151"/>
    <cellStyle name="Comma 2 4 3 18" xfId="16152"/>
    <cellStyle name="Comma 2 4 3 18 10" xfId="16153"/>
    <cellStyle name="Comma 2 4 3 18 10 2" xfId="16154"/>
    <cellStyle name="Comma 2 4 3 18 11" xfId="16155"/>
    <cellStyle name="Comma 2 4 3 18 11 2" xfId="16156"/>
    <cellStyle name="Comma 2 4 3 18 12" xfId="16157"/>
    <cellStyle name="Comma 2 4 3 18 2" xfId="16158"/>
    <cellStyle name="Comma 2 4 3 18 2 2" xfId="16159"/>
    <cellStyle name="Comma 2 4 3 18 3" xfId="16160"/>
    <cellStyle name="Comma 2 4 3 18 3 2" xfId="16161"/>
    <cellStyle name="Comma 2 4 3 18 4" xfId="16162"/>
    <cellStyle name="Comma 2 4 3 18 4 2" xfId="16163"/>
    <cellStyle name="Comma 2 4 3 18 5" xfId="16164"/>
    <cellStyle name="Comma 2 4 3 18 5 2" xfId="16165"/>
    <cellStyle name="Comma 2 4 3 18 6" xfId="16166"/>
    <cellStyle name="Comma 2 4 3 18 6 2" xfId="16167"/>
    <cellStyle name="Comma 2 4 3 18 7" xfId="16168"/>
    <cellStyle name="Comma 2 4 3 18 7 2" xfId="16169"/>
    <cellStyle name="Comma 2 4 3 18 8" xfId="16170"/>
    <cellStyle name="Comma 2 4 3 18 8 2" xfId="16171"/>
    <cellStyle name="Comma 2 4 3 18 9" xfId="16172"/>
    <cellStyle name="Comma 2 4 3 18 9 2" xfId="16173"/>
    <cellStyle name="Comma 2 4 3 19" xfId="16174"/>
    <cellStyle name="Comma 2 4 3 19 10" xfId="16175"/>
    <cellStyle name="Comma 2 4 3 19 10 2" xfId="16176"/>
    <cellStyle name="Comma 2 4 3 19 11" xfId="16177"/>
    <cellStyle name="Comma 2 4 3 19 11 2" xfId="16178"/>
    <cellStyle name="Comma 2 4 3 19 12" xfId="16179"/>
    <cellStyle name="Comma 2 4 3 19 2" xfId="16180"/>
    <cellStyle name="Comma 2 4 3 19 2 2" xfId="16181"/>
    <cellStyle name="Comma 2 4 3 19 3" xfId="16182"/>
    <cellStyle name="Comma 2 4 3 19 3 2" xfId="16183"/>
    <cellStyle name="Comma 2 4 3 19 4" xfId="16184"/>
    <cellStyle name="Comma 2 4 3 19 4 2" xfId="16185"/>
    <cellStyle name="Comma 2 4 3 19 5" xfId="16186"/>
    <cellStyle name="Comma 2 4 3 19 5 2" xfId="16187"/>
    <cellStyle name="Comma 2 4 3 19 6" xfId="16188"/>
    <cellStyle name="Comma 2 4 3 19 6 2" xfId="16189"/>
    <cellStyle name="Comma 2 4 3 19 7" xfId="16190"/>
    <cellStyle name="Comma 2 4 3 19 7 2" xfId="16191"/>
    <cellStyle name="Comma 2 4 3 19 8" xfId="16192"/>
    <cellStyle name="Comma 2 4 3 19 8 2" xfId="16193"/>
    <cellStyle name="Comma 2 4 3 19 9" xfId="16194"/>
    <cellStyle name="Comma 2 4 3 19 9 2" xfId="16195"/>
    <cellStyle name="Comma 2 4 3 2" xfId="16196"/>
    <cellStyle name="Comma 2 4 3 2 10" xfId="16197"/>
    <cellStyle name="Comma 2 4 3 2 10 2" xfId="16198"/>
    <cellStyle name="Comma 2 4 3 2 11" xfId="16199"/>
    <cellStyle name="Comma 2 4 3 2 11 2" xfId="16200"/>
    <cellStyle name="Comma 2 4 3 2 12" xfId="16201"/>
    <cellStyle name="Comma 2 4 3 2 2" xfId="16202"/>
    <cellStyle name="Comma 2 4 3 2 2 2" xfId="16203"/>
    <cellStyle name="Comma 2 4 3 2 3" xfId="16204"/>
    <cellStyle name="Comma 2 4 3 2 3 2" xfId="16205"/>
    <cellStyle name="Comma 2 4 3 2 4" xfId="16206"/>
    <cellStyle name="Comma 2 4 3 2 4 2" xfId="16207"/>
    <cellStyle name="Comma 2 4 3 2 5" xfId="16208"/>
    <cellStyle name="Comma 2 4 3 2 5 2" xfId="16209"/>
    <cellStyle name="Comma 2 4 3 2 6" xfId="16210"/>
    <cellStyle name="Comma 2 4 3 2 6 2" xfId="16211"/>
    <cellStyle name="Comma 2 4 3 2 7" xfId="16212"/>
    <cellStyle name="Comma 2 4 3 2 7 2" xfId="16213"/>
    <cellStyle name="Comma 2 4 3 2 8" xfId="16214"/>
    <cellStyle name="Comma 2 4 3 2 8 2" xfId="16215"/>
    <cellStyle name="Comma 2 4 3 2 9" xfId="16216"/>
    <cellStyle name="Comma 2 4 3 2 9 2" xfId="16217"/>
    <cellStyle name="Comma 2 4 3 20" xfId="16218"/>
    <cellStyle name="Comma 2 4 3 20 10" xfId="16219"/>
    <cellStyle name="Comma 2 4 3 20 10 2" xfId="16220"/>
    <cellStyle name="Comma 2 4 3 20 11" xfId="16221"/>
    <cellStyle name="Comma 2 4 3 20 11 2" xfId="16222"/>
    <cellStyle name="Comma 2 4 3 20 12" xfId="16223"/>
    <cellStyle name="Comma 2 4 3 20 2" xfId="16224"/>
    <cellStyle name="Comma 2 4 3 20 2 2" xfId="16225"/>
    <cellStyle name="Comma 2 4 3 20 3" xfId="16226"/>
    <cellStyle name="Comma 2 4 3 20 3 2" xfId="16227"/>
    <cellStyle name="Comma 2 4 3 20 4" xfId="16228"/>
    <cellStyle name="Comma 2 4 3 20 4 2" xfId="16229"/>
    <cellStyle name="Comma 2 4 3 20 5" xfId="16230"/>
    <cellStyle name="Comma 2 4 3 20 5 2" xfId="16231"/>
    <cellStyle name="Comma 2 4 3 20 6" xfId="16232"/>
    <cellStyle name="Comma 2 4 3 20 6 2" xfId="16233"/>
    <cellStyle name="Comma 2 4 3 20 7" xfId="16234"/>
    <cellStyle name="Comma 2 4 3 20 7 2" xfId="16235"/>
    <cellStyle name="Comma 2 4 3 20 8" xfId="16236"/>
    <cellStyle name="Comma 2 4 3 20 8 2" xfId="16237"/>
    <cellStyle name="Comma 2 4 3 20 9" xfId="16238"/>
    <cellStyle name="Comma 2 4 3 20 9 2" xfId="16239"/>
    <cellStyle name="Comma 2 4 3 21" xfId="16240"/>
    <cellStyle name="Comma 2 4 3 21 10" xfId="16241"/>
    <cellStyle name="Comma 2 4 3 21 10 2" xfId="16242"/>
    <cellStyle name="Comma 2 4 3 21 11" xfId="16243"/>
    <cellStyle name="Comma 2 4 3 21 11 2" xfId="16244"/>
    <cellStyle name="Comma 2 4 3 21 12" xfId="16245"/>
    <cellStyle name="Comma 2 4 3 21 2" xfId="16246"/>
    <cellStyle name="Comma 2 4 3 21 2 2" xfId="16247"/>
    <cellStyle name="Comma 2 4 3 21 3" xfId="16248"/>
    <cellStyle name="Comma 2 4 3 21 3 2" xfId="16249"/>
    <cellStyle name="Comma 2 4 3 21 4" xfId="16250"/>
    <cellStyle name="Comma 2 4 3 21 4 2" xfId="16251"/>
    <cellStyle name="Comma 2 4 3 21 5" xfId="16252"/>
    <cellStyle name="Comma 2 4 3 21 5 2" xfId="16253"/>
    <cellStyle name="Comma 2 4 3 21 6" xfId="16254"/>
    <cellStyle name="Comma 2 4 3 21 6 2" xfId="16255"/>
    <cellStyle name="Comma 2 4 3 21 7" xfId="16256"/>
    <cellStyle name="Comma 2 4 3 21 7 2" xfId="16257"/>
    <cellStyle name="Comma 2 4 3 21 8" xfId="16258"/>
    <cellStyle name="Comma 2 4 3 21 8 2" xfId="16259"/>
    <cellStyle name="Comma 2 4 3 21 9" xfId="16260"/>
    <cellStyle name="Comma 2 4 3 21 9 2" xfId="16261"/>
    <cellStyle name="Comma 2 4 3 22" xfId="16262"/>
    <cellStyle name="Comma 2 4 3 22 10" xfId="16263"/>
    <cellStyle name="Comma 2 4 3 22 10 2" xfId="16264"/>
    <cellStyle name="Comma 2 4 3 22 11" xfId="16265"/>
    <cellStyle name="Comma 2 4 3 22 11 2" xfId="16266"/>
    <cellStyle name="Comma 2 4 3 22 12" xfId="16267"/>
    <cellStyle name="Comma 2 4 3 22 2" xfId="16268"/>
    <cellStyle name="Comma 2 4 3 22 2 2" xfId="16269"/>
    <cellStyle name="Comma 2 4 3 22 3" xfId="16270"/>
    <cellStyle name="Comma 2 4 3 22 3 2" xfId="16271"/>
    <cellStyle name="Comma 2 4 3 22 4" xfId="16272"/>
    <cellStyle name="Comma 2 4 3 22 4 2" xfId="16273"/>
    <cellStyle name="Comma 2 4 3 22 5" xfId="16274"/>
    <cellStyle name="Comma 2 4 3 22 5 2" xfId="16275"/>
    <cellStyle name="Comma 2 4 3 22 6" xfId="16276"/>
    <cellStyle name="Comma 2 4 3 22 6 2" xfId="16277"/>
    <cellStyle name="Comma 2 4 3 22 7" xfId="16278"/>
    <cellStyle name="Comma 2 4 3 22 7 2" xfId="16279"/>
    <cellStyle name="Comma 2 4 3 22 8" xfId="16280"/>
    <cellStyle name="Comma 2 4 3 22 8 2" xfId="16281"/>
    <cellStyle name="Comma 2 4 3 22 9" xfId="16282"/>
    <cellStyle name="Comma 2 4 3 22 9 2" xfId="16283"/>
    <cellStyle name="Comma 2 4 3 23" xfId="16284"/>
    <cellStyle name="Comma 2 4 3 23 10" xfId="16285"/>
    <cellStyle name="Comma 2 4 3 23 10 2" xfId="16286"/>
    <cellStyle name="Comma 2 4 3 23 11" xfId="16287"/>
    <cellStyle name="Comma 2 4 3 23 11 2" xfId="16288"/>
    <cellStyle name="Comma 2 4 3 23 12" xfId="16289"/>
    <cellStyle name="Comma 2 4 3 23 2" xfId="16290"/>
    <cellStyle name="Comma 2 4 3 23 2 2" xfId="16291"/>
    <cellStyle name="Comma 2 4 3 23 3" xfId="16292"/>
    <cellStyle name="Comma 2 4 3 23 3 2" xfId="16293"/>
    <cellStyle name="Comma 2 4 3 23 4" xfId="16294"/>
    <cellStyle name="Comma 2 4 3 23 4 2" xfId="16295"/>
    <cellStyle name="Comma 2 4 3 23 5" xfId="16296"/>
    <cellStyle name="Comma 2 4 3 23 5 2" xfId="16297"/>
    <cellStyle name="Comma 2 4 3 23 6" xfId="16298"/>
    <cellStyle name="Comma 2 4 3 23 6 2" xfId="16299"/>
    <cellStyle name="Comma 2 4 3 23 7" xfId="16300"/>
    <cellStyle name="Comma 2 4 3 23 7 2" xfId="16301"/>
    <cellStyle name="Comma 2 4 3 23 8" xfId="16302"/>
    <cellStyle name="Comma 2 4 3 23 8 2" xfId="16303"/>
    <cellStyle name="Comma 2 4 3 23 9" xfId="16304"/>
    <cellStyle name="Comma 2 4 3 23 9 2" xfId="16305"/>
    <cellStyle name="Comma 2 4 3 24" xfId="16306"/>
    <cellStyle name="Comma 2 4 3 24 10" xfId="16307"/>
    <cellStyle name="Comma 2 4 3 24 10 2" xfId="16308"/>
    <cellStyle name="Comma 2 4 3 24 11" xfId="16309"/>
    <cellStyle name="Comma 2 4 3 24 11 2" xfId="16310"/>
    <cellStyle name="Comma 2 4 3 24 12" xfId="16311"/>
    <cellStyle name="Comma 2 4 3 24 2" xfId="16312"/>
    <cellStyle name="Comma 2 4 3 24 2 2" xfId="16313"/>
    <cellStyle name="Comma 2 4 3 24 3" xfId="16314"/>
    <cellStyle name="Comma 2 4 3 24 3 2" xfId="16315"/>
    <cellStyle name="Comma 2 4 3 24 4" xfId="16316"/>
    <cellStyle name="Comma 2 4 3 24 4 2" xfId="16317"/>
    <cellStyle name="Comma 2 4 3 24 5" xfId="16318"/>
    <cellStyle name="Comma 2 4 3 24 5 2" xfId="16319"/>
    <cellStyle name="Comma 2 4 3 24 6" xfId="16320"/>
    <cellStyle name="Comma 2 4 3 24 6 2" xfId="16321"/>
    <cellStyle name="Comma 2 4 3 24 7" xfId="16322"/>
    <cellStyle name="Comma 2 4 3 24 7 2" xfId="16323"/>
    <cellStyle name="Comma 2 4 3 24 8" xfId="16324"/>
    <cellStyle name="Comma 2 4 3 24 8 2" xfId="16325"/>
    <cellStyle name="Comma 2 4 3 24 9" xfId="16326"/>
    <cellStyle name="Comma 2 4 3 24 9 2" xfId="16327"/>
    <cellStyle name="Comma 2 4 3 25" xfId="16328"/>
    <cellStyle name="Comma 2 4 3 25 10" xfId="16329"/>
    <cellStyle name="Comma 2 4 3 25 10 2" xfId="16330"/>
    <cellStyle name="Comma 2 4 3 25 11" xfId="16331"/>
    <cellStyle name="Comma 2 4 3 25 11 2" xfId="16332"/>
    <cellStyle name="Comma 2 4 3 25 12" xfId="16333"/>
    <cellStyle name="Comma 2 4 3 25 2" xfId="16334"/>
    <cellStyle name="Comma 2 4 3 25 2 2" xfId="16335"/>
    <cellStyle name="Comma 2 4 3 25 3" xfId="16336"/>
    <cellStyle name="Comma 2 4 3 25 3 2" xfId="16337"/>
    <cellStyle name="Comma 2 4 3 25 4" xfId="16338"/>
    <cellStyle name="Comma 2 4 3 25 4 2" xfId="16339"/>
    <cellStyle name="Comma 2 4 3 25 5" xfId="16340"/>
    <cellStyle name="Comma 2 4 3 25 5 2" xfId="16341"/>
    <cellStyle name="Comma 2 4 3 25 6" xfId="16342"/>
    <cellStyle name="Comma 2 4 3 25 6 2" xfId="16343"/>
    <cellStyle name="Comma 2 4 3 25 7" xfId="16344"/>
    <cellStyle name="Comma 2 4 3 25 7 2" xfId="16345"/>
    <cellStyle name="Comma 2 4 3 25 8" xfId="16346"/>
    <cellStyle name="Comma 2 4 3 25 8 2" xfId="16347"/>
    <cellStyle name="Comma 2 4 3 25 9" xfId="16348"/>
    <cellStyle name="Comma 2 4 3 25 9 2" xfId="16349"/>
    <cellStyle name="Comma 2 4 3 26" xfId="16350"/>
    <cellStyle name="Comma 2 4 3 26 10" xfId="16351"/>
    <cellStyle name="Comma 2 4 3 26 10 2" xfId="16352"/>
    <cellStyle name="Comma 2 4 3 26 11" xfId="16353"/>
    <cellStyle name="Comma 2 4 3 26 11 2" xfId="16354"/>
    <cellStyle name="Comma 2 4 3 26 12" xfId="16355"/>
    <cellStyle name="Comma 2 4 3 26 2" xfId="16356"/>
    <cellStyle name="Comma 2 4 3 26 2 2" xfId="16357"/>
    <cellStyle name="Comma 2 4 3 26 3" xfId="16358"/>
    <cellStyle name="Comma 2 4 3 26 3 2" xfId="16359"/>
    <cellStyle name="Comma 2 4 3 26 4" xfId="16360"/>
    <cellStyle name="Comma 2 4 3 26 4 2" xfId="16361"/>
    <cellStyle name="Comma 2 4 3 26 5" xfId="16362"/>
    <cellStyle name="Comma 2 4 3 26 5 2" xfId="16363"/>
    <cellStyle name="Comma 2 4 3 26 6" xfId="16364"/>
    <cellStyle name="Comma 2 4 3 26 6 2" xfId="16365"/>
    <cellStyle name="Comma 2 4 3 26 7" xfId="16366"/>
    <cellStyle name="Comma 2 4 3 26 7 2" xfId="16367"/>
    <cellStyle name="Comma 2 4 3 26 8" xfId="16368"/>
    <cellStyle name="Comma 2 4 3 26 8 2" xfId="16369"/>
    <cellStyle name="Comma 2 4 3 26 9" xfId="16370"/>
    <cellStyle name="Comma 2 4 3 26 9 2" xfId="16371"/>
    <cellStyle name="Comma 2 4 3 27" xfId="16372"/>
    <cellStyle name="Comma 2 4 3 27 10" xfId="16373"/>
    <cellStyle name="Comma 2 4 3 27 10 2" xfId="16374"/>
    <cellStyle name="Comma 2 4 3 27 11" xfId="16375"/>
    <cellStyle name="Comma 2 4 3 27 11 2" xfId="16376"/>
    <cellStyle name="Comma 2 4 3 27 12" xfId="16377"/>
    <cellStyle name="Comma 2 4 3 27 2" xfId="16378"/>
    <cellStyle name="Comma 2 4 3 27 2 2" xfId="16379"/>
    <cellStyle name="Comma 2 4 3 27 3" xfId="16380"/>
    <cellStyle name="Comma 2 4 3 27 3 2" xfId="16381"/>
    <cellStyle name="Comma 2 4 3 27 4" xfId="16382"/>
    <cellStyle name="Comma 2 4 3 27 4 2" xfId="16383"/>
    <cellStyle name="Comma 2 4 3 27 5" xfId="16384"/>
    <cellStyle name="Comma 2 4 3 27 5 2" xfId="16385"/>
    <cellStyle name="Comma 2 4 3 27 6" xfId="16386"/>
    <cellStyle name="Comma 2 4 3 27 6 2" xfId="16387"/>
    <cellStyle name="Comma 2 4 3 27 7" xfId="16388"/>
    <cellStyle name="Comma 2 4 3 27 7 2" xfId="16389"/>
    <cellStyle name="Comma 2 4 3 27 8" xfId="16390"/>
    <cellStyle name="Comma 2 4 3 27 8 2" xfId="16391"/>
    <cellStyle name="Comma 2 4 3 27 9" xfId="16392"/>
    <cellStyle name="Comma 2 4 3 27 9 2" xfId="16393"/>
    <cellStyle name="Comma 2 4 3 28" xfId="16394"/>
    <cellStyle name="Comma 2 4 3 28 10" xfId="16395"/>
    <cellStyle name="Comma 2 4 3 28 10 2" xfId="16396"/>
    <cellStyle name="Comma 2 4 3 28 11" xfId="16397"/>
    <cellStyle name="Comma 2 4 3 28 11 2" xfId="16398"/>
    <cellStyle name="Comma 2 4 3 28 12" xfId="16399"/>
    <cellStyle name="Comma 2 4 3 28 2" xfId="16400"/>
    <cellStyle name="Comma 2 4 3 28 2 2" xfId="16401"/>
    <cellStyle name="Comma 2 4 3 28 3" xfId="16402"/>
    <cellStyle name="Comma 2 4 3 28 3 2" xfId="16403"/>
    <cellStyle name="Comma 2 4 3 28 4" xfId="16404"/>
    <cellStyle name="Comma 2 4 3 28 4 2" xfId="16405"/>
    <cellStyle name="Comma 2 4 3 28 5" xfId="16406"/>
    <cellStyle name="Comma 2 4 3 28 5 2" xfId="16407"/>
    <cellStyle name="Comma 2 4 3 28 6" xfId="16408"/>
    <cellStyle name="Comma 2 4 3 28 6 2" xfId="16409"/>
    <cellStyle name="Comma 2 4 3 28 7" xfId="16410"/>
    <cellStyle name="Comma 2 4 3 28 7 2" xfId="16411"/>
    <cellStyle name="Comma 2 4 3 28 8" xfId="16412"/>
    <cellStyle name="Comma 2 4 3 28 8 2" xfId="16413"/>
    <cellStyle name="Comma 2 4 3 28 9" xfId="16414"/>
    <cellStyle name="Comma 2 4 3 28 9 2" xfId="16415"/>
    <cellStyle name="Comma 2 4 3 29" xfId="16416"/>
    <cellStyle name="Comma 2 4 3 29 10" xfId="16417"/>
    <cellStyle name="Comma 2 4 3 29 10 2" xfId="16418"/>
    <cellStyle name="Comma 2 4 3 29 11" xfId="16419"/>
    <cellStyle name="Comma 2 4 3 29 11 2" xfId="16420"/>
    <cellStyle name="Comma 2 4 3 29 12" xfId="16421"/>
    <cellStyle name="Comma 2 4 3 29 2" xfId="16422"/>
    <cellStyle name="Comma 2 4 3 29 2 2" xfId="16423"/>
    <cellStyle name="Comma 2 4 3 29 3" xfId="16424"/>
    <cellStyle name="Comma 2 4 3 29 3 2" xfId="16425"/>
    <cellStyle name="Comma 2 4 3 29 4" xfId="16426"/>
    <cellStyle name="Comma 2 4 3 29 4 2" xfId="16427"/>
    <cellStyle name="Comma 2 4 3 29 5" xfId="16428"/>
    <cellStyle name="Comma 2 4 3 29 5 2" xfId="16429"/>
    <cellStyle name="Comma 2 4 3 29 6" xfId="16430"/>
    <cellStyle name="Comma 2 4 3 29 6 2" xfId="16431"/>
    <cellStyle name="Comma 2 4 3 29 7" xfId="16432"/>
    <cellStyle name="Comma 2 4 3 29 7 2" xfId="16433"/>
    <cellStyle name="Comma 2 4 3 29 8" xfId="16434"/>
    <cellStyle name="Comma 2 4 3 29 8 2" xfId="16435"/>
    <cellStyle name="Comma 2 4 3 29 9" xfId="16436"/>
    <cellStyle name="Comma 2 4 3 29 9 2" xfId="16437"/>
    <cellStyle name="Comma 2 4 3 3" xfId="16438"/>
    <cellStyle name="Comma 2 4 3 3 10" xfId="16439"/>
    <cellStyle name="Comma 2 4 3 3 10 2" xfId="16440"/>
    <cellStyle name="Comma 2 4 3 3 11" xfId="16441"/>
    <cellStyle name="Comma 2 4 3 3 11 2" xfId="16442"/>
    <cellStyle name="Comma 2 4 3 3 12" xfId="16443"/>
    <cellStyle name="Comma 2 4 3 3 2" xfId="16444"/>
    <cellStyle name="Comma 2 4 3 3 2 2" xfId="16445"/>
    <cellStyle name="Comma 2 4 3 3 3" xfId="16446"/>
    <cellStyle name="Comma 2 4 3 3 3 2" xfId="16447"/>
    <cellStyle name="Comma 2 4 3 3 4" xfId="16448"/>
    <cellStyle name="Comma 2 4 3 3 4 2" xfId="16449"/>
    <cellStyle name="Comma 2 4 3 3 5" xfId="16450"/>
    <cellStyle name="Comma 2 4 3 3 5 2" xfId="16451"/>
    <cellStyle name="Comma 2 4 3 3 6" xfId="16452"/>
    <cellStyle name="Comma 2 4 3 3 6 2" xfId="16453"/>
    <cellStyle name="Comma 2 4 3 3 7" xfId="16454"/>
    <cellStyle name="Comma 2 4 3 3 7 2" xfId="16455"/>
    <cellStyle name="Comma 2 4 3 3 8" xfId="16456"/>
    <cellStyle name="Comma 2 4 3 3 8 2" xfId="16457"/>
    <cellStyle name="Comma 2 4 3 3 9" xfId="16458"/>
    <cellStyle name="Comma 2 4 3 3 9 2" xfId="16459"/>
    <cellStyle name="Comma 2 4 3 30" xfId="16460"/>
    <cellStyle name="Comma 2 4 3 30 10" xfId="16461"/>
    <cellStyle name="Comma 2 4 3 30 10 2" xfId="16462"/>
    <cellStyle name="Comma 2 4 3 30 11" xfId="16463"/>
    <cellStyle name="Comma 2 4 3 30 11 2" xfId="16464"/>
    <cellStyle name="Comma 2 4 3 30 12" xfId="16465"/>
    <cellStyle name="Comma 2 4 3 30 2" xfId="16466"/>
    <cellStyle name="Comma 2 4 3 30 2 2" xfId="16467"/>
    <cellStyle name="Comma 2 4 3 30 3" xfId="16468"/>
    <cellStyle name="Comma 2 4 3 30 3 2" xfId="16469"/>
    <cellStyle name="Comma 2 4 3 30 4" xfId="16470"/>
    <cellStyle name="Comma 2 4 3 30 4 2" xfId="16471"/>
    <cellStyle name="Comma 2 4 3 30 5" xfId="16472"/>
    <cellStyle name="Comma 2 4 3 30 5 2" xfId="16473"/>
    <cellStyle name="Comma 2 4 3 30 6" xfId="16474"/>
    <cellStyle name="Comma 2 4 3 30 6 2" xfId="16475"/>
    <cellStyle name="Comma 2 4 3 30 7" xfId="16476"/>
    <cellStyle name="Comma 2 4 3 30 7 2" xfId="16477"/>
    <cellStyle name="Comma 2 4 3 30 8" xfId="16478"/>
    <cellStyle name="Comma 2 4 3 30 8 2" xfId="16479"/>
    <cellStyle name="Comma 2 4 3 30 9" xfId="16480"/>
    <cellStyle name="Comma 2 4 3 30 9 2" xfId="16481"/>
    <cellStyle name="Comma 2 4 3 31" xfId="16482"/>
    <cellStyle name="Comma 2 4 3 31 10" xfId="16483"/>
    <cellStyle name="Comma 2 4 3 31 10 2" xfId="16484"/>
    <cellStyle name="Comma 2 4 3 31 11" xfId="16485"/>
    <cellStyle name="Comma 2 4 3 31 11 2" xfId="16486"/>
    <cellStyle name="Comma 2 4 3 31 12" xfId="16487"/>
    <cellStyle name="Comma 2 4 3 31 2" xfId="16488"/>
    <cellStyle name="Comma 2 4 3 31 2 2" xfId="16489"/>
    <cellStyle name="Comma 2 4 3 31 3" xfId="16490"/>
    <cellStyle name="Comma 2 4 3 31 3 2" xfId="16491"/>
    <cellStyle name="Comma 2 4 3 31 4" xfId="16492"/>
    <cellStyle name="Comma 2 4 3 31 4 2" xfId="16493"/>
    <cellStyle name="Comma 2 4 3 31 5" xfId="16494"/>
    <cellStyle name="Comma 2 4 3 31 5 2" xfId="16495"/>
    <cellStyle name="Comma 2 4 3 31 6" xfId="16496"/>
    <cellStyle name="Comma 2 4 3 31 6 2" xfId="16497"/>
    <cellStyle name="Comma 2 4 3 31 7" xfId="16498"/>
    <cellStyle name="Comma 2 4 3 31 7 2" xfId="16499"/>
    <cellStyle name="Comma 2 4 3 31 8" xfId="16500"/>
    <cellStyle name="Comma 2 4 3 31 8 2" xfId="16501"/>
    <cellStyle name="Comma 2 4 3 31 9" xfId="16502"/>
    <cellStyle name="Comma 2 4 3 31 9 2" xfId="16503"/>
    <cellStyle name="Comma 2 4 3 32" xfId="16504"/>
    <cellStyle name="Comma 2 4 3 32 10" xfId="16505"/>
    <cellStyle name="Comma 2 4 3 32 10 2" xfId="16506"/>
    <cellStyle name="Comma 2 4 3 32 11" xfId="16507"/>
    <cellStyle name="Comma 2 4 3 32 11 2" xfId="16508"/>
    <cellStyle name="Comma 2 4 3 32 12" xfId="16509"/>
    <cellStyle name="Comma 2 4 3 32 2" xfId="16510"/>
    <cellStyle name="Comma 2 4 3 32 2 2" xfId="16511"/>
    <cellStyle name="Comma 2 4 3 32 3" xfId="16512"/>
    <cellStyle name="Comma 2 4 3 32 3 2" xfId="16513"/>
    <cellStyle name="Comma 2 4 3 32 4" xfId="16514"/>
    <cellStyle name="Comma 2 4 3 32 4 2" xfId="16515"/>
    <cellStyle name="Comma 2 4 3 32 5" xfId="16516"/>
    <cellStyle name="Comma 2 4 3 32 5 2" xfId="16517"/>
    <cellStyle name="Comma 2 4 3 32 6" xfId="16518"/>
    <cellStyle name="Comma 2 4 3 32 6 2" xfId="16519"/>
    <cellStyle name="Comma 2 4 3 32 7" xfId="16520"/>
    <cellStyle name="Comma 2 4 3 32 7 2" xfId="16521"/>
    <cellStyle name="Comma 2 4 3 32 8" xfId="16522"/>
    <cellStyle name="Comma 2 4 3 32 8 2" xfId="16523"/>
    <cellStyle name="Comma 2 4 3 32 9" xfId="16524"/>
    <cellStyle name="Comma 2 4 3 32 9 2" xfId="16525"/>
    <cellStyle name="Comma 2 4 3 33" xfId="16526"/>
    <cellStyle name="Comma 2 4 3 33 10" xfId="16527"/>
    <cellStyle name="Comma 2 4 3 33 10 2" xfId="16528"/>
    <cellStyle name="Comma 2 4 3 33 11" xfId="16529"/>
    <cellStyle name="Comma 2 4 3 33 11 2" xfId="16530"/>
    <cellStyle name="Comma 2 4 3 33 12" xfId="16531"/>
    <cellStyle name="Comma 2 4 3 33 2" xfId="16532"/>
    <cellStyle name="Comma 2 4 3 33 2 2" xfId="16533"/>
    <cellStyle name="Comma 2 4 3 33 3" xfId="16534"/>
    <cellStyle name="Comma 2 4 3 33 3 2" xfId="16535"/>
    <cellStyle name="Comma 2 4 3 33 4" xfId="16536"/>
    <cellStyle name="Comma 2 4 3 33 4 2" xfId="16537"/>
    <cellStyle name="Comma 2 4 3 33 5" xfId="16538"/>
    <cellStyle name="Comma 2 4 3 33 5 2" xfId="16539"/>
    <cellStyle name="Comma 2 4 3 33 6" xfId="16540"/>
    <cellStyle name="Comma 2 4 3 33 6 2" xfId="16541"/>
    <cellStyle name="Comma 2 4 3 33 7" xfId="16542"/>
    <cellStyle name="Comma 2 4 3 33 7 2" xfId="16543"/>
    <cellStyle name="Comma 2 4 3 33 8" xfId="16544"/>
    <cellStyle name="Comma 2 4 3 33 8 2" xfId="16545"/>
    <cellStyle name="Comma 2 4 3 33 9" xfId="16546"/>
    <cellStyle name="Comma 2 4 3 33 9 2" xfId="16547"/>
    <cellStyle name="Comma 2 4 3 34" xfId="16548"/>
    <cellStyle name="Comma 2 4 3 34 10" xfId="16549"/>
    <cellStyle name="Comma 2 4 3 34 10 2" xfId="16550"/>
    <cellStyle name="Comma 2 4 3 34 11" xfId="16551"/>
    <cellStyle name="Comma 2 4 3 34 11 2" xfId="16552"/>
    <cellStyle name="Comma 2 4 3 34 12" xfId="16553"/>
    <cellStyle name="Comma 2 4 3 34 2" xfId="16554"/>
    <cellStyle name="Comma 2 4 3 34 2 2" xfId="16555"/>
    <cellStyle name="Comma 2 4 3 34 3" xfId="16556"/>
    <cellStyle name="Comma 2 4 3 34 3 2" xfId="16557"/>
    <cellStyle name="Comma 2 4 3 34 4" xfId="16558"/>
    <cellStyle name="Comma 2 4 3 34 4 2" xfId="16559"/>
    <cellStyle name="Comma 2 4 3 34 5" xfId="16560"/>
    <cellStyle name="Comma 2 4 3 34 5 2" xfId="16561"/>
    <cellStyle name="Comma 2 4 3 34 6" xfId="16562"/>
    <cellStyle name="Comma 2 4 3 34 6 2" xfId="16563"/>
    <cellStyle name="Comma 2 4 3 34 7" xfId="16564"/>
    <cellStyle name="Comma 2 4 3 34 7 2" xfId="16565"/>
    <cellStyle name="Comma 2 4 3 34 8" xfId="16566"/>
    <cellStyle name="Comma 2 4 3 34 8 2" xfId="16567"/>
    <cellStyle name="Comma 2 4 3 34 9" xfId="16568"/>
    <cellStyle name="Comma 2 4 3 34 9 2" xfId="16569"/>
    <cellStyle name="Comma 2 4 3 35" xfId="16570"/>
    <cellStyle name="Comma 2 4 3 35 10" xfId="16571"/>
    <cellStyle name="Comma 2 4 3 35 10 2" xfId="16572"/>
    <cellStyle name="Comma 2 4 3 35 11" xfId="16573"/>
    <cellStyle name="Comma 2 4 3 35 11 2" xfId="16574"/>
    <cellStyle name="Comma 2 4 3 35 12" xfId="16575"/>
    <cellStyle name="Comma 2 4 3 35 2" xfId="16576"/>
    <cellStyle name="Comma 2 4 3 35 2 2" xfId="16577"/>
    <cellStyle name="Comma 2 4 3 35 3" xfId="16578"/>
    <cellStyle name="Comma 2 4 3 35 3 2" xfId="16579"/>
    <cellStyle name="Comma 2 4 3 35 4" xfId="16580"/>
    <cellStyle name="Comma 2 4 3 35 4 2" xfId="16581"/>
    <cellStyle name="Comma 2 4 3 35 5" xfId="16582"/>
    <cellStyle name="Comma 2 4 3 35 5 2" xfId="16583"/>
    <cellStyle name="Comma 2 4 3 35 6" xfId="16584"/>
    <cellStyle name="Comma 2 4 3 35 6 2" xfId="16585"/>
    <cellStyle name="Comma 2 4 3 35 7" xfId="16586"/>
    <cellStyle name="Comma 2 4 3 35 7 2" xfId="16587"/>
    <cellStyle name="Comma 2 4 3 35 8" xfId="16588"/>
    <cellStyle name="Comma 2 4 3 35 8 2" xfId="16589"/>
    <cellStyle name="Comma 2 4 3 35 9" xfId="16590"/>
    <cellStyle name="Comma 2 4 3 35 9 2" xfId="16591"/>
    <cellStyle name="Comma 2 4 3 36" xfId="16592"/>
    <cellStyle name="Comma 2 4 3 36 10" xfId="16593"/>
    <cellStyle name="Comma 2 4 3 36 10 2" xfId="16594"/>
    <cellStyle name="Comma 2 4 3 36 11" xfId="16595"/>
    <cellStyle name="Comma 2 4 3 36 11 2" xfId="16596"/>
    <cellStyle name="Comma 2 4 3 36 12" xfId="16597"/>
    <cellStyle name="Comma 2 4 3 36 2" xfId="16598"/>
    <cellStyle name="Comma 2 4 3 36 2 2" xfId="16599"/>
    <cellStyle name="Comma 2 4 3 36 3" xfId="16600"/>
    <cellStyle name="Comma 2 4 3 36 3 2" xfId="16601"/>
    <cellStyle name="Comma 2 4 3 36 4" xfId="16602"/>
    <cellStyle name="Comma 2 4 3 36 4 2" xfId="16603"/>
    <cellStyle name="Comma 2 4 3 36 5" xfId="16604"/>
    <cellStyle name="Comma 2 4 3 36 5 2" xfId="16605"/>
    <cellStyle name="Comma 2 4 3 36 6" xfId="16606"/>
    <cellStyle name="Comma 2 4 3 36 6 2" xfId="16607"/>
    <cellStyle name="Comma 2 4 3 36 7" xfId="16608"/>
    <cellStyle name="Comma 2 4 3 36 7 2" xfId="16609"/>
    <cellStyle name="Comma 2 4 3 36 8" xfId="16610"/>
    <cellStyle name="Comma 2 4 3 36 8 2" xfId="16611"/>
    <cellStyle name="Comma 2 4 3 36 9" xfId="16612"/>
    <cellStyle name="Comma 2 4 3 36 9 2" xfId="16613"/>
    <cellStyle name="Comma 2 4 3 37" xfId="16614"/>
    <cellStyle name="Comma 2 4 3 37 10" xfId="16615"/>
    <cellStyle name="Comma 2 4 3 37 10 2" xfId="16616"/>
    <cellStyle name="Comma 2 4 3 37 11" xfId="16617"/>
    <cellStyle name="Comma 2 4 3 37 11 2" xfId="16618"/>
    <cellStyle name="Comma 2 4 3 37 12" xfId="16619"/>
    <cellStyle name="Comma 2 4 3 37 2" xfId="16620"/>
    <cellStyle name="Comma 2 4 3 37 2 2" xfId="16621"/>
    <cellStyle name="Comma 2 4 3 37 3" xfId="16622"/>
    <cellStyle name="Comma 2 4 3 37 3 2" xfId="16623"/>
    <cellStyle name="Comma 2 4 3 37 4" xfId="16624"/>
    <cellStyle name="Comma 2 4 3 37 4 2" xfId="16625"/>
    <cellStyle name="Comma 2 4 3 37 5" xfId="16626"/>
    <cellStyle name="Comma 2 4 3 37 5 2" xfId="16627"/>
    <cellStyle name="Comma 2 4 3 37 6" xfId="16628"/>
    <cellStyle name="Comma 2 4 3 37 6 2" xfId="16629"/>
    <cellStyle name="Comma 2 4 3 37 7" xfId="16630"/>
    <cellStyle name="Comma 2 4 3 37 7 2" xfId="16631"/>
    <cellStyle name="Comma 2 4 3 37 8" xfId="16632"/>
    <cellStyle name="Comma 2 4 3 37 8 2" xfId="16633"/>
    <cellStyle name="Comma 2 4 3 37 9" xfId="16634"/>
    <cellStyle name="Comma 2 4 3 37 9 2" xfId="16635"/>
    <cellStyle name="Comma 2 4 3 38" xfId="16636"/>
    <cellStyle name="Comma 2 4 3 38 10" xfId="16637"/>
    <cellStyle name="Comma 2 4 3 38 10 2" xfId="16638"/>
    <cellStyle name="Comma 2 4 3 38 11" xfId="16639"/>
    <cellStyle name="Comma 2 4 3 38 11 2" xfId="16640"/>
    <cellStyle name="Comma 2 4 3 38 12" xfId="16641"/>
    <cellStyle name="Comma 2 4 3 38 2" xfId="16642"/>
    <cellStyle name="Comma 2 4 3 38 2 2" xfId="16643"/>
    <cellStyle name="Comma 2 4 3 38 3" xfId="16644"/>
    <cellStyle name="Comma 2 4 3 38 3 2" xfId="16645"/>
    <cellStyle name="Comma 2 4 3 38 4" xfId="16646"/>
    <cellStyle name="Comma 2 4 3 38 4 2" xfId="16647"/>
    <cellStyle name="Comma 2 4 3 38 5" xfId="16648"/>
    <cellStyle name="Comma 2 4 3 38 5 2" xfId="16649"/>
    <cellStyle name="Comma 2 4 3 38 6" xfId="16650"/>
    <cellStyle name="Comma 2 4 3 38 6 2" xfId="16651"/>
    <cellStyle name="Comma 2 4 3 38 7" xfId="16652"/>
    <cellStyle name="Comma 2 4 3 38 7 2" xfId="16653"/>
    <cellStyle name="Comma 2 4 3 38 8" xfId="16654"/>
    <cellStyle name="Comma 2 4 3 38 8 2" xfId="16655"/>
    <cellStyle name="Comma 2 4 3 38 9" xfId="16656"/>
    <cellStyle name="Comma 2 4 3 38 9 2" xfId="16657"/>
    <cellStyle name="Comma 2 4 3 39" xfId="16658"/>
    <cellStyle name="Comma 2 4 3 39 10" xfId="16659"/>
    <cellStyle name="Comma 2 4 3 39 10 2" xfId="16660"/>
    <cellStyle name="Comma 2 4 3 39 11" xfId="16661"/>
    <cellStyle name="Comma 2 4 3 39 11 2" xfId="16662"/>
    <cellStyle name="Comma 2 4 3 39 12" xfId="16663"/>
    <cellStyle name="Comma 2 4 3 39 2" xfId="16664"/>
    <cellStyle name="Comma 2 4 3 39 2 2" xfId="16665"/>
    <cellStyle name="Comma 2 4 3 39 3" xfId="16666"/>
    <cellStyle name="Comma 2 4 3 39 3 2" xfId="16667"/>
    <cellStyle name="Comma 2 4 3 39 4" xfId="16668"/>
    <cellStyle name="Comma 2 4 3 39 4 2" xfId="16669"/>
    <cellStyle name="Comma 2 4 3 39 5" xfId="16670"/>
    <cellStyle name="Comma 2 4 3 39 5 2" xfId="16671"/>
    <cellStyle name="Comma 2 4 3 39 6" xfId="16672"/>
    <cellStyle name="Comma 2 4 3 39 6 2" xfId="16673"/>
    <cellStyle name="Comma 2 4 3 39 7" xfId="16674"/>
    <cellStyle name="Comma 2 4 3 39 7 2" xfId="16675"/>
    <cellStyle name="Comma 2 4 3 39 8" xfId="16676"/>
    <cellStyle name="Comma 2 4 3 39 8 2" xfId="16677"/>
    <cellStyle name="Comma 2 4 3 39 9" xfId="16678"/>
    <cellStyle name="Comma 2 4 3 39 9 2" xfId="16679"/>
    <cellStyle name="Comma 2 4 3 4" xfId="16680"/>
    <cellStyle name="Comma 2 4 3 4 10" xfId="16681"/>
    <cellStyle name="Comma 2 4 3 4 10 2" xfId="16682"/>
    <cellStyle name="Comma 2 4 3 4 11" xfId="16683"/>
    <cellStyle name="Comma 2 4 3 4 11 2" xfId="16684"/>
    <cellStyle name="Comma 2 4 3 4 12" xfId="16685"/>
    <cellStyle name="Comma 2 4 3 4 2" xfId="16686"/>
    <cellStyle name="Comma 2 4 3 4 2 2" xfId="16687"/>
    <cellStyle name="Comma 2 4 3 4 3" xfId="16688"/>
    <cellStyle name="Comma 2 4 3 4 3 2" xfId="16689"/>
    <cellStyle name="Comma 2 4 3 4 4" xfId="16690"/>
    <cellStyle name="Comma 2 4 3 4 4 2" xfId="16691"/>
    <cellStyle name="Comma 2 4 3 4 5" xfId="16692"/>
    <cellStyle name="Comma 2 4 3 4 5 2" xfId="16693"/>
    <cellStyle name="Comma 2 4 3 4 6" xfId="16694"/>
    <cellStyle name="Comma 2 4 3 4 6 2" xfId="16695"/>
    <cellStyle name="Comma 2 4 3 4 7" xfId="16696"/>
    <cellStyle name="Comma 2 4 3 4 7 2" xfId="16697"/>
    <cellStyle name="Comma 2 4 3 4 8" xfId="16698"/>
    <cellStyle name="Comma 2 4 3 4 8 2" xfId="16699"/>
    <cellStyle name="Comma 2 4 3 4 9" xfId="16700"/>
    <cellStyle name="Comma 2 4 3 4 9 2" xfId="16701"/>
    <cellStyle name="Comma 2 4 3 40" xfId="16702"/>
    <cellStyle name="Comma 2 4 3 40 2" xfId="16703"/>
    <cellStyle name="Comma 2 4 3 41" xfId="16704"/>
    <cellStyle name="Comma 2 4 3 41 2" xfId="16705"/>
    <cellStyle name="Comma 2 4 3 42" xfId="16706"/>
    <cellStyle name="Comma 2 4 3 42 2" xfId="16707"/>
    <cellStyle name="Comma 2 4 3 43" xfId="16708"/>
    <cellStyle name="Comma 2 4 3 43 2" xfId="16709"/>
    <cellStyle name="Comma 2 4 3 44" xfId="16710"/>
    <cellStyle name="Comma 2 4 3 44 2" xfId="16711"/>
    <cellStyle name="Comma 2 4 3 45" xfId="16712"/>
    <cellStyle name="Comma 2 4 3 45 2" xfId="16713"/>
    <cellStyle name="Comma 2 4 3 46" xfId="16714"/>
    <cellStyle name="Comma 2 4 3 46 2" xfId="16715"/>
    <cellStyle name="Comma 2 4 3 47" xfId="16716"/>
    <cellStyle name="Comma 2 4 3 47 2" xfId="16717"/>
    <cellStyle name="Comma 2 4 3 48" xfId="16718"/>
    <cellStyle name="Comma 2 4 3 48 2" xfId="16719"/>
    <cellStyle name="Comma 2 4 3 49" xfId="16720"/>
    <cellStyle name="Comma 2 4 3 49 2" xfId="16721"/>
    <cellStyle name="Comma 2 4 3 5" xfId="16722"/>
    <cellStyle name="Comma 2 4 3 5 10" xfId="16723"/>
    <cellStyle name="Comma 2 4 3 5 10 2" xfId="16724"/>
    <cellStyle name="Comma 2 4 3 5 11" xfId="16725"/>
    <cellStyle name="Comma 2 4 3 5 11 2" xfId="16726"/>
    <cellStyle name="Comma 2 4 3 5 12" xfId="16727"/>
    <cellStyle name="Comma 2 4 3 5 2" xfId="16728"/>
    <cellStyle name="Comma 2 4 3 5 2 2" xfId="16729"/>
    <cellStyle name="Comma 2 4 3 5 3" xfId="16730"/>
    <cellStyle name="Comma 2 4 3 5 3 2" xfId="16731"/>
    <cellStyle name="Comma 2 4 3 5 4" xfId="16732"/>
    <cellStyle name="Comma 2 4 3 5 4 2" xfId="16733"/>
    <cellStyle name="Comma 2 4 3 5 5" xfId="16734"/>
    <cellStyle name="Comma 2 4 3 5 5 2" xfId="16735"/>
    <cellStyle name="Comma 2 4 3 5 6" xfId="16736"/>
    <cellStyle name="Comma 2 4 3 5 6 2" xfId="16737"/>
    <cellStyle name="Comma 2 4 3 5 7" xfId="16738"/>
    <cellStyle name="Comma 2 4 3 5 7 2" xfId="16739"/>
    <cellStyle name="Comma 2 4 3 5 8" xfId="16740"/>
    <cellStyle name="Comma 2 4 3 5 8 2" xfId="16741"/>
    <cellStyle name="Comma 2 4 3 5 9" xfId="16742"/>
    <cellStyle name="Comma 2 4 3 5 9 2" xfId="16743"/>
    <cellStyle name="Comma 2 4 3 50" xfId="16744"/>
    <cellStyle name="Comma 2 4 3 50 2" xfId="16745"/>
    <cellStyle name="Comma 2 4 3 51" xfId="16746"/>
    <cellStyle name="Comma 2 4 3 51 2" xfId="16747"/>
    <cellStyle name="Comma 2 4 3 52" xfId="16748"/>
    <cellStyle name="Comma 2 4 3 6" xfId="16749"/>
    <cellStyle name="Comma 2 4 3 6 10" xfId="16750"/>
    <cellStyle name="Comma 2 4 3 6 10 2" xfId="16751"/>
    <cellStyle name="Comma 2 4 3 6 11" xfId="16752"/>
    <cellStyle name="Comma 2 4 3 6 11 2" xfId="16753"/>
    <cellStyle name="Comma 2 4 3 6 12" xfId="16754"/>
    <cellStyle name="Comma 2 4 3 6 2" xfId="16755"/>
    <cellStyle name="Comma 2 4 3 6 2 2" xfId="16756"/>
    <cellStyle name="Comma 2 4 3 6 3" xfId="16757"/>
    <cellStyle name="Comma 2 4 3 6 3 2" xfId="16758"/>
    <cellStyle name="Comma 2 4 3 6 4" xfId="16759"/>
    <cellStyle name="Comma 2 4 3 6 4 2" xfId="16760"/>
    <cellStyle name="Comma 2 4 3 6 5" xfId="16761"/>
    <cellStyle name="Comma 2 4 3 6 5 2" xfId="16762"/>
    <cellStyle name="Comma 2 4 3 6 6" xfId="16763"/>
    <cellStyle name="Comma 2 4 3 6 6 2" xfId="16764"/>
    <cellStyle name="Comma 2 4 3 6 7" xfId="16765"/>
    <cellStyle name="Comma 2 4 3 6 7 2" xfId="16766"/>
    <cellStyle name="Comma 2 4 3 6 8" xfId="16767"/>
    <cellStyle name="Comma 2 4 3 6 8 2" xfId="16768"/>
    <cellStyle name="Comma 2 4 3 6 9" xfId="16769"/>
    <cellStyle name="Comma 2 4 3 6 9 2" xfId="16770"/>
    <cellStyle name="Comma 2 4 3 7" xfId="16771"/>
    <cellStyle name="Comma 2 4 3 7 10" xfId="16772"/>
    <cellStyle name="Comma 2 4 3 7 10 2" xfId="16773"/>
    <cellStyle name="Comma 2 4 3 7 11" xfId="16774"/>
    <cellStyle name="Comma 2 4 3 7 11 2" xfId="16775"/>
    <cellStyle name="Comma 2 4 3 7 12" xfId="16776"/>
    <cellStyle name="Comma 2 4 3 7 2" xfId="16777"/>
    <cellStyle name="Comma 2 4 3 7 2 2" xfId="16778"/>
    <cellStyle name="Comma 2 4 3 7 3" xfId="16779"/>
    <cellStyle name="Comma 2 4 3 7 3 2" xfId="16780"/>
    <cellStyle name="Comma 2 4 3 7 4" xfId="16781"/>
    <cellStyle name="Comma 2 4 3 7 4 2" xfId="16782"/>
    <cellStyle name="Comma 2 4 3 7 5" xfId="16783"/>
    <cellStyle name="Comma 2 4 3 7 5 2" xfId="16784"/>
    <cellStyle name="Comma 2 4 3 7 6" xfId="16785"/>
    <cellStyle name="Comma 2 4 3 7 6 2" xfId="16786"/>
    <cellStyle name="Comma 2 4 3 7 7" xfId="16787"/>
    <cellStyle name="Comma 2 4 3 7 7 2" xfId="16788"/>
    <cellStyle name="Comma 2 4 3 7 8" xfId="16789"/>
    <cellStyle name="Comma 2 4 3 7 8 2" xfId="16790"/>
    <cellStyle name="Comma 2 4 3 7 9" xfId="16791"/>
    <cellStyle name="Comma 2 4 3 7 9 2" xfId="16792"/>
    <cellStyle name="Comma 2 4 3 8" xfId="16793"/>
    <cellStyle name="Comma 2 4 3 8 10" xfId="16794"/>
    <cellStyle name="Comma 2 4 3 8 10 2" xfId="16795"/>
    <cellStyle name="Comma 2 4 3 8 11" xfId="16796"/>
    <cellStyle name="Comma 2 4 3 8 11 2" xfId="16797"/>
    <cellStyle name="Comma 2 4 3 8 12" xfId="16798"/>
    <cellStyle name="Comma 2 4 3 8 2" xfId="16799"/>
    <cellStyle name="Comma 2 4 3 8 2 2" xfId="16800"/>
    <cellStyle name="Comma 2 4 3 8 3" xfId="16801"/>
    <cellStyle name="Comma 2 4 3 8 3 2" xfId="16802"/>
    <cellStyle name="Comma 2 4 3 8 4" xfId="16803"/>
    <cellStyle name="Comma 2 4 3 8 4 2" xfId="16804"/>
    <cellStyle name="Comma 2 4 3 8 5" xfId="16805"/>
    <cellStyle name="Comma 2 4 3 8 5 2" xfId="16806"/>
    <cellStyle name="Comma 2 4 3 8 6" xfId="16807"/>
    <cellStyle name="Comma 2 4 3 8 6 2" xfId="16808"/>
    <cellStyle name="Comma 2 4 3 8 7" xfId="16809"/>
    <cellStyle name="Comma 2 4 3 8 7 2" xfId="16810"/>
    <cellStyle name="Comma 2 4 3 8 8" xfId="16811"/>
    <cellStyle name="Comma 2 4 3 8 8 2" xfId="16812"/>
    <cellStyle name="Comma 2 4 3 8 9" xfId="16813"/>
    <cellStyle name="Comma 2 4 3 8 9 2" xfId="16814"/>
    <cellStyle name="Comma 2 4 3 9" xfId="16815"/>
    <cellStyle name="Comma 2 4 3 9 10" xfId="16816"/>
    <cellStyle name="Comma 2 4 3 9 10 2" xfId="16817"/>
    <cellStyle name="Comma 2 4 3 9 11" xfId="16818"/>
    <cellStyle name="Comma 2 4 3 9 11 2" xfId="16819"/>
    <cellStyle name="Comma 2 4 3 9 12" xfId="16820"/>
    <cellStyle name="Comma 2 4 3 9 2" xfId="16821"/>
    <cellStyle name="Comma 2 4 3 9 2 2" xfId="16822"/>
    <cellStyle name="Comma 2 4 3 9 3" xfId="16823"/>
    <cellStyle name="Comma 2 4 3 9 3 2" xfId="16824"/>
    <cellStyle name="Comma 2 4 3 9 4" xfId="16825"/>
    <cellStyle name="Comma 2 4 3 9 4 2" xfId="16826"/>
    <cellStyle name="Comma 2 4 3 9 5" xfId="16827"/>
    <cellStyle name="Comma 2 4 3 9 5 2" xfId="16828"/>
    <cellStyle name="Comma 2 4 3 9 6" xfId="16829"/>
    <cellStyle name="Comma 2 4 3 9 6 2" xfId="16830"/>
    <cellStyle name="Comma 2 4 3 9 7" xfId="16831"/>
    <cellStyle name="Comma 2 4 3 9 7 2" xfId="16832"/>
    <cellStyle name="Comma 2 4 3 9 8" xfId="16833"/>
    <cellStyle name="Comma 2 4 3 9 8 2" xfId="16834"/>
    <cellStyle name="Comma 2 4 3 9 9" xfId="16835"/>
    <cellStyle name="Comma 2 4 3 9 9 2" xfId="16836"/>
    <cellStyle name="Comma 2 4 30" xfId="16837"/>
    <cellStyle name="Comma 2 4 30 10" xfId="16838"/>
    <cellStyle name="Comma 2 4 30 10 2" xfId="16839"/>
    <cellStyle name="Comma 2 4 30 11" xfId="16840"/>
    <cellStyle name="Comma 2 4 30 11 2" xfId="16841"/>
    <cellStyle name="Comma 2 4 30 12" xfId="16842"/>
    <cellStyle name="Comma 2 4 30 2" xfId="16843"/>
    <cellStyle name="Comma 2 4 30 2 2" xfId="16844"/>
    <cellStyle name="Comma 2 4 30 3" xfId="16845"/>
    <cellStyle name="Comma 2 4 30 3 2" xfId="16846"/>
    <cellStyle name="Comma 2 4 30 4" xfId="16847"/>
    <cellStyle name="Comma 2 4 30 4 2" xfId="16848"/>
    <cellStyle name="Comma 2 4 30 5" xfId="16849"/>
    <cellStyle name="Comma 2 4 30 5 2" xfId="16850"/>
    <cellStyle name="Comma 2 4 30 6" xfId="16851"/>
    <cellStyle name="Comma 2 4 30 6 2" xfId="16852"/>
    <cellStyle name="Comma 2 4 30 7" xfId="16853"/>
    <cellStyle name="Comma 2 4 30 7 2" xfId="16854"/>
    <cellStyle name="Comma 2 4 30 8" xfId="16855"/>
    <cellStyle name="Comma 2 4 30 8 2" xfId="16856"/>
    <cellStyle name="Comma 2 4 30 9" xfId="16857"/>
    <cellStyle name="Comma 2 4 30 9 2" xfId="16858"/>
    <cellStyle name="Comma 2 4 31" xfId="16859"/>
    <cellStyle name="Comma 2 4 31 10" xfId="16860"/>
    <cellStyle name="Comma 2 4 31 10 2" xfId="16861"/>
    <cellStyle name="Comma 2 4 31 11" xfId="16862"/>
    <cellStyle name="Comma 2 4 31 11 2" xfId="16863"/>
    <cellStyle name="Comma 2 4 31 12" xfId="16864"/>
    <cellStyle name="Comma 2 4 31 2" xfId="16865"/>
    <cellStyle name="Comma 2 4 31 2 2" xfId="16866"/>
    <cellStyle name="Comma 2 4 31 3" xfId="16867"/>
    <cellStyle name="Comma 2 4 31 3 2" xfId="16868"/>
    <cellStyle name="Comma 2 4 31 4" xfId="16869"/>
    <cellStyle name="Comma 2 4 31 4 2" xfId="16870"/>
    <cellStyle name="Comma 2 4 31 5" xfId="16871"/>
    <cellStyle name="Comma 2 4 31 5 2" xfId="16872"/>
    <cellStyle name="Comma 2 4 31 6" xfId="16873"/>
    <cellStyle name="Comma 2 4 31 6 2" xfId="16874"/>
    <cellStyle name="Comma 2 4 31 7" xfId="16875"/>
    <cellStyle name="Comma 2 4 31 7 2" xfId="16876"/>
    <cellStyle name="Comma 2 4 31 8" xfId="16877"/>
    <cellStyle name="Comma 2 4 31 8 2" xfId="16878"/>
    <cellStyle name="Comma 2 4 31 9" xfId="16879"/>
    <cellStyle name="Comma 2 4 31 9 2" xfId="16880"/>
    <cellStyle name="Comma 2 4 32" xfId="16881"/>
    <cellStyle name="Comma 2 4 32 10" xfId="16882"/>
    <cellStyle name="Comma 2 4 32 10 2" xfId="16883"/>
    <cellStyle name="Comma 2 4 32 11" xfId="16884"/>
    <cellStyle name="Comma 2 4 32 11 2" xfId="16885"/>
    <cellStyle name="Comma 2 4 32 12" xfId="16886"/>
    <cellStyle name="Comma 2 4 32 2" xfId="16887"/>
    <cellStyle name="Comma 2 4 32 2 2" xfId="16888"/>
    <cellStyle name="Comma 2 4 32 3" xfId="16889"/>
    <cellStyle name="Comma 2 4 32 3 2" xfId="16890"/>
    <cellStyle name="Comma 2 4 32 4" xfId="16891"/>
    <cellStyle name="Comma 2 4 32 4 2" xfId="16892"/>
    <cellStyle name="Comma 2 4 32 5" xfId="16893"/>
    <cellStyle name="Comma 2 4 32 5 2" xfId="16894"/>
    <cellStyle name="Comma 2 4 32 6" xfId="16895"/>
    <cellStyle name="Comma 2 4 32 6 2" xfId="16896"/>
    <cellStyle name="Comma 2 4 32 7" xfId="16897"/>
    <cellStyle name="Comma 2 4 32 7 2" xfId="16898"/>
    <cellStyle name="Comma 2 4 32 8" xfId="16899"/>
    <cellStyle name="Comma 2 4 32 8 2" xfId="16900"/>
    <cellStyle name="Comma 2 4 32 9" xfId="16901"/>
    <cellStyle name="Comma 2 4 32 9 2" xfId="16902"/>
    <cellStyle name="Comma 2 4 33" xfId="16903"/>
    <cellStyle name="Comma 2 4 33 10" xfId="16904"/>
    <cellStyle name="Comma 2 4 33 10 2" xfId="16905"/>
    <cellStyle name="Comma 2 4 33 11" xfId="16906"/>
    <cellStyle name="Comma 2 4 33 11 2" xfId="16907"/>
    <cellStyle name="Comma 2 4 33 12" xfId="16908"/>
    <cellStyle name="Comma 2 4 33 2" xfId="16909"/>
    <cellStyle name="Comma 2 4 33 2 2" xfId="16910"/>
    <cellStyle name="Comma 2 4 33 3" xfId="16911"/>
    <cellStyle name="Comma 2 4 33 3 2" xfId="16912"/>
    <cellStyle name="Comma 2 4 33 4" xfId="16913"/>
    <cellStyle name="Comma 2 4 33 4 2" xfId="16914"/>
    <cellStyle name="Comma 2 4 33 5" xfId="16915"/>
    <cellStyle name="Comma 2 4 33 5 2" xfId="16916"/>
    <cellStyle name="Comma 2 4 33 6" xfId="16917"/>
    <cellStyle name="Comma 2 4 33 6 2" xfId="16918"/>
    <cellStyle name="Comma 2 4 33 7" xfId="16919"/>
    <cellStyle name="Comma 2 4 33 7 2" xfId="16920"/>
    <cellStyle name="Comma 2 4 33 8" xfId="16921"/>
    <cellStyle name="Comma 2 4 33 8 2" xfId="16922"/>
    <cellStyle name="Comma 2 4 33 9" xfId="16923"/>
    <cellStyle name="Comma 2 4 33 9 2" xfId="16924"/>
    <cellStyle name="Comma 2 4 34" xfId="16925"/>
    <cellStyle name="Comma 2 4 34 10" xfId="16926"/>
    <cellStyle name="Comma 2 4 34 10 2" xfId="16927"/>
    <cellStyle name="Comma 2 4 34 11" xfId="16928"/>
    <cellStyle name="Comma 2 4 34 11 2" xfId="16929"/>
    <cellStyle name="Comma 2 4 34 12" xfId="16930"/>
    <cellStyle name="Comma 2 4 34 2" xfId="16931"/>
    <cellStyle name="Comma 2 4 34 2 2" xfId="16932"/>
    <cellStyle name="Comma 2 4 34 3" xfId="16933"/>
    <cellStyle name="Comma 2 4 34 3 2" xfId="16934"/>
    <cellStyle name="Comma 2 4 34 4" xfId="16935"/>
    <cellStyle name="Comma 2 4 34 4 2" xfId="16936"/>
    <cellStyle name="Comma 2 4 34 5" xfId="16937"/>
    <cellStyle name="Comma 2 4 34 5 2" xfId="16938"/>
    <cellStyle name="Comma 2 4 34 6" xfId="16939"/>
    <cellStyle name="Comma 2 4 34 6 2" xfId="16940"/>
    <cellStyle name="Comma 2 4 34 7" xfId="16941"/>
    <cellStyle name="Comma 2 4 34 7 2" xfId="16942"/>
    <cellStyle name="Comma 2 4 34 8" xfId="16943"/>
    <cellStyle name="Comma 2 4 34 8 2" xfId="16944"/>
    <cellStyle name="Comma 2 4 34 9" xfId="16945"/>
    <cellStyle name="Comma 2 4 34 9 2" xfId="16946"/>
    <cellStyle name="Comma 2 4 35" xfId="16947"/>
    <cellStyle name="Comma 2 4 35 10" xfId="16948"/>
    <cellStyle name="Comma 2 4 35 10 2" xfId="16949"/>
    <cellStyle name="Comma 2 4 35 11" xfId="16950"/>
    <cellStyle name="Comma 2 4 35 11 2" xfId="16951"/>
    <cellStyle name="Comma 2 4 35 12" xfId="16952"/>
    <cellStyle name="Comma 2 4 35 2" xfId="16953"/>
    <cellStyle name="Comma 2 4 35 2 2" xfId="16954"/>
    <cellStyle name="Comma 2 4 35 3" xfId="16955"/>
    <cellStyle name="Comma 2 4 35 3 2" xfId="16956"/>
    <cellStyle name="Comma 2 4 35 4" xfId="16957"/>
    <cellStyle name="Comma 2 4 35 4 2" xfId="16958"/>
    <cellStyle name="Comma 2 4 35 5" xfId="16959"/>
    <cellStyle name="Comma 2 4 35 5 2" xfId="16960"/>
    <cellStyle name="Comma 2 4 35 6" xfId="16961"/>
    <cellStyle name="Comma 2 4 35 6 2" xfId="16962"/>
    <cellStyle name="Comma 2 4 35 7" xfId="16963"/>
    <cellStyle name="Comma 2 4 35 7 2" xfId="16964"/>
    <cellStyle name="Comma 2 4 35 8" xfId="16965"/>
    <cellStyle name="Comma 2 4 35 8 2" xfId="16966"/>
    <cellStyle name="Comma 2 4 35 9" xfId="16967"/>
    <cellStyle name="Comma 2 4 35 9 2" xfId="16968"/>
    <cellStyle name="Comma 2 4 36" xfId="16969"/>
    <cellStyle name="Comma 2 4 36 10" xfId="16970"/>
    <cellStyle name="Comma 2 4 36 10 2" xfId="16971"/>
    <cellStyle name="Comma 2 4 36 11" xfId="16972"/>
    <cellStyle name="Comma 2 4 36 11 2" xfId="16973"/>
    <cellStyle name="Comma 2 4 36 12" xfId="16974"/>
    <cellStyle name="Comma 2 4 36 2" xfId="16975"/>
    <cellStyle name="Comma 2 4 36 2 2" xfId="16976"/>
    <cellStyle name="Comma 2 4 36 3" xfId="16977"/>
    <cellStyle name="Comma 2 4 36 3 2" xfId="16978"/>
    <cellStyle name="Comma 2 4 36 4" xfId="16979"/>
    <cellStyle name="Comma 2 4 36 4 2" xfId="16980"/>
    <cellStyle name="Comma 2 4 36 5" xfId="16981"/>
    <cellStyle name="Comma 2 4 36 5 2" xfId="16982"/>
    <cellStyle name="Comma 2 4 36 6" xfId="16983"/>
    <cellStyle name="Comma 2 4 36 6 2" xfId="16984"/>
    <cellStyle name="Comma 2 4 36 7" xfId="16985"/>
    <cellStyle name="Comma 2 4 36 7 2" xfId="16986"/>
    <cellStyle name="Comma 2 4 36 8" xfId="16987"/>
    <cellStyle name="Comma 2 4 36 8 2" xfId="16988"/>
    <cellStyle name="Comma 2 4 36 9" xfId="16989"/>
    <cellStyle name="Comma 2 4 36 9 2" xfId="16990"/>
    <cellStyle name="Comma 2 4 37" xfId="16991"/>
    <cellStyle name="Comma 2 4 37 10" xfId="16992"/>
    <cellStyle name="Comma 2 4 37 10 2" xfId="16993"/>
    <cellStyle name="Comma 2 4 37 11" xfId="16994"/>
    <cellStyle name="Comma 2 4 37 11 2" xfId="16995"/>
    <cellStyle name="Comma 2 4 37 12" xfId="16996"/>
    <cellStyle name="Comma 2 4 37 2" xfId="16997"/>
    <cellStyle name="Comma 2 4 37 2 2" xfId="16998"/>
    <cellStyle name="Comma 2 4 37 3" xfId="16999"/>
    <cellStyle name="Comma 2 4 37 3 2" xfId="17000"/>
    <cellStyle name="Comma 2 4 37 4" xfId="17001"/>
    <cellStyle name="Comma 2 4 37 4 2" xfId="17002"/>
    <cellStyle name="Comma 2 4 37 5" xfId="17003"/>
    <cellStyle name="Comma 2 4 37 5 2" xfId="17004"/>
    <cellStyle name="Comma 2 4 37 6" xfId="17005"/>
    <cellStyle name="Comma 2 4 37 6 2" xfId="17006"/>
    <cellStyle name="Comma 2 4 37 7" xfId="17007"/>
    <cellStyle name="Comma 2 4 37 7 2" xfId="17008"/>
    <cellStyle name="Comma 2 4 37 8" xfId="17009"/>
    <cellStyle name="Comma 2 4 37 8 2" xfId="17010"/>
    <cellStyle name="Comma 2 4 37 9" xfId="17011"/>
    <cellStyle name="Comma 2 4 37 9 2" xfId="17012"/>
    <cellStyle name="Comma 2 4 38" xfId="17013"/>
    <cellStyle name="Comma 2 4 38 10" xfId="17014"/>
    <cellStyle name="Comma 2 4 38 10 2" xfId="17015"/>
    <cellStyle name="Comma 2 4 38 11" xfId="17016"/>
    <cellStyle name="Comma 2 4 38 11 2" xfId="17017"/>
    <cellStyle name="Comma 2 4 38 12" xfId="17018"/>
    <cellStyle name="Comma 2 4 38 2" xfId="17019"/>
    <cellStyle name="Comma 2 4 38 2 2" xfId="17020"/>
    <cellStyle name="Comma 2 4 38 3" xfId="17021"/>
    <cellStyle name="Comma 2 4 38 3 2" xfId="17022"/>
    <cellStyle name="Comma 2 4 38 4" xfId="17023"/>
    <cellStyle name="Comma 2 4 38 4 2" xfId="17024"/>
    <cellStyle name="Comma 2 4 38 5" xfId="17025"/>
    <cellStyle name="Comma 2 4 38 5 2" xfId="17026"/>
    <cellStyle name="Comma 2 4 38 6" xfId="17027"/>
    <cellStyle name="Comma 2 4 38 6 2" xfId="17028"/>
    <cellStyle name="Comma 2 4 38 7" xfId="17029"/>
    <cellStyle name="Comma 2 4 38 7 2" xfId="17030"/>
    <cellStyle name="Comma 2 4 38 8" xfId="17031"/>
    <cellStyle name="Comma 2 4 38 8 2" xfId="17032"/>
    <cellStyle name="Comma 2 4 38 9" xfId="17033"/>
    <cellStyle name="Comma 2 4 38 9 2" xfId="17034"/>
    <cellStyle name="Comma 2 4 39" xfId="17035"/>
    <cellStyle name="Comma 2 4 39 10" xfId="17036"/>
    <cellStyle name="Comma 2 4 39 10 2" xfId="17037"/>
    <cellStyle name="Comma 2 4 39 11" xfId="17038"/>
    <cellStyle name="Comma 2 4 39 11 2" xfId="17039"/>
    <cellStyle name="Comma 2 4 39 12" xfId="17040"/>
    <cellStyle name="Comma 2 4 39 2" xfId="17041"/>
    <cellStyle name="Comma 2 4 39 2 2" xfId="17042"/>
    <cellStyle name="Comma 2 4 39 3" xfId="17043"/>
    <cellStyle name="Comma 2 4 39 3 2" xfId="17044"/>
    <cellStyle name="Comma 2 4 39 4" xfId="17045"/>
    <cellStyle name="Comma 2 4 39 4 2" xfId="17046"/>
    <cellStyle name="Comma 2 4 39 5" xfId="17047"/>
    <cellStyle name="Comma 2 4 39 5 2" xfId="17048"/>
    <cellStyle name="Comma 2 4 39 6" xfId="17049"/>
    <cellStyle name="Comma 2 4 39 6 2" xfId="17050"/>
    <cellStyle name="Comma 2 4 39 7" xfId="17051"/>
    <cellStyle name="Comma 2 4 39 7 2" xfId="17052"/>
    <cellStyle name="Comma 2 4 39 8" xfId="17053"/>
    <cellStyle name="Comma 2 4 39 8 2" xfId="17054"/>
    <cellStyle name="Comma 2 4 39 9" xfId="17055"/>
    <cellStyle name="Comma 2 4 39 9 2" xfId="17056"/>
    <cellStyle name="Comma 2 4 4" xfId="17057"/>
    <cellStyle name="Comma 2 4 4 10" xfId="17058"/>
    <cellStyle name="Comma 2 4 4 10 10" xfId="17059"/>
    <cellStyle name="Comma 2 4 4 10 10 2" xfId="17060"/>
    <cellStyle name="Comma 2 4 4 10 11" xfId="17061"/>
    <cellStyle name="Comma 2 4 4 10 11 2" xfId="17062"/>
    <cellStyle name="Comma 2 4 4 10 12" xfId="17063"/>
    <cellStyle name="Comma 2 4 4 10 2" xfId="17064"/>
    <cellStyle name="Comma 2 4 4 10 2 2" xfId="17065"/>
    <cellStyle name="Comma 2 4 4 10 3" xfId="17066"/>
    <cellStyle name="Comma 2 4 4 10 3 2" xfId="17067"/>
    <cellStyle name="Comma 2 4 4 10 4" xfId="17068"/>
    <cellStyle name="Comma 2 4 4 10 4 2" xfId="17069"/>
    <cellStyle name="Comma 2 4 4 10 5" xfId="17070"/>
    <cellStyle name="Comma 2 4 4 10 5 2" xfId="17071"/>
    <cellStyle name="Comma 2 4 4 10 6" xfId="17072"/>
    <cellStyle name="Comma 2 4 4 10 6 2" xfId="17073"/>
    <cellStyle name="Comma 2 4 4 10 7" xfId="17074"/>
    <cellStyle name="Comma 2 4 4 10 7 2" xfId="17075"/>
    <cellStyle name="Comma 2 4 4 10 8" xfId="17076"/>
    <cellStyle name="Comma 2 4 4 10 8 2" xfId="17077"/>
    <cellStyle name="Comma 2 4 4 10 9" xfId="17078"/>
    <cellStyle name="Comma 2 4 4 10 9 2" xfId="17079"/>
    <cellStyle name="Comma 2 4 4 11" xfId="17080"/>
    <cellStyle name="Comma 2 4 4 11 10" xfId="17081"/>
    <cellStyle name="Comma 2 4 4 11 10 2" xfId="17082"/>
    <cellStyle name="Comma 2 4 4 11 11" xfId="17083"/>
    <cellStyle name="Comma 2 4 4 11 11 2" xfId="17084"/>
    <cellStyle name="Comma 2 4 4 11 12" xfId="17085"/>
    <cellStyle name="Comma 2 4 4 11 2" xfId="17086"/>
    <cellStyle name="Comma 2 4 4 11 2 2" xfId="17087"/>
    <cellStyle name="Comma 2 4 4 11 3" xfId="17088"/>
    <cellStyle name="Comma 2 4 4 11 3 2" xfId="17089"/>
    <cellStyle name="Comma 2 4 4 11 4" xfId="17090"/>
    <cellStyle name="Comma 2 4 4 11 4 2" xfId="17091"/>
    <cellStyle name="Comma 2 4 4 11 5" xfId="17092"/>
    <cellStyle name="Comma 2 4 4 11 5 2" xfId="17093"/>
    <cellStyle name="Comma 2 4 4 11 6" xfId="17094"/>
    <cellStyle name="Comma 2 4 4 11 6 2" xfId="17095"/>
    <cellStyle name="Comma 2 4 4 11 7" xfId="17096"/>
    <cellStyle name="Comma 2 4 4 11 7 2" xfId="17097"/>
    <cellStyle name="Comma 2 4 4 11 8" xfId="17098"/>
    <cellStyle name="Comma 2 4 4 11 8 2" xfId="17099"/>
    <cellStyle name="Comma 2 4 4 11 9" xfId="17100"/>
    <cellStyle name="Comma 2 4 4 11 9 2" xfId="17101"/>
    <cellStyle name="Comma 2 4 4 12" xfId="17102"/>
    <cellStyle name="Comma 2 4 4 12 10" xfId="17103"/>
    <cellStyle name="Comma 2 4 4 12 10 2" xfId="17104"/>
    <cellStyle name="Comma 2 4 4 12 11" xfId="17105"/>
    <cellStyle name="Comma 2 4 4 12 11 2" xfId="17106"/>
    <cellStyle name="Comma 2 4 4 12 12" xfId="17107"/>
    <cellStyle name="Comma 2 4 4 12 2" xfId="17108"/>
    <cellStyle name="Comma 2 4 4 12 2 2" xfId="17109"/>
    <cellStyle name="Comma 2 4 4 12 3" xfId="17110"/>
    <cellStyle name="Comma 2 4 4 12 3 2" xfId="17111"/>
    <cellStyle name="Comma 2 4 4 12 4" xfId="17112"/>
    <cellStyle name="Comma 2 4 4 12 4 2" xfId="17113"/>
    <cellStyle name="Comma 2 4 4 12 5" xfId="17114"/>
    <cellStyle name="Comma 2 4 4 12 5 2" xfId="17115"/>
    <cellStyle name="Comma 2 4 4 12 6" xfId="17116"/>
    <cellStyle name="Comma 2 4 4 12 6 2" xfId="17117"/>
    <cellStyle name="Comma 2 4 4 12 7" xfId="17118"/>
    <cellStyle name="Comma 2 4 4 12 7 2" xfId="17119"/>
    <cellStyle name="Comma 2 4 4 12 8" xfId="17120"/>
    <cellStyle name="Comma 2 4 4 12 8 2" xfId="17121"/>
    <cellStyle name="Comma 2 4 4 12 9" xfId="17122"/>
    <cellStyle name="Comma 2 4 4 12 9 2" xfId="17123"/>
    <cellStyle name="Comma 2 4 4 13" xfId="17124"/>
    <cellStyle name="Comma 2 4 4 13 10" xfId="17125"/>
    <cellStyle name="Comma 2 4 4 13 10 2" xfId="17126"/>
    <cellStyle name="Comma 2 4 4 13 11" xfId="17127"/>
    <cellStyle name="Comma 2 4 4 13 11 2" xfId="17128"/>
    <cellStyle name="Comma 2 4 4 13 12" xfId="17129"/>
    <cellStyle name="Comma 2 4 4 13 2" xfId="17130"/>
    <cellStyle name="Comma 2 4 4 13 2 2" xfId="17131"/>
    <cellStyle name="Comma 2 4 4 13 3" xfId="17132"/>
    <cellStyle name="Comma 2 4 4 13 3 2" xfId="17133"/>
    <cellStyle name="Comma 2 4 4 13 4" xfId="17134"/>
    <cellStyle name="Comma 2 4 4 13 4 2" xfId="17135"/>
    <cellStyle name="Comma 2 4 4 13 5" xfId="17136"/>
    <cellStyle name="Comma 2 4 4 13 5 2" xfId="17137"/>
    <cellStyle name="Comma 2 4 4 13 6" xfId="17138"/>
    <cellStyle name="Comma 2 4 4 13 6 2" xfId="17139"/>
    <cellStyle name="Comma 2 4 4 13 7" xfId="17140"/>
    <cellStyle name="Comma 2 4 4 13 7 2" xfId="17141"/>
    <cellStyle name="Comma 2 4 4 13 8" xfId="17142"/>
    <cellStyle name="Comma 2 4 4 13 8 2" xfId="17143"/>
    <cellStyle name="Comma 2 4 4 13 9" xfId="17144"/>
    <cellStyle name="Comma 2 4 4 13 9 2" xfId="17145"/>
    <cellStyle name="Comma 2 4 4 14" xfId="17146"/>
    <cellStyle name="Comma 2 4 4 14 10" xfId="17147"/>
    <cellStyle name="Comma 2 4 4 14 10 2" xfId="17148"/>
    <cellStyle name="Comma 2 4 4 14 11" xfId="17149"/>
    <cellStyle name="Comma 2 4 4 14 11 2" xfId="17150"/>
    <cellStyle name="Comma 2 4 4 14 12" xfId="17151"/>
    <cellStyle name="Comma 2 4 4 14 2" xfId="17152"/>
    <cellStyle name="Comma 2 4 4 14 2 2" xfId="17153"/>
    <cellStyle name="Comma 2 4 4 14 3" xfId="17154"/>
    <cellStyle name="Comma 2 4 4 14 3 2" xfId="17155"/>
    <cellStyle name="Comma 2 4 4 14 4" xfId="17156"/>
    <cellStyle name="Comma 2 4 4 14 4 2" xfId="17157"/>
    <cellStyle name="Comma 2 4 4 14 5" xfId="17158"/>
    <cellStyle name="Comma 2 4 4 14 5 2" xfId="17159"/>
    <cellStyle name="Comma 2 4 4 14 6" xfId="17160"/>
    <cellStyle name="Comma 2 4 4 14 6 2" xfId="17161"/>
    <cellStyle name="Comma 2 4 4 14 7" xfId="17162"/>
    <cellStyle name="Comma 2 4 4 14 7 2" xfId="17163"/>
    <cellStyle name="Comma 2 4 4 14 8" xfId="17164"/>
    <cellStyle name="Comma 2 4 4 14 8 2" xfId="17165"/>
    <cellStyle name="Comma 2 4 4 14 9" xfId="17166"/>
    <cellStyle name="Comma 2 4 4 14 9 2" xfId="17167"/>
    <cellStyle name="Comma 2 4 4 15" xfId="17168"/>
    <cellStyle name="Comma 2 4 4 15 10" xfId="17169"/>
    <cellStyle name="Comma 2 4 4 15 10 2" xfId="17170"/>
    <cellStyle name="Comma 2 4 4 15 11" xfId="17171"/>
    <cellStyle name="Comma 2 4 4 15 11 2" xfId="17172"/>
    <cellStyle name="Comma 2 4 4 15 12" xfId="17173"/>
    <cellStyle name="Comma 2 4 4 15 2" xfId="17174"/>
    <cellStyle name="Comma 2 4 4 15 2 2" xfId="17175"/>
    <cellStyle name="Comma 2 4 4 15 3" xfId="17176"/>
    <cellStyle name="Comma 2 4 4 15 3 2" xfId="17177"/>
    <cellStyle name="Comma 2 4 4 15 4" xfId="17178"/>
    <cellStyle name="Comma 2 4 4 15 4 2" xfId="17179"/>
    <cellStyle name="Comma 2 4 4 15 5" xfId="17180"/>
    <cellStyle name="Comma 2 4 4 15 5 2" xfId="17181"/>
    <cellStyle name="Comma 2 4 4 15 6" xfId="17182"/>
    <cellStyle name="Comma 2 4 4 15 6 2" xfId="17183"/>
    <cellStyle name="Comma 2 4 4 15 7" xfId="17184"/>
    <cellStyle name="Comma 2 4 4 15 7 2" xfId="17185"/>
    <cellStyle name="Comma 2 4 4 15 8" xfId="17186"/>
    <cellStyle name="Comma 2 4 4 15 8 2" xfId="17187"/>
    <cellStyle name="Comma 2 4 4 15 9" xfId="17188"/>
    <cellStyle name="Comma 2 4 4 15 9 2" xfId="17189"/>
    <cellStyle name="Comma 2 4 4 16" xfId="17190"/>
    <cellStyle name="Comma 2 4 4 16 10" xfId="17191"/>
    <cellStyle name="Comma 2 4 4 16 10 2" xfId="17192"/>
    <cellStyle name="Comma 2 4 4 16 11" xfId="17193"/>
    <cellStyle name="Comma 2 4 4 16 11 2" xfId="17194"/>
    <cellStyle name="Comma 2 4 4 16 12" xfId="17195"/>
    <cellStyle name="Comma 2 4 4 16 2" xfId="17196"/>
    <cellStyle name="Comma 2 4 4 16 2 2" xfId="17197"/>
    <cellStyle name="Comma 2 4 4 16 3" xfId="17198"/>
    <cellStyle name="Comma 2 4 4 16 3 2" xfId="17199"/>
    <cellStyle name="Comma 2 4 4 16 4" xfId="17200"/>
    <cellStyle name="Comma 2 4 4 16 4 2" xfId="17201"/>
    <cellStyle name="Comma 2 4 4 16 5" xfId="17202"/>
    <cellStyle name="Comma 2 4 4 16 5 2" xfId="17203"/>
    <cellStyle name="Comma 2 4 4 16 6" xfId="17204"/>
    <cellStyle name="Comma 2 4 4 16 6 2" xfId="17205"/>
    <cellStyle name="Comma 2 4 4 16 7" xfId="17206"/>
    <cellStyle name="Comma 2 4 4 16 7 2" xfId="17207"/>
    <cellStyle name="Comma 2 4 4 16 8" xfId="17208"/>
    <cellStyle name="Comma 2 4 4 16 8 2" xfId="17209"/>
    <cellStyle name="Comma 2 4 4 16 9" xfId="17210"/>
    <cellStyle name="Comma 2 4 4 16 9 2" xfId="17211"/>
    <cellStyle name="Comma 2 4 4 17" xfId="17212"/>
    <cellStyle name="Comma 2 4 4 17 10" xfId="17213"/>
    <cellStyle name="Comma 2 4 4 17 10 2" xfId="17214"/>
    <cellStyle name="Comma 2 4 4 17 11" xfId="17215"/>
    <cellStyle name="Comma 2 4 4 17 11 2" xfId="17216"/>
    <cellStyle name="Comma 2 4 4 17 12" xfId="17217"/>
    <cellStyle name="Comma 2 4 4 17 2" xfId="17218"/>
    <cellStyle name="Comma 2 4 4 17 2 2" xfId="17219"/>
    <cellStyle name="Comma 2 4 4 17 3" xfId="17220"/>
    <cellStyle name="Comma 2 4 4 17 3 2" xfId="17221"/>
    <cellStyle name="Comma 2 4 4 17 4" xfId="17222"/>
    <cellStyle name="Comma 2 4 4 17 4 2" xfId="17223"/>
    <cellStyle name="Comma 2 4 4 17 5" xfId="17224"/>
    <cellStyle name="Comma 2 4 4 17 5 2" xfId="17225"/>
    <cellStyle name="Comma 2 4 4 17 6" xfId="17226"/>
    <cellStyle name="Comma 2 4 4 17 6 2" xfId="17227"/>
    <cellStyle name="Comma 2 4 4 17 7" xfId="17228"/>
    <cellStyle name="Comma 2 4 4 17 7 2" xfId="17229"/>
    <cellStyle name="Comma 2 4 4 17 8" xfId="17230"/>
    <cellStyle name="Comma 2 4 4 17 8 2" xfId="17231"/>
    <cellStyle name="Comma 2 4 4 17 9" xfId="17232"/>
    <cellStyle name="Comma 2 4 4 17 9 2" xfId="17233"/>
    <cellStyle name="Comma 2 4 4 18" xfId="17234"/>
    <cellStyle name="Comma 2 4 4 18 10" xfId="17235"/>
    <cellStyle name="Comma 2 4 4 18 10 2" xfId="17236"/>
    <cellStyle name="Comma 2 4 4 18 11" xfId="17237"/>
    <cellStyle name="Comma 2 4 4 18 11 2" xfId="17238"/>
    <cellStyle name="Comma 2 4 4 18 12" xfId="17239"/>
    <cellStyle name="Comma 2 4 4 18 2" xfId="17240"/>
    <cellStyle name="Comma 2 4 4 18 2 2" xfId="17241"/>
    <cellStyle name="Comma 2 4 4 18 3" xfId="17242"/>
    <cellStyle name="Comma 2 4 4 18 3 2" xfId="17243"/>
    <cellStyle name="Comma 2 4 4 18 4" xfId="17244"/>
    <cellStyle name="Comma 2 4 4 18 4 2" xfId="17245"/>
    <cellStyle name="Comma 2 4 4 18 5" xfId="17246"/>
    <cellStyle name="Comma 2 4 4 18 5 2" xfId="17247"/>
    <cellStyle name="Comma 2 4 4 18 6" xfId="17248"/>
    <cellStyle name="Comma 2 4 4 18 6 2" xfId="17249"/>
    <cellStyle name="Comma 2 4 4 18 7" xfId="17250"/>
    <cellStyle name="Comma 2 4 4 18 7 2" xfId="17251"/>
    <cellStyle name="Comma 2 4 4 18 8" xfId="17252"/>
    <cellStyle name="Comma 2 4 4 18 8 2" xfId="17253"/>
    <cellStyle name="Comma 2 4 4 18 9" xfId="17254"/>
    <cellStyle name="Comma 2 4 4 18 9 2" xfId="17255"/>
    <cellStyle name="Comma 2 4 4 19" xfId="17256"/>
    <cellStyle name="Comma 2 4 4 19 10" xfId="17257"/>
    <cellStyle name="Comma 2 4 4 19 10 2" xfId="17258"/>
    <cellStyle name="Comma 2 4 4 19 11" xfId="17259"/>
    <cellStyle name="Comma 2 4 4 19 11 2" xfId="17260"/>
    <cellStyle name="Comma 2 4 4 19 12" xfId="17261"/>
    <cellStyle name="Comma 2 4 4 19 2" xfId="17262"/>
    <cellStyle name="Comma 2 4 4 19 2 2" xfId="17263"/>
    <cellStyle name="Comma 2 4 4 19 3" xfId="17264"/>
    <cellStyle name="Comma 2 4 4 19 3 2" xfId="17265"/>
    <cellStyle name="Comma 2 4 4 19 4" xfId="17266"/>
    <cellStyle name="Comma 2 4 4 19 4 2" xfId="17267"/>
    <cellStyle name="Comma 2 4 4 19 5" xfId="17268"/>
    <cellStyle name="Comma 2 4 4 19 5 2" xfId="17269"/>
    <cellStyle name="Comma 2 4 4 19 6" xfId="17270"/>
    <cellStyle name="Comma 2 4 4 19 6 2" xfId="17271"/>
    <cellStyle name="Comma 2 4 4 19 7" xfId="17272"/>
    <cellStyle name="Comma 2 4 4 19 7 2" xfId="17273"/>
    <cellStyle name="Comma 2 4 4 19 8" xfId="17274"/>
    <cellStyle name="Comma 2 4 4 19 8 2" xfId="17275"/>
    <cellStyle name="Comma 2 4 4 19 9" xfId="17276"/>
    <cellStyle name="Comma 2 4 4 19 9 2" xfId="17277"/>
    <cellStyle name="Comma 2 4 4 2" xfId="17278"/>
    <cellStyle name="Comma 2 4 4 2 10" xfId="17279"/>
    <cellStyle name="Comma 2 4 4 2 10 2" xfId="17280"/>
    <cellStyle name="Comma 2 4 4 2 11" xfId="17281"/>
    <cellStyle name="Comma 2 4 4 2 11 2" xfId="17282"/>
    <cellStyle name="Comma 2 4 4 2 12" xfId="17283"/>
    <cellStyle name="Comma 2 4 4 2 2" xfId="17284"/>
    <cellStyle name="Comma 2 4 4 2 2 2" xfId="17285"/>
    <cellStyle name="Comma 2 4 4 2 3" xfId="17286"/>
    <cellStyle name="Comma 2 4 4 2 3 2" xfId="17287"/>
    <cellStyle name="Comma 2 4 4 2 4" xfId="17288"/>
    <cellStyle name="Comma 2 4 4 2 4 2" xfId="17289"/>
    <cellStyle name="Comma 2 4 4 2 5" xfId="17290"/>
    <cellStyle name="Comma 2 4 4 2 5 2" xfId="17291"/>
    <cellStyle name="Comma 2 4 4 2 6" xfId="17292"/>
    <cellStyle name="Comma 2 4 4 2 6 2" xfId="17293"/>
    <cellStyle name="Comma 2 4 4 2 7" xfId="17294"/>
    <cellStyle name="Comma 2 4 4 2 7 2" xfId="17295"/>
    <cellStyle name="Comma 2 4 4 2 8" xfId="17296"/>
    <cellStyle name="Comma 2 4 4 2 8 2" xfId="17297"/>
    <cellStyle name="Comma 2 4 4 2 9" xfId="17298"/>
    <cellStyle name="Comma 2 4 4 2 9 2" xfId="17299"/>
    <cellStyle name="Comma 2 4 4 20" xfId="17300"/>
    <cellStyle name="Comma 2 4 4 20 10" xfId="17301"/>
    <cellStyle name="Comma 2 4 4 20 10 2" xfId="17302"/>
    <cellStyle name="Comma 2 4 4 20 11" xfId="17303"/>
    <cellStyle name="Comma 2 4 4 20 11 2" xfId="17304"/>
    <cellStyle name="Comma 2 4 4 20 12" xfId="17305"/>
    <cellStyle name="Comma 2 4 4 20 2" xfId="17306"/>
    <cellStyle name="Comma 2 4 4 20 2 2" xfId="17307"/>
    <cellStyle name="Comma 2 4 4 20 3" xfId="17308"/>
    <cellStyle name="Comma 2 4 4 20 3 2" xfId="17309"/>
    <cellStyle name="Comma 2 4 4 20 4" xfId="17310"/>
    <cellStyle name="Comma 2 4 4 20 4 2" xfId="17311"/>
    <cellStyle name="Comma 2 4 4 20 5" xfId="17312"/>
    <cellStyle name="Comma 2 4 4 20 5 2" xfId="17313"/>
    <cellStyle name="Comma 2 4 4 20 6" xfId="17314"/>
    <cellStyle name="Comma 2 4 4 20 6 2" xfId="17315"/>
    <cellStyle name="Comma 2 4 4 20 7" xfId="17316"/>
    <cellStyle name="Comma 2 4 4 20 7 2" xfId="17317"/>
    <cellStyle name="Comma 2 4 4 20 8" xfId="17318"/>
    <cellStyle name="Comma 2 4 4 20 8 2" xfId="17319"/>
    <cellStyle name="Comma 2 4 4 20 9" xfId="17320"/>
    <cellStyle name="Comma 2 4 4 20 9 2" xfId="17321"/>
    <cellStyle name="Comma 2 4 4 21" xfId="17322"/>
    <cellStyle name="Comma 2 4 4 21 10" xfId="17323"/>
    <cellStyle name="Comma 2 4 4 21 10 2" xfId="17324"/>
    <cellStyle name="Comma 2 4 4 21 11" xfId="17325"/>
    <cellStyle name="Comma 2 4 4 21 11 2" xfId="17326"/>
    <cellStyle name="Comma 2 4 4 21 12" xfId="17327"/>
    <cellStyle name="Comma 2 4 4 21 2" xfId="17328"/>
    <cellStyle name="Comma 2 4 4 21 2 2" xfId="17329"/>
    <cellStyle name="Comma 2 4 4 21 3" xfId="17330"/>
    <cellStyle name="Comma 2 4 4 21 3 2" xfId="17331"/>
    <cellStyle name="Comma 2 4 4 21 4" xfId="17332"/>
    <cellStyle name="Comma 2 4 4 21 4 2" xfId="17333"/>
    <cellStyle name="Comma 2 4 4 21 5" xfId="17334"/>
    <cellStyle name="Comma 2 4 4 21 5 2" xfId="17335"/>
    <cellStyle name="Comma 2 4 4 21 6" xfId="17336"/>
    <cellStyle name="Comma 2 4 4 21 6 2" xfId="17337"/>
    <cellStyle name="Comma 2 4 4 21 7" xfId="17338"/>
    <cellStyle name="Comma 2 4 4 21 7 2" xfId="17339"/>
    <cellStyle name="Comma 2 4 4 21 8" xfId="17340"/>
    <cellStyle name="Comma 2 4 4 21 8 2" xfId="17341"/>
    <cellStyle name="Comma 2 4 4 21 9" xfId="17342"/>
    <cellStyle name="Comma 2 4 4 21 9 2" xfId="17343"/>
    <cellStyle name="Comma 2 4 4 22" xfId="17344"/>
    <cellStyle name="Comma 2 4 4 22 10" xfId="17345"/>
    <cellStyle name="Comma 2 4 4 22 10 2" xfId="17346"/>
    <cellStyle name="Comma 2 4 4 22 11" xfId="17347"/>
    <cellStyle name="Comma 2 4 4 22 11 2" xfId="17348"/>
    <cellStyle name="Comma 2 4 4 22 12" xfId="17349"/>
    <cellStyle name="Comma 2 4 4 22 2" xfId="17350"/>
    <cellStyle name="Comma 2 4 4 22 2 2" xfId="17351"/>
    <cellStyle name="Comma 2 4 4 22 3" xfId="17352"/>
    <cellStyle name="Comma 2 4 4 22 3 2" xfId="17353"/>
    <cellStyle name="Comma 2 4 4 22 4" xfId="17354"/>
    <cellStyle name="Comma 2 4 4 22 4 2" xfId="17355"/>
    <cellStyle name="Comma 2 4 4 22 5" xfId="17356"/>
    <cellStyle name="Comma 2 4 4 22 5 2" xfId="17357"/>
    <cellStyle name="Comma 2 4 4 22 6" xfId="17358"/>
    <cellStyle name="Comma 2 4 4 22 6 2" xfId="17359"/>
    <cellStyle name="Comma 2 4 4 22 7" xfId="17360"/>
    <cellStyle name="Comma 2 4 4 22 7 2" xfId="17361"/>
    <cellStyle name="Comma 2 4 4 22 8" xfId="17362"/>
    <cellStyle name="Comma 2 4 4 22 8 2" xfId="17363"/>
    <cellStyle name="Comma 2 4 4 22 9" xfId="17364"/>
    <cellStyle name="Comma 2 4 4 22 9 2" xfId="17365"/>
    <cellStyle name="Comma 2 4 4 23" xfId="17366"/>
    <cellStyle name="Comma 2 4 4 23 10" xfId="17367"/>
    <cellStyle name="Comma 2 4 4 23 10 2" xfId="17368"/>
    <cellStyle name="Comma 2 4 4 23 11" xfId="17369"/>
    <cellStyle name="Comma 2 4 4 23 11 2" xfId="17370"/>
    <cellStyle name="Comma 2 4 4 23 12" xfId="17371"/>
    <cellStyle name="Comma 2 4 4 23 2" xfId="17372"/>
    <cellStyle name="Comma 2 4 4 23 2 2" xfId="17373"/>
    <cellStyle name="Comma 2 4 4 23 3" xfId="17374"/>
    <cellStyle name="Comma 2 4 4 23 3 2" xfId="17375"/>
    <cellStyle name="Comma 2 4 4 23 4" xfId="17376"/>
    <cellStyle name="Comma 2 4 4 23 4 2" xfId="17377"/>
    <cellStyle name="Comma 2 4 4 23 5" xfId="17378"/>
    <cellStyle name="Comma 2 4 4 23 5 2" xfId="17379"/>
    <cellStyle name="Comma 2 4 4 23 6" xfId="17380"/>
    <cellStyle name="Comma 2 4 4 23 6 2" xfId="17381"/>
    <cellStyle name="Comma 2 4 4 23 7" xfId="17382"/>
    <cellStyle name="Comma 2 4 4 23 7 2" xfId="17383"/>
    <cellStyle name="Comma 2 4 4 23 8" xfId="17384"/>
    <cellStyle name="Comma 2 4 4 23 8 2" xfId="17385"/>
    <cellStyle name="Comma 2 4 4 23 9" xfId="17386"/>
    <cellStyle name="Comma 2 4 4 23 9 2" xfId="17387"/>
    <cellStyle name="Comma 2 4 4 24" xfId="17388"/>
    <cellStyle name="Comma 2 4 4 24 10" xfId="17389"/>
    <cellStyle name="Comma 2 4 4 24 10 2" xfId="17390"/>
    <cellStyle name="Comma 2 4 4 24 11" xfId="17391"/>
    <cellStyle name="Comma 2 4 4 24 11 2" xfId="17392"/>
    <cellStyle name="Comma 2 4 4 24 12" xfId="17393"/>
    <cellStyle name="Comma 2 4 4 24 2" xfId="17394"/>
    <cellStyle name="Comma 2 4 4 24 2 2" xfId="17395"/>
    <cellStyle name="Comma 2 4 4 24 3" xfId="17396"/>
    <cellStyle name="Comma 2 4 4 24 3 2" xfId="17397"/>
    <cellStyle name="Comma 2 4 4 24 4" xfId="17398"/>
    <cellStyle name="Comma 2 4 4 24 4 2" xfId="17399"/>
    <cellStyle name="Comma 2 4 4 24 5" xfId="17400"/>
    <cellStyle name="Comma 2 4 4 24 5 2" xfId="17401"/>
    <cellStyle name="Comma 2 4 4 24 6" xfId="17402"/>
    <cellStyle name="Comma 2 4 4 24 6 2" xfId="17403"/>
    <cellStyle name="Comma 2 4 4 24 7" xfId="17404"/>
    <cellStyle name="Comma 2 4 4 24 7 2" xfId="17405"/>
    <cellStyle name="Comma 2 4 4 24 8" xfId="17406"/>
    <cellStyle name="Comma 2 4 4 24 8 2" xfId="17407"/>
    <cellStyle name="Comma 2 4 4 24 9" xfId="17408"/>
    <cellStyle name="Comma 2 4 4 24 9 2" xfId="17409"/>
    <cellStyle name="Comma 2 4 4 25" xfId="17410"/>
    <cellStyle name="Comma 2 4 4 25 10" xfId="17411"/>
    <cellStyle name="Comma 2 4 4 25 10 2" xfId="17412"/>
    <cellStyle name="Comma 2 4 4 25 11" xfId="17413"/>
    <cellStyle name="Comma 2 4 4 25 11 2" xfId="17414"/>
    <cellStyle name="Comma 2 4 4 25 12" xfId="17415"/>
    <cellStyle name="Comma 2 4 4 25 2" xfId="17416"/>
    <cellStyle name="Comma 2 4 4 25 2 2" xfId="17417"/>
    <cellStyle name="Comma 2 4 4 25 3" xfId="17418"/>
    <cellStyle name="Comma 2 4 4 25 3 2" xfId="17419"/>
    <cellStyle name="Comma 2 4 4 25 4" xfId="17420"/>
    <cellStyle name="Comma 2 4 4 25 4 2" xfId="17421"/>
    <cellStyle name="Comma 2 4 4 25 5" xfId="17422"/>
    <cellStyle name="Comma 2 4 4 25 5 2" xfId="17423"/>
    <cellStyle name="Comma 2 4 4 25 6" xfId="17424"/>
    <cellStyle name="Comma 2 4 4 25 6 2" xfId="17425"/>
    <cellStyle name="Comma 2 4 4 25 7" xfId="17426"/>
    <cellStyle name="Comma 2 4 4 25 7 2" xfId="17427"/>
    <cellStyle name="Comma 2 4 4 25 8" xfId="17428"/>
    <cellStyle name="Comma 2 4 4 25 8 2" xfId="17429"/>
    <cellStyle name="Comma 2 4 4 25 9" xfId="17430"/>
    <cellStyle name="Comma 2 4 4 25 9 2" xfId="17431"/>
    <cellStyle name="Comma 2 4 4 26" xfId="17432"/>
    <cellStyle name="Comma 2 4 4 26 10" xfId="17433"/>
    <cellStyle name="Comma 2 4 4 26 10 2" xfId="17434"/>
    <cellStyle name="Comma 2 4 4 26 11" xfId="17435"/>
    <cellStyle name="Comma 2 4 4 26 11 2" xfId="17436"/>
    <cellStyle name="Comma 2 4 4 26 12" xfId="17437"/>
    <cellStyle name="Comma 2 4 4 26 2" xfId="17438"/>
    <cellStyle name="Comma 2 4 4 26 2 2" xfId="17439"/>
    <cellStyle name="Comma 2 4 4 26 3" xfId="17440"/>
    <cellStyle name="Comma 2 4 4 26 3 2" xfId="17441"/>
    <cellStyle name="Comma 2 4 4 26 4" xfId="17442"/>
    <cellStyle name="Comma 2 4 4 26 4 2" xfId="17443"/>
    <cellStyle name="Comma 2 4 4 26 5" xfId="17444"/>
    <cellStyle name="Comma 2 4 4 26 5 2" xfId="17445"/>
    <cellStyle name="Comma 2 4 4 26 6" xfId="17446"/>
    <cellStyle name="Comma 2 4 4 26 6 2" xfId="17447"/>
    <cellStyle name="Comma 2 4 4 26 7" xfId="17448"/>
    <cellStyle name="Comma 2 4 4 26 7 2" xfId="17449"/>
    <cellStyle name="Comma 2 4 4 26 8" xfId="17450"/>
    <cellStyle name="Comma 2 4 4 26 8 2" xfId="17451"/>
    <cellStyle name="Comma 2 4 4 26 9" xfId="17452"/>
    <cellStyle name="Comma 2 4 4 26 9 2" xfId="17453"/>
    <cellStyle name="Comma 2 4 4 27" xfId="17454"/>
    <cellStyle name="Comma 2 4 4 27 10" xfId="17455"/>
    <cellStyle name="Comma 2 4 4 27 10 2" xfId="17456"/>
    <cellStyle name="Comma 2 4 4 27 11" xfId="17457"/>
    <cellStyle name="Comma 2 4 4 27 11 2" xfId="17458"/>
    <cellStyle name="Comma 2 4 4 27 12" xfId="17459"/>
    <cellStyle name="Comma 2 4 4 27 2" xfId="17460"/>
    <cellStyle name="Comma 2 4 4 27 2 2" xfId="17461"/>
    <cellStyle name="Comma 2 4 4 27 3" xfId="17462"/>
    <cellStyle name="Comma 2 4 4 27 3 2" xfId="17463"/>
    <cellStyle name="Comma 2 4 4 27 4" xfId="17464"/>
    <cellStyle name="Comma 2 4 4 27 4 2" xfId="17465"/>
    <cellStyle name="Comma 2 4 4 27 5" xfId="17466"/>
    <cellStyle name="Comma 2 4 4 27 5 2" xfId="17467"/>
    <cellStyle name="Comma 2 4 4 27 6" xfId="17468"/>
    <cellStyle name="Comma 2 4 4 27 6 2" xfId="17469"/>
    <cellStyle name="Comma 2 4 4 27 7" xfId="17470"/>
    <cellStyle name="Comma 2 4 4 27 7 2" xfId="17471"/>
    <cellStyle name="Comma 2 4 4 27 8" xfId="17472"/>
    <cellStyle name="Comma 2 4 4 27 8 2" xfId="17473"/>
    <cellStyle name="Comma 2 4 4 27 9" xfId="17474"/>
    <cellStyle name="Comma 2 4 4 27 9 2" xfId="17475"/>
    <cellStyle name="Comma 2 4 4 28" xfId="17476"/>
    <cellStyle name="Comma 2 4 4 28 10" xfId="17477"/>
    <cellStyle name="Comma 2 4 4 28 10 2" xfId="17478"/>
    <cellStyle name="Comma 2 4 4 28 11" xfId="17479"/>
    <cellStyle name="Comma 2 4 4 28 11 2" xfId="17480"/>
    <cellStyle name="Comma 2 4 4 28 12" xfId="17481"/>
    <cellStyle name="Comma 2 4 4 28 2" xfId="17482"/>
    <cellStyle name="Comma 2 4 4 28 2 2" xfId="17483"/>
    <cellStyle name="Comma 2 4 4 28 3" xfId="17484"/>
    <cellStyle name="Comma 2 4 4 28 3 2" xfId="17485"/>
    <cellStyle name="Comma 2 4 4 28 4" xfId="17486"/>
    <cellStyle name="Comma 2 4 4 28 4 2" xfId="17487"/>
    <cellStyle name="Comma 2 4 4 28 5" xfId="17488"/>
    <cellStyle name="Comma 2 4 4 28 5 2" xfId="17489"/>
    <cellStyle name="Comma 2 4 4 28 6" xfId="17490"/>
    <cellStyle name="Comma 2 4 4 28 6 2" xfId="17491"/>
    <cellStyle name="Comma 2 4 4 28 7" xfId="17492"/>
    <cellStyle name="Comma 2 4 4 28 7 2" xfId="17493"/>
    <cellStyle name="Comma 2 4 4 28 8" xfId="17494"/>
    <cellStyle name="Comma 2 4 4 28 8 2" xfId="17495"/>
    <cellStyle name="Comma 2 4 4 28 9" xfId="17496"/>
    <cellStyle name="Comma 2 4 4 28 9 2" xfId="17497"/>
    <cellStyle name="Comma 2 4 4 29" xfId="17498"/>
    <cellStyle name="Comma 2 4 4 29 10" xfId="17499"/>
    <cellStyle name="Comma 2 4 4 29 10 2" xfId="17500"/>
    <cellStyle name="Comma 2 4 4 29 11" xfId="17501"/>
    <cellStyle name="Comma 2 4 4 29 11 2" xfId="17502"/>
    <cellStyle name="Comma 2 4 4 29 12" xfId="17503"/>
    <cellStyle name="Comma 2 4 4 29 2" xfId="17504"/>
    <cellStyle name="Comma 2 4 4 29 2 2" xfId="17505"/>
    <cellStyle name="Comma 2 4 4 29 3" xfId="17506"/>
    <cellStyle name="Comma 2 4 4 29 3 2" xfId="17507"/>
    <cellStyle name="Comma 2 4 4 29 4" xfId="17508"/>
    <cellStyle name="Comma 2 4 4 29 4 2" xfId="17509"/>
    <cellStyle name="Comma 2 4 4 29 5" xfId="17510"/>
    <cellStyle name="Comma 2 4 4 29 5 2" xfId="17511"/>
    <cellStyle name="Comma 2 4 4 29 6" xfId="17512"/>
    <cellStyle name="Comma 2 4 4 29 6 2" xfId="17513"/>
    <cellStyle name="Comma 2 4 4 29 7" xfId="17514"/>
    <cellStyle name="Comma 2 4 4 29 7 2" xfId="17515"/>
    <cellStyle name="Comma 2 4 4 29 8" xfId="17516"/>
    <cellStyle name="Comma 2 4 4 29 8 2" xfId="17517"/>
    <cellStyle name="Comma 2 4 4 29 9" xfId="17518"/>
    <cellStyle name="Comma 2 4 4 29 9 2" xfId="17519"/>
    <cellStyle name="Comma 2 4 4 3" xfId="17520"/>
    <cellStyle name="Comma 2 4 4 3 10" xfId="17521"/>
    <cellStyle name="Comma 2 4 4 3 10 2" xfId="17522"/>
    <cellStyle name="Comma 2 4 4 3 11" xfId="17523"/>
    <cellStyle name="Comma 2 4 4 3 11 2" xfId="17524"/>
    <cellStyle name="Comma 2 4 4 3 12" xfId="17525"/>
    <cellStyle name="Comma 2 4 4 3 2" xfId="17526"/>
    <cellStyle name="Comma 2 4 4 3 2 2" xfId="17527"/>
    <cellStyle name="Comma 2 4 4 3 3" xfId="17528"/>
    <cellStyle name="Comma 2 4 4 3 3 2" xfId="17529"/>
    <cellStyle name="Comma 2 4 4 3 4" xfId="17530"/>
    <cellStyle name="Comma 2 4 4 3 4 2" xfId="17531"/>
    <cellStyle name="Comma 2 4 4 3 5" xfId="17532"/>
    <cellStyle name="Comma 2 4 4 3 5 2" xfId="17533"/>
    <cellStyle name="Comma 2 4 4 3 6" xfId="17534"/>
    <cellStyle name="Comma 2 4 4 3 6 2" xfId="17535"/>
    <cellStyle name="Comma 2 4 4 3 7" xfId="17536"/>
    <cellStyle name="Comma 2 4 4 3 7 2" xfId="17537"/>
    <cellStyle name="Comma 2 4 4 3 8" xfId="17538"/>
    <cellStyle name="Comma 2 4 4 3 8 2" xfId="17539"/>
    <cellStyle name="Comma 2 4 4 3 9" xfId="17540"/>
    <cellStyle name="Comma 2 4 4 3 9 2" xfId="17541"/>
    <cellStyle name="Comma 2 4 4 30" xfId="17542"/>
    <cellStyle name="Comma 2 4 4 30 10" xfId="17543"/>
    <cellStyle name="Comma 2 4 4 30 10 2" xfId="17544"/>
    <cellStyle name="Comma 2 4 4 30 11" xfId="17545"/>
    <cellStyle name="Comma 2 4 4 30 11 2" xfId="17546"/>
    <cellStyle name="Comma 2 4 4 30 12" xfId="17547"/>
    <cellStyle name="Comma 2 4 4 30 2" xfId="17548"/>
    <cellStyle name="Comma 2 4 4 30 2 2" xfId="17549"/>
    <cellStyle name="Comma 2 4 4 30 3" xfId="17550"/>
    <cellStyle name="Comma 2 4 4 30 3 2" xfId="17551"/>
    <cellStyle name="Comma 2 4 4 30 4" xfId="17552"/>
    <cellStyle name="Comma 2 4 4 30 4 2" xfId="17553"/>
    <cellStyle name="Comma 2 4 4 30 5" xfId="17554"/>
    <cellStyle name="Comma 2 4 4 30 5 2" xfId="17555"/>
    <cellStyle name="Comma 2 4 4 30 6" xfId="17556"/>
    <cellStyle name="Comma 2 4 4 30 6 2" xfId="17557"/>
    <cellStyle name="Comma 2 4 4 30 7" xfId="17558"/>
    <cellStyle name="Comma 2 4 4 30 7 2" xfId="17559"/>
    <cellStyle name="Comma 2 4 4 30 8" xfId="17560"/>
    <cellStyle name="Comma 2 4 4 30 8 2" xfId="17561"/>
    <cellStyle name="Comma 2 4 4 30 9" xfId="17562"/>
    <cellStyle name="Comma 2 4 4 30 9 2" xfId="17563"/>
    <cellStyle name="Comma 2 4 4 31" xfId="17564"/>
    <cellStyle name="Comma 2 4 4 31 10" xfId="17565"/>
    <cellStyle name="Comma 2 4 4 31 10 2" xfId="17566"/>
    <cellStyle name="Comma 2 4 4 31 11" xfId="17567"/>
    <cellStyle name="Comma 2 4 4 31 11 2" xfId="17568"/>
    <cellStyle name="Comma 2 4 4 31 12" xfId="17569"/>
    <cellStyle name="Comma 2 4 4 31 2" xfId="17570"/>
    <cellStyle name="Comma 2 4 4 31 2 2" xfId="17571"/>
    <cellStyle name="Comma 2 4 4 31 3" xfId="17572"/>
    <cellStyle name="Comma 2 4 4 31 3 2" xfId="17573"/>
    <cellStyle name="Comma 2 4 4 31 4" xfId="17574"/>
    <cellStyle name="Comma 2 4 4 31 4 2" xfId="17575"/>
    <cellStyle name="Comma 2 4 4 31 5" xfId="17576"/>
    <cellStyle name="Comma 2 4 4 31 5 2" xfId="17577"/>
    <cellStyle name="Comma 2 4 4 31 6" xfId="17578"/>
    <cellStyle name="Comma 2 4 4 31 6 2" xfId="17579"/>
    <cellStyle name="Comma 2 4 4 31 7" xfId="17580"/>
    <cellStyle name="Comma 2 4 4 31 7 2" xfId="17581"/>
    <cellStyle name="Comma 2 4 4 31 8" xfId="17582"/>
    <cellStyle name="Comma 2 4 4 31 8 2" xfId="17583"/>
    <cellStyle name="Comma 2 4 4 31 9" xfId="17584"/>
    <cellStyle name="Comma 2 4 4 31 9 2" xfId="17585"/>
    <cellStyle name="Comma 2 4 4 32" xfId="17586"/>
    <cellStyle name="Comma 2 4 4 32 10" xfId="17587"/>
    <cellStyle name="Comma 2 4 4 32 10 2" xfId="17588"/>
    <cellStyle name="Comma 2 4 4 32 11" xfId="17589"/>
    <cellStyle name="Comma 2 4 4 32 11 2" xfId="17590"/>
    <cellStyle name="Comma 2 4 4 32 12" xfId="17591"/>
    <cellStyle name="Comma 2 4 4 32 2" xfId="17592"/>
    <cellStyle name="Comma 2 4 4 32 2 2" xfId="17593"/>
    <cellStyle name="Comma 2 4 4 32 3" xfId="17594"/>
    <cellStyle name="Comma 2 4 4 32 3 2" xfId="17595"/>
    <cellStyle name="Comma 2 4 4 32 4" xfId="17596"/>
    <cellStyle name="Comma 2 4 4 32 4 2" xfId="17597"/>
    <cellStyle name="Comma 2 4 4 32 5" xfId="17598"/>
    <cellStyle name="Comma 2 4 4 32 5 2" xfId="17599"/>
    <cellStyle name="Comma 2 4 4 32 6" xfId="17600"/>
    <cellStyle name="Comma 2 4 4 32 6 2" xfId="17601"/>
    <cellStyle name="Comma 2 4 4 32 7" xfId="17602"/>
    <cellStyle name="Comma 2 4 4 32 7 2" xfId="17603"/>
    <cellStyle name="Comma 2 4 4 32 8" xfId="17604"/>
    <cellStyle name="Comma 2 4 4 32 8 2" xfId="17605"/>
    <cellStyle name="Comma 2 4 4 32 9" xfId="17606"/>
    <cellStyle name="Comma 2 4 4 32 9 2" xfId="17607"/>
    <cellStyle name="Comma 2 4 4 33" xfId="17608"/>
    <cellStyle name="Comma 2 4 4 33 10" xfId="17609"/>
    <cellStyle name="Comma 2 4 4 33 10 2" xfId="17610"/>
    <cellStyle name="Comma 2 4 4 33 11" xfId="17611"/>
    <cellStyle name="Comma 2 4 4 33 11 2" xfId="17612"/>
    <cellStyle name="Comma 2 4 4 33 12" xfId="17613"/>
    <cellStyle name="Comma 2 4 4 33 2" xfId="17614"/>
    <cellStyle name="Comma 2 4 4 33 2 2" xfId="17615"/>
    <cellStyle name="Comma 2 4 4 33 3" xfId="17616"/>
    <cellStyle name="Comma 2 4 4 33 3 2" xfId="17617"/>
    <cellStyle name="Comma 2 4 4 33 4" xfId="17618"/>
    <cellStyle name="Comma 2 4 4 33 4 2" xfId="17619"/>
    <cellStyle name="Comma 2 4 4 33 5" xfId="17620"/>
    <cellStyle name="Comma 2 4 4 33 5 2" xfId="17621"/>
    <cellStyle name="Comma 2 4 4 33 6" xfId="17622"/>
    <cellStyle name="Comma 2 4 4 33 6 2" xfId="17623"/>
    <cellStyle name="Comma 2 4 4 33 7" xfId="17624"/>
    <cellStyle name="Comma 2 4 4 33 7 2" xfId="17625"/>
    <cellStyle name="Comma 2 4 4 33 8" xfId="17626"/>
    <cellStyle name="Comma 2 4 4 33 8 2" xfId="17627"/>
    <cellStyle name="Comma 2 4 4 33 9" xfId="17628"/>
    <cellStyle name="Comma 2 4 4 33 9 2" xfId="17629"/>
    <cellStyle name="Comma 2 4 4 34" xfId="17630"/>
    <cellStyle name="Comma 2 4 4 34 10" xfId="17631"/>
    <cellStyle name="Comma 2 4 4 34 10 2" xfId="17632"/>
    <cellStyle name="Comma 2 4 4 34 11" xfId="17633"/>
    <cellStyle name="Comma 2 4 4 34 11 2" xfId="17634"/>
    <cellStyle name="Comma 2 4 4 34 12" xfId="17635"/>
    <cellStyle name="Comma 2 4 4 34 2" xfId="17636"/>
    <cellStyle name="Comma 2 4 4 34 2 2" xfId="17637"/>
    <cellStyle name="Comma 2 4 4 34 3" xfId="17638"/>
    <cellStyle name="Comma 2 4 4 34 3 2" xfId="17639"/>
    <cellStyle name="Comma 2 4 4 34 4" xfId="17640"/>
    <cellStyle name="Comma 2 4 4 34 4 2" xfId="17641"/>
    <cellStyle name="Comma 2 4 4 34 5" xfId="17642"/>
    <cellStyle name="Comma 2 4 4 34 5 2" xfId="17643"/>
    <cellStyle name="Comma 2 4 4 34 6" xfId="17644"/>
    <cellStyle name="Comma 2 4 4 34 6 2" xfId="17645"/>
    <cellStyle name="Comma 2 4 4 34 7" xfId="17646"/>
    <cellStyle name="Comma 2 4 4 34 7 2" xfId="17647"/>
    <cellStyle name="Comma 2 4 4 34 8" xfId="17648"/>
    <cellStyle name="Comma 2 4 4 34 8 2" xfId="17649"/>
    <cellStyle name="Comma 2 4 4 34 9" xfId="17650"/>
    <cellStyle name="Comma 2 4 4 34 9 2" xfId="17651"/>
    <cellStyle name="Comma 2 4 4 35" xfId="17652"/>
    <cellStyle name="Comma 2 4 4 35 10" xfId="17653"/>
    <cellStyle name="Comma 2 4 4 35 10 2" xfId="17654"/>
    <cellStyle name="Comma 2 4 4 35 11" xfId="17655"/>
    <cellStyle name="Comma 2 4 4 35 11 2" xfId="17656"/>
    <cellStyle name="Comma 2 4 4 35 12" xfId="17657"/>
    <cellStyle name="Comma 2 4 4 35 2" xfId="17658"/>
    <cellStyle name="Comma 2 4 4 35 2 2" xfId="17659"/>
    <cellStyle name="Comma 2 4 4 35 3" xfId="17660"/>
    <cellStyle name="Comma 2 4 4 35 3 2" xfId="17661"/>
    <cellStyle name="Comma 2 4 4 35 4" xfId="17662"/>
    <cellStyle name="Comma 2 4 4 35 4 2" xfId="17663"/>
    <cellStyle name="Comma 2 4 4 35 5" xfId="17664"/>
    <cellStyle name="Comma 2 4 4 35 5 2" xfId="17665"/>
    <cellStyle name="Comma 2 4 4 35 6" xfId="17666"/>
    <cellStyle name="Comma 2 4 4 35 6 2" xfId="17667"/>
    <cellStyle name="Comma 2 4 4 35 7" xfId="17668"/>
    <cellStyle name="Comma 2 4 4 35 7 2" xfId="17669"/>
    <cellStyle name="Comma 2 4 4 35 8" xfId="17670"/>
    <cellStyle name="Comma 2 4 4 35 8 2" xfId="17671"/>
    <cellStyle name="Comma 2 4 4 35 9" xfId="17672"/>
    <cellStyle name="Comma 2 4 4 35 9 2" xfId="17673"/>
    <cellStyle name="Comma 2 4 4 36" xfId="17674"/>
    <cellStyle name="Comma 2 4 4 36 10" xfId="17675"/>
    <cellStyle name="Comma 2 4 4 36 10 2" xfId="17676"/>
    <cellStyle name="Comma 2 4 4 36 11" xfId="17677"/>
    <cellStyle name="Comma 2 4 4 36 11 2" xfId="17678"/>
    <cellStyle name="Comma 2 4 4 36 12" xfId="17679"/>
    <cellStyle name="Comma 2 4 4 36 2" xfId="17680"/>
    <cellStyle name="Comma 2 4 4 36 2 2" xfId="17681"/>
    <cellStyle name="Comma 2 4 4 36 3" xfId="17682"/>
    <cellStyle name="Comma 2 4 4 36 3 2" xfId="17683"/>
    <cellStyle name="Comma 2 4 4 36 4" xfId="17684"/>
    <cellStyle name="Comma 2 4 4 36 4 2" xfId="17685"/>
    <cellStyle name="Comma 2 4 4 36 5" xfId="17686"/>
    <cellStyle name="Comma 2 4 4 36 5 2" xfId="17687"/>
    <cellStyle name="Comma 2 4 4 36 6" xfId="17688"/>
    <cellStyle name="Comma 2 4 4 36 6 2" xfId="17689"/>
    <cellStyle name="Comma 2 4 4 36 7" xfId="17690"/>
    <cellStyle name="Comma 2 4 4 36 7 2" xfId="17691"/>
    <cellStyle name="Comma 2 4 4 36 8" xfId="17692"/>
    <cellStyle name="Comma 2 4 4 36 8 2" xfId="17693"/>
    <cellStyle name="Comma 2 4 4 36 9" xfId="17694"/>
    <cellStyle name="Comma 2 4 4 36 9 2" xfId="17695"/>
    <cellStyle name="Comma 2 4 4 37" xfId="17696"/>
    <cellStyle name="Comma 2 4 4 37 10" xfId="17697"/>
    <cellStyle name="Comma 2 4 4 37 10 2" xfId="17698"/>
    <cellStyle name="Comma 2 4 4 37 11" xfId="17699"/>
    <cellStyle name="Comma 2 4 4 37 11 2" xfId="17700"/>
    <cellStyle name="Comma 2 4 4 37 12" xfId="17701"/>
    <cellStyle name="Comma 2 4 4 37 2" xfId="17702"/>
    <cellStyle name="Comma 2 4 4 37 2 2" xfId="17703"/>
    <cellStyle name="Comma 2 4 4 37 3" xfId="17704"/>
    <cellStyle name="Comma 2 4 4 37 3 2" xfId="17705"/>
    <cellStyle name="Comma 2 4 4 37 4" xfId="17706"/>
    <cellStyle name="Comma 2 4 4 37 4 2" xfId="17707"/>
    <cellStyle name="Comma 2 4 4 37 5" xfId="17708"/>
    <cellStyle name="Comma 2 4 4 37 5 2" xfId="17709"/>
    <cellStyle name="Comma 2 4 4 37 6" xfId="17710"/>
    <cellStyle name="Comma 2 4 4 37 6 2" xfId="17711"/>
    <cellStyle name="Comma 2 4 4 37 7" xfId="17712"/>
    <cellStyle name="Comma 2 4 4 37 7 2" xfId="17713"/>
    <cellStyle name="Comma 2 4 4 37 8" xfId="17714"/>
    <cellStyle name="Comma 2 4 4 37 8 2" xfId="17715"/>
    <cellStyle name="Comma 2 4 4 37 9" xfId="17716"/>
    <cellStyle name="Comma 2 4 4 37 9 2" xfId="17717"/>
    <cellStyle name="Comma 2 4 4 38" xfId="17718"/>
    <cellStyle name="Comma 2 4 4 38 10" xfId="17719"/>
    <cellStyle name="Comma 2 4 4 38 10 2" xfId="17720"/>
    <cellStyle name="Comma 2 4 4 38 11" xfId="17721"/>
    <cellStyle name="Comma 2 4 4 38 11 2" xfId="17722"/>
    <cellStyle name="Comma 2 4 4 38 12" xfId="17723"/>
    <cellStyle name="Comma 2 4 4 38 2" xfId="17724"/>
    <cellStyle name="Comma 2 4 4 38 2 2" xfId="17725"/>
    <cellStyle name="Comma 2 4 4 38 3" xfId="17726"/>
    <cellStyle name="Comma 2 4 4 38 3 2" xfId="17727"/>
    <cellStyle name="Comma 2 4 4 38 4" xfId="17728"/>
    <cellStyle name="Comma 2 4 4 38 4 2" xfId="17729"/>
    <cellStyle name="Comma 2 4 4 38 5" xfId="17730"/>
    <cellStyle name="Comma 2 4 4 38 5 2" xfId="17731"/>
    <cellStyle name="Comma 2 4 4 38 6" xfId="17732"/>
    <cellStyle name="Comma 2 4 4 38 6 2" xfId="17733"/>
    <cellStyle name="Comma 2 4 4 38 7" xfId="17734"/>
    <cellStyle name="Comma 2 4 4 38 7 2" xfId="17735"/>
    <cellStyle name="Comma 2 4 4 38 8" xfId="17736"/>
    <cellStyle name="Comma 2 4 4 38 8 2" xfId="17737"/>
    <cellStyle name="Comma 2 4 4 38 9" xfId="17738"/>
    <cellStyle name="Comma 2 4 4 38 9 2" xfId="17739"/>
    <cellStyle name="Comma 2 4 4 39" xfId="17740"/>
    <cellStyle name="Comma 2 4 4 39 10" xfId="17741"/>
    <cellStyle name="Comma 2 4 4 39 10 2" xfId="17742"/>
    <cellStyle name="Comma 2 4 4 39 11" xfId="17743"/>
    <cellStyle name="Comma 2 4 4 39 11 2" xfId="17744"/>
    <cellStyle name="Comma 2 4 4 39 12" xfId="17745"/>
    <cellStyle name="Comma 2 4 4 39 2" xfId="17746"/>
    <cellStyle name="Comma 2 4 4 39 2 2" xfId="17747"/>
    <cellStyle name="Comma 2 4 4 39 3" xfId="17748"/>
    <cellStyle name="Comma 2 4 4 39 3 2" xfId="17749"/>
    <cellStyle name="Comma 2 4 4 39 4" xfId="17750"/>
    <cellStyle name="Comma 2 4 4 39 4 2" xfId="17751"/>
    <cellStyle name="Comma 2 4 4 39 5" xfId="17752"/>
    <cellStyle name="Comma 2 4 4 39 5 2" xfId="17753"/>
    <cellStyle name="Comma 2 4 4 39 6" xfId="17754"/>
    <cellStyle name="Comma 2 4 4 39 6 2" xfId="17755"/>
    <cellStyle name="Comma 2 4 4 39 7" xfId="17756"/>
    <cellStyle name="Comma 2 4 4 39 7 2" xfId="17757"/>
    <cellStyle name="Comma 2 4 4 39 8" xfId="17758"/>
    <cellStyle name="Comma 2 4 4 39 8 2" xfId="17759"/>
    <cellStyle name="Comma 2 4 4 39 9" xfId="17760"/>
    <cellStyle name="Comma 2 4 4 39 9 2" xfId="17761"/>
    <cellStyle name="Comma 2 4 4 4" xfId="17762"/>
    <cellStyle name="Comma 2 4 4 4 10" xfId="17763"/>
    <cellStyle name="Comma 2 4 4 4 10 2" xfId="17764"/>
    <cellStyle name="Comma 2 4 4 4 11" xfId="17765"/>
    <cellStyle name="Comma 2 4 4 4 11 2" xfId="17766"/>
    <cellStyle name="Comma 2 4 4 4 12" xfId="17767"/>
    <cellStyle name="Comma 2 4 4 4 2" xfId="17768"/>
    <cellStyle name="Comma 2 4 4 4 2 2" xfId="17769"/>
    <cellStyle name="Comma 2 4 4 4 3" xfId="17770"/>
    <cellStyle name="Comma 2 4 4 4 3 2" xfId="17771"/>
    <cellStyle name="Comma 2 4 4 4 4" xfId="17772"/>
    <cellStyle name="Comma 2 4 4 4 4 2" xfId="17773"/>
    <cellStyle name="Comma 2 4 4 4 5" xfId="17774"/>
    <cellStyle name="Comma 2 4 4 4 5 2" xfId="17775"/>
    <cellStyle name="Comma 2 4 4 4 6" xfId="17776"/>
    <cellStyle name="Comma 2 4 4 4 6 2" xfId="17777"/>
    <cellStyle name="Comma 2 4 4 4 7" xfId="17778"/>
    <cellStyle name="Comma 2 4 4 4 7 2" xfId="17779"/>
    <cellStyle name="Comma 2 4 4 4 8" xfId="17780"/>
    <cellStyle name="Comma 2 4 4 4 8 2" xfId="17781"/>
    <cellStyle name="Comma 2 4 4 4 9" xfId="17782"/>
    <cellStyle name="Comma 2 4 4 4 9 2" xfId="17783"/>
    <cellStyle name="Comma 2 4 4 40" xfId="17784"/>
    <cellStyle name="Comma 2 4 4 40 2" xfId="17785"/>
    <cellStyle name="Comma 2 4 4 41" xfId="17786"/>
    <cellStyle name="Comma 2 4 4 41 2" xfId="17787"/>
    <cellStyle name="Comma 2 4 4 42" xfId="17788"/>
    <cellStyle name="Comma 2 4 4 42 2" xfId="17789"/>
    <cellStyle name="Comma 2 4 4 43" xfId="17790"/>
    <cellStyle name="Comma 2 4 4 43 2" xfId="17791"/>
    <cellStyle name="Comma 2 4 4 44" xfId="17792"/>
    <cellStyle name="Comma 2 4 4 44 2" xfId="17793"/>
    <cellStyle name="Comma 2 4 4 45" xfId="17794"/>
    <cellStyle name="Comma 2 4 4 45 2" xfId="17795"/>
    <cellStyle name="Comma 2 4 4 46" xfId="17796"/>
    <cellStyle name="Comma 2 4 4 46 2" xfId="17797"/>
    <cellStyle name="Comma 2 4 4 47" xfId="17798"/>
    <cellStyle name="Comma 2 4 4 47 2" xfId="17799"/>
    <cellStyle name="Comma 2 4 4 48" xfId="17800"/>
    <cellStyle name="Comma 2 4 4 48 2" xfId="17801"/>
    <cellStyle name="Comma 2 4 4 49" xfId="17802"/>
    <cellStyle name="Comma 2 4 4 49 2" xfId="17803"/>
    <cellStyle name="Comma 2 4 4 5" xfId="17804"/>
    <cellStyle name="Comma 2 4 4 5 10" xfId="17805"/>
    <cellStyle name="Comma 2 4 4 5 10 2" xfId="17806"/>
    <cellStyle name="Comma 2 4 4 5 11" xfId="17807"/>
    <cellStyle name="Comma 2 4 4 5 11 2" xfId="17808"/>
    <cellStyle name="Comma 2 4 4 5 12" xfId="17809"/>
    <cellStyle name="Comma 2 4 4 5 2" xfId="17810"/>
    <cellStyle name="Comma 2 4 4 5 2 2" xfId="17811"/>
    <cellStyle name="Comma 2 4 4 5 3" xfId="17812"/>
    <cellStyle name="Comma 2 4 4 5 3 2" xfId="17813"/>
    <cellStyle name="Comma 2 4 4 5 4" xfId="17814"/>
    <cellStyle name="Comma 2 4 4 5 4 2" xfId="17815"/>
    <cellStyle name="Comma 2 4 4 5 5" xfId="17816"/>
    <cellStyle name="Comma 2 4 4 5 5 2" xfId="17817"/>
    <cellStyle name="Comma 2 4 4 5 6" xfId="17818"/>
    <cellStyle name="Comma 2 4 4 5 6 2" xfId="17819"/>
    <cellStyle name="Comma 2 4 4 5 7" xfId="17820"/>
    <cellStyle name="Comma 2 4 4 5 7 2" xfId="17821"/>
    <cellStyle name="Comma 2 4 4 5 8" xfId="17822"/>
    <cellStyle name="Comma 2 4 4 5 8 2" xfId="17823"/>
    <cellStyle name="Comma 2 4 4 5 9" xfId="17824"/>
    <cellStyle name="Comma 2 4 4 5 9 2" xfId="17825"/>
    <cellStyle name="Comma 2 4 4 50" xfId="17826"/>
    <cellStyle name="Comma 2 4 4 50 2" xfId="17827"/>
    <cellStyle name="Comma 2 4 4 51" xfId="17828"/>
    <cellStyle name="Comma 2 4 4 51 2" xfId="17829"/>
    <cellStyle name="Comma 2 4 4 52" xfId="17830"/>
    <cellStyle name="Comma 2 4 4 6" xfId="17831"/>
    <cellStyle name="Comma 2 4 4 6 10" xfId="17832"/>
    <cellStyle name="Comma 2 4 4 6 10 2" xfId="17833"/>
    <cellStyle name="Comma 2 4 4 6 11" xfId="17834"/>
    <cellStyle name="Comma 2 4 4 6 11 2" xfId="17835"/>
    <cellStyle name="Comma 2 4 4 6 12" xfId="17836"/>
    <cellStyle name="Comma 2 4 4 6 2" xfId="17837"/>
    <cellStyle name="Comma 2 4 4 6 2 2" xfId="17838"/>
    <cellStyle name="Comma 2 4 4 6 3" xfId="17839"/>
    <cellStyle name="Comma 2 4 4 6 3 2" xfId="17840"/>
    <cellStyle name="Comma 2 4 4 6 4" xfId="17841"/>
    <cellStyle name="Comma 2 4 4 6 4 2" xfId="17842"/>
    <cellStyle name="Comma 2 4 4 6 5" xfId="17843"/>
    <cellStyle name="Comma 2 4 4 6 5 2" xfId="17844"/>
    <cellStyle name="Comma 2 4 4 6 6" xfId="17845"/>
    <cellStyle name="Comma 2 4 4 6 6 2" xfId="17846"/>
    <cellStyle name="Comma 2 4 4 6 7" xfId="17847"/>
    <cellStyle name="Comma 2 4 4 6 7 2" xfId="17848"/>
    <cellStyle name="Comma 2 4 4 6 8" xfId="17849"/>
    <cellStyle name="Comma 2 4 4 6 8 2" xfId="17850"/>
    <cellStyle name="Comma 2 4 4 6 9" xfId="17851"/>
    <cellStyle name="Comma 2 4 4 6 9 2" xfId="17852"/>
    <cellStyle name="Comma 2 4 4 7" xfId="17853"/>
    <cellStyle name="Comma 2 4 4 7 10" xfId="17854"/>
    <cellStyle name="Comma 2 4 4 7 10 2" xfId="17855"/>
    <cellStyle name="Comma 2 4 4 7 11" xfId="17856"/>
    <cellStyle name="Comma 2 4 4 7 11 2" xfId="17857"/>
    <cellStyle name="Comma 2 4 4 7 12" xfId="17858"/>
    <cellStyle name="Comma 2 4 4 7 2" xfId="17859"/>
    <cellStyle name="Comma 2 4 4 7 2 2" xfId="17860"/>
    <cellStyle name="Comma 2 4 4 7 3" xfId="17861"/>
    <cellStyle name="Comma 2 4 4 7 3 2" xfId="17862"/>
    <cellStyle name="Comma 2 4 4 7 4" xfId="17863"/>
    <cellStyle name="Comma 2 4 4 7 4 2" xfId="17864"/>
    <cellStyle name="Comma 2 4 4 7 5" xfId="17865"/>
    <cellStyle name="Comma 2 4 4 7 5 2" xfId="17866"/>
    <cellStyle name="Comma 2 4 4 7 6" xfId="17867"/>
    <cellStyle name="Comma 2 4 4 7 6 2" xfId="17868"/>
    <cellStyle name="Comma 2 4 4 7 7" xfId="17869"/>
    <cellStyle name="Comma 2 4 4 7 7 2" xfId="17870"/>
    <cellStyle name="Comma 2 4 4 7 8" xfId="17871"/>
    <cellStyle name="Comma 2 4 4 7 8 2" xfId="17872"/>
    <cellStyle name="Comma 2 4 4 7 9" xfId="17873"/>
    <cellStyle name="Comma 2 4 4 7 9 2" xfId="17874"/>
    <cellStyle name="Comma 2 4 4 8" xfId="17875"/>
    <cellStyle name="Comma 2 4 4 8 10" xfId="17876"/>
    <cellStyle name="Comma 2 4 4 8 10 2" xfId="17877"/>
    <cellStyle name="Comma 2 4 4 8 11" xfId="17878"/>
    <cellStyle name="Comma 2 4 4 8 11 2" xfId="17879"/>
    <cellStyle name="Comma 2 4 4 8 12" xfId="17880"/>
    <cellStyle name="Comma 2 4 4 8 2" xfId="17881"/>
    <cellStyle name="Comma 2 4 4 8 2 2" xfId="17882"/>
    <cellStyle name="Comma 2 4 4 8 3" xfId="17883"/>
    <cellStyle name="Comma 2 4 4 8 3 2" xfId="17884"/>
    <cellStyle name="Comma 2 4 4 8 4" xfId="17885"/>
    <cellStyle name="Comma 2 4 4 8 4 2" xfId="17886"/>
    <cellStyle name="Comma 2 4 4 8 5" xfId="17887"/>
    <cellStyle name="Comma 2 4 4 8 5 2" xfId="17888"/>
    <cellStyle name="Comma 2 4 4 8 6" xfId="17889"/>
    <cellStyle name="Comma 2 4 4 8 6 2" xfId="17890"/>
    <cellStyle name="Comma 2 4 4 8 7" xfId="17891"/>
    <cellStyle name="Comma 2 4 4 8 7 2" xfId="17892"/>
    <cellStyle name="Comma 2 4 4 8 8" xfId="17893"/>
    <cellStyle name="Comma 2 4 4 8 8 2" xfId="17894"/>
    <cellStyle name="Comma 2 4 4 8 9" xfId="17895"/>
    <cellStyle name="Comma 2 4 4 8 9 2" xfId="17896"/>
    <cellStyle name="Comma 2 4 4 9" xfId="17897"/>
    <cellStyle name="Comma 2 4 4 9 10" xfId="17898"/>
    <cellStyle name="Comma 2 4 4 9 10 2" xfId="17899"/>
    <cellStyle name="Comma 2 4 4 9 11" xfId="17900"/>
    <cellStyle name="Comma 2 4 4 9 11 2" xfId="17901"/>
    <cellStyle name="Comma 2 4 4 9 12" xfId="17902"/>
    <cellStyle name="Comma 2 4 4 9 2" xfId="17903"/>
    <cellStyle name="Comma 2 4 4 9 2 2" xfId="17904"/>
    <cellStyle name="Comma 2 4 4 9 3" xfId="17905"/>
    <cellStyle name="Comma 2 4 4 9 3 2" xfId="17906"/>
    <cellStyle name="Comma 2 4 4 9 4" xfId="17907"/>
    <cellStyle name="Comma 2 4 4 9 4 2" xfId="17908"/>
    <cellStyle name="Comma 2 4 4 9 5" xfId="17909"/>
    <cellStyle name="Comma 2 4 4 9 5 2" xfId="17910"/>
    <cellStyle name="Comma 2 4 4 9 6" xfId="17911"/>
    <cellStyle name="Comma 2 4 4 9 6 2" xfId="17912"/>
    <cellStyle name="Comma 2 4 4 9 7" xfId="17913"/>
    <cellStyle name="Comma 2 4 4 9 7 2" xfId="17914"/>
    <cellStyle name="Comma 2 4 4 9 8" xfId="17915"/>
    <cellStyle name="Comma 2 4 4 9 8 2" xfId="17916"/>
    <cellStyle name="Comma 2 4 4 9 9" xfId="17917"/>
    <cellStyle name="Comma 2 4 4 9 9 2" xfId="17918"/>
    <cellStyle name="Comma 2 4 40" xfId="17919"/>
    <cellStyle name="Comma 2 4 40 10" xfId="17920"/>
    <cellStyle name="Comma 2 4 40 10 2" xfId="17921"/>
    <cellStyle name="Comma 2 4 40 11" xfId="17922"/>
    <cellStyle name="Comma 2 4 40 11 2" xfId="17923"/>
    <cellStyle name="Comma 2 4 40 12" xfId="17924"/>
    <cellStyle name="Comma 2 4 40 2" xfId="17925"/>
    <cellStyle name="Comma 2 4 40 2 2" xfId="17926"/>
    <cellStyle name="Comma 2 4 40 3" xfId="17927"/>
    <cellStyle name="Comma 2 4 40 3 2" xfId="17928"/>
    <cellStyle name="Comma 2 4 40 4" xfId="17929"/>
    <cellStyle name="Comma 2 4 40 4 2" xfId="17930"/>
    <cellStyle name="Comma 2 4 40 5" xfId="17931"/>
    <cellStyle name="Comma 2 4 40 5 2" xfId="17932"/>
    <cellStyle name="Comma 2 4 40 6" xfId="17933"/>
    <cellStyle name="Comma 2 4 40 6 2" xfId="17934"/>
    <cellStyle name="Comma 2 4 40 7" xfId="17935"/>
    <cellStyle name="Comma 2 4 40 7 2" xfId="17936"/>
    <cellStyle name="Comma 2 4 40 8" xfId="17937"/>
    <cellStyle name="Comma 2 4 40 8 2" xfId="17938"/>
    <cellStyle name="Comma 2 4 40 9" xfId="17939"/>
    <cellStyle name="Comma 2 4 40 9 2" xfId="17940"/>
    <cellStyle name="Comma 2 4 41" xfId="17941"/>
    <cellStyle name="Comma 2 4 41 10" xfId="17942"/>
    <cellStyle name="Comma 2 4 41 10 2" xfId="17943"/>
    <cellStyle name="Comma 2 4 41 11" xfId="17944"/>
    <cellStyle name="Comma 2 4 41 11 2" xfId="17945"/>
    <cellStyle name="Comma 2 4 41 12" xfId="17946"/>
    <cellStyle name="Comma 2 4 41 2" xfId="17947"/>
    <cellStyle name="Comma 2 4 41 2 2" xfId="17948"/>
    <cellStyle name="Comma 2 4 41 3" xfId="17949"/>
    <cellStyle name="Comma 2 4 41 3 2" xfId="17950"/>
    <cellStyle name="Comma 2 4 41 4" xfId="17951"/>
    <cellStyle name="Comma 2 4 41 4 2" xfId="17952"/>
    <cellStyle name="Comma 2 4 41 5" xfId="17953"/>
    <cellStyle name="Comma 2 4 41 5 2" xfId="17954"/>
    <cellStyle name="Comma 2 4 41 6" xfId="17955"/>
    <cellStyle name="Comma 2 4 41 6 2" xfId="17956"/>
    <cellStyle name="Comma 2 4 41 7" xfId="17957"/>
    <cellStyle name="Comma 2 4 41 7 2" xfId="17958"/>
    <cellStyle name="Comma 2 4 41 8" xfId="17959"/>
    <cellStyle name="Comma 2 4 41 8 2" xfId="17960"/>
    <cellStyle name="Comma 2 4 41 9" xfId="17961"/>
    <cellStyle name="Comma 2 4 41 9 2" xfId="17962"/>
    <cellStyle name="Comma 2 4 42" xfId="17963"/>
    <cellStyle name="Comma 2 4 42 10" xfId="17964"/>
    <cellStyle name="Comma 2 4 42 10 2" xfId="17965"/>
    <cellStyle name="Comma 2 4 42 11" xfId="17966"/>
    <cellStyle name="Comma 2 4 42 11 2" xfId="17967"/>
    <cellStyle name="Comma 2 4 42 12" xfId="17968"/>
    <cellStyle name="Comma 2 4 42 2" xfId="17969"/>
    <cellStyle name="Comma 2 4 42 2 2" xfId="17970"/>
    <cellStyle name="Comma 2 4 42 3" xfId="17971"/>
    <cellStyle name="Comma 2 4 42 3 2" xfId="17972"/>
    <cellStyle name="Comma 2 4 42 4" xfId="17973"/>
    <cellStyle name="Comma 2 4 42 4 2" xfId="17974"/>
    <cellStyle name="Comma 2 4 42 5" xfId="17975"/>
    <cellStyle name="Comma 2 4 42 5 2" xfId="17976"/>
    <cellStyle name="Comma 2 4 42 6" xfId="17977"/>
    <cellStyle name="Comma 2 4 42 6 2" xfId="17978"/>
    <cellStyle name="Comma 2 4 42 7" xfId="17979"/>
    <cellStyle name="Comma 2 4 42 7 2" xfId="17980"/>
    <cellStyle name="Comma 2 4 42 8" xfId="17981"/>
    <cellStyle name="Comma 2 4 42 8 2" xfId="17982"/>
    <cellStyle name="Comma 2 4 42 9" xfId="17983"/>
    <cellStyle name="Comma 2 4 42 9 2" xfId="17984"/>
    <cellStyle name="Comma 2 4 43" xfId="17985"/>
    <cellStyle name="Comma 2 4 43 10" xfId="17986"/>
    <cellStyle name="Comma 2 4 43 10 2" xfId="17987"/>
    <cellStyle name="Comma 2 4 43 11" xfId="17988"/>
    <cellStyle name="Comma 2 4 43 11 2" xfId="17989"/>
    <cellStyle name="Comma 2 4 43 12" xfId="17990"/>
    <cellStyle name="Comma 2 4 43 2" xfId="17991"/>
    <cellStyle name="Comma 2 4 43 2 2" xfId="17992"/>
    <cellStyle name="Comma 2 4 43 3" xfId="17993"/>
    <cellStyle name="Comma 2 4 43 3 2" xfId="17994"/>
    <cellStyle name="Comma 2 4 43 4" xfId="17995"/>
    <cellStyle name="Comma 2 4 43 4 2" xfId="17996"/>
    <cellStyle name="Comma 2 4 43 5" xfId="17997"/>
    <cellStyle name="Comma 2 4 43 5 2" xfId="17998"/>
    <cellStyle name="Comma 2 4 43 6" xfId="17999"/>
    <cellStyle name="Comma 2 4 43 6 2" xfId="18000"/>
    <cellStyle name="Comma 2 4 43 7" xfId="18001"/>
    <cellStyle name="Comma 2 4 43 7 2" xfId="18002"/>
    <cellStyle name="Comma 2 4 43 8" xfId="18003"/>
    <cellStyle name="Comma 2 4 43 8 2" xfId="18004"/>
    <cellStyle name="Comma 2 4 43 9" xfId="18005"/>
    <cellStyle name="Comma 2 4 43 9 2" xfId="18006"/>
    <cellStyle name="Comma 2 4 44" xfId="18007"/>
    <cellStyle name="Comma 2 4 44 10" xfId="18008"/>
    <cellStyle name="Comma 2 4 44 10 2" xfId="18009"/>
    <cellStyle name="Comma 2 4 44 11" xfId="18010"/>
    <cellStyle name="Comma 2 4 44 11 2" xfId="18011"/>
    <cellStyle name="Comma 2 4 44 12" xfId="18012"/>
    <cellStyle name="Comma 2 4 44 2" xfId="18013"/>
    <cellStyle name="Comma 2 4 44 2 2" xfId="18014"/>
    <cellStyle name="Comma 2 4 44 3" xfId="18015"/>
    <cellStyle name="Comma 2 4 44 3 2" xfId="18016"/>
    <cellStyle name="Comma 2 4 44 4" xfId="18017"/>
    <cellStyle name="Comma 2 4 44 4 2" xfId="18018"/>
    <cellStyle name="Comma 2 4 44 5" xfId="18019"/>
    <cellStyle name="Comma 2 4 44 5 2" xfId="18020"/>
    <cellStyle name="Comma 2 4 44 6" xfId="18021"/>
    <cellStyle name="Comma 2 4 44 6 2" xfId="18022"/>
    <cellStyle name="Comma 2 4 44 7" xfId="18023"/>
    <cellStyle name="Comma 2 4 44 7 2" xfId="18024"/>
    <cellStyle name="Comma 2 4 44 8" xfId="18025"/>
    <cellStyle name="Comma 2 4 44 8 2" xfId="18026"/>
    <cellStyle name="Comma 2 4 44 9" xfId="18027"/>
    <cellStyle name="Comma 2 4 44 9 2" xfId="18028"/>
    <cellStyle name="Comma 2 4 45" xfId="18029"/>
    <cellStyle name="Comma 2 4 45 2" xfId="18030"/>
    <cellStyle name="Comma 2 4 46" xfId="18031"/>
    <cellStyle name="Comma 2 4 46 2" xfId="18032"/>
    <cellStyle name="Comma 2 4 47" xfId="18033"/>
    <cellStyle name="Comma 2 4 47 2" xfId="18034"/>
    <cellStyle name="Comma 2 4 48" xfId="18035"/>
    <cellStyle name="Comma 2 4 48 2" xfId="18036"/>
    <cellStyle name="Comma 2 4 49" xfId="18037"/>
    <cellStyle name="Comma 2 4 49 2" xfId="18038"/>
    <cellStyle name="Comma 2 4 5" xfId="18039"/>
    <cellStyle name="Comma 2 4 5 10" xfId="18040"/>
    <cellStyle name="Comma 2 4 5 10 10" xfId="18041"/>
    <cellStyle name="Comma 2 4 5 10 10 2" xfId="18042"/>
    <cellStyle name="Comma 2 4 5 10 11" xfId="18043"/>
    <cellStyle name="Comma 2 4 5 10 11 2" xfId="18044"/>
    <cellStyle name="Comma 2 4 5 10 12" xfId="18045"/>
    <cellStyle name="Comma 2 4 5 10 2" xfId="18046"/>
    <cellStyle name="Comma 2 4 5 10 2 2" xfId="18047"/>
    <cellStyle name="Comma 2 4 5 10 3" xfId="18048"/>
    <cellStyle name="Comma 2 4 5 10 3 2" xfId="18049"/>
    <cellStyle name="Comma 2 4 5 10 4" xfId="18050"/>
    <cellStyle name="Comma 2 4 5 10 4 2" xfId="18051"/>
    <cellStyle name="Comma 2 4 5 10 5" xfId="18052"/>
    <cellStyle name="Comma 2 4 5 10 5 2" xfId="18053"/>
    <cellStyle name="Comma 2 4 5 10 6" xfId="18054"/>
    <cellStyle name="Comma 2 4 5 10 6 2" xfId="18055"/>
    <cellStyle name="Comma 2 4 5 10 7" xfId="18056"/>
    <cellStyle name="Comma 2 4 5 10 7 2" xfId="18057"/>
    <cellStyle name="Comma 2 4 5 10 8" xfId="18058"/>
    <cellStyle name="Comma 2 4 5 10 8 2" xfId="18059"/>
    <cellStyle name="Comma 2 4 5 10 9" xfId="18060"/>
    <cellStyle name="Comma 2 4 5 10 9 2" xfId="18061"/>
    <cellStyle name="Comma 2 4 5 11" xfId="18062"/>
    <cellStyle name="Comma 2 4 5 11 10" xfId="18063"/>
    <cellStyle name="Comma 2 4 5 11 10 2" xfId="18064"/>
    <cellStyle name="Comma 2 4 5 11 11" xfId="18065"/>
    <cellStyle name="Comma 2 4 5 11 11 2" xfId="18066"/>
    <cellStyle name="Comma 2 4 5 11 12" xfId="18067"/>
    <cellStyle name="Comma 2 4 5 11 2" xfId="18068"/>
    <cellStyle name="Comma 2 4 5 11 2 2" xfId="18069"/>
    <cellStyle name="Comma 2 4 5 11 3" xfId="18070"/>
    <cellStyle name="Comma 2 4 5 11 3 2" xfId="18071"/>
    <cellStyle name="Comma 2 4 5 11 4" xfId="18072"/>
    <cellStyle name="Comma 2 4 5 11 4 2" xfId="18073"/>
    <cellStyle name="Comma 2 4 5 11 5" xfId="18074"/>
    <cellStyle name="Comma 2 4 5 11 5 2" xfId="18075"/>
    <cellStyle name="Comma 2 4 5 11 6" xfId="18076"/>
    <cellStyle name="Comma 2 4 5 11 6 2" xfId="18077"/>
    <cellStyle name="Comma 2 4 5 11 7" xfId="18078"/>
    <cellStyle name="Comma 2 4 5 11 7 2" xfId="18079"/>
    <cellStyle name="Comma 2 4 5 11 8" xfId="18080"/>
    <cellStyle name="Comma 2 4 5 11 8 2" xfId="18081"/>
    <cellStyle name="Comma 2 4 5 11 9" xfId="18082"/>
    <cellStyle name="Comma 2 4 5 11 9 2" xfId="18083"/>
    <cellStyle name="Comma 2 4 5 12" xfId="18084"/>
    <cellStyle name="Comma 2 4 5 12 10" xfId="18085"/>
    <cellStyle name="Comma 2 4 5 12 10 2" xfId="18086"/>
    <cellStyle name="Comma 2 4 5 12 11" xfId="18087"/>
    <cellStyle name="Comma 2 4 5 12 11 2" xfId="18088"/>
    <cellStyle name="Comma 2 4 5 12 12" xfId="18089"/>
    <cellStyle name="Comma 2 4 5 12 2" xfId="18090"/>
    <cellStyle name="Comma 2 4 5 12 2 2" xfId="18091"/>
    <cellStyle name="Comma 2 4 5 12 3" xfId="18092"/>
    <cellStyle name="Comma 2 4 5 12 3 2" xfId="18093"/>
    <cellStyle name="Comma 2 4 5 12 4" xfId="18094"/>
    <cellStyle name="Comma 2 4 5 12 4 2" xfId="18095"/>
    <cellStyle name="Comma 2 4 5 12 5" xfId="18096"/>
    <cellStyle name="Comma 2 4 5 12 5 2" xfId="18097"/>
    <cellStyle name="Comma 2 4 5 12 6" xfId="18098"/>
    <cellStyle name="Comma 2 4 5 12 6 2" xfId="18099"/>
    <cellStyle name="Comma 2 4 5 12 7" xfId="18100"/>
    <cellStyle name="Comma 2 4 5 12 7 2" xfId="18101"/>
    <cellStyle name="Comma 2 4 5 12 8" xfId="18102"/>
    <cellStyle name="Comma 2 4 5 12 8 2" xfId="18103"/>
    <cellStyle name="Comma 2 4 5 12 9" xfId="18104"/>
    <cellStyle name="Comma 2 4 5 12 9 2" xfId="18105"/>
    <cellStyle name="Comma 2 4 5 13" xfId="18106"/>
    <cellStyle name="Comma 2 4 5 13 10" xfId="18107"/>
    <cellStyle name="Comma 2 4 5 13 10 2" xfId="18108"/>
    <cellStyle name="Comma 2 4 5 13 11" xfId="18109"/>
    <cellStyle name="Comma 2 4 5 13 11 2" xfId="18110"/>
    <cellStyle name="Comma 2 4 5 13 12" xfId="18111"/>
    <cellStyle name="Comma 2 4 5 13 2" xfId="18112"/>
    <cellStyle name="Comma 2 4 5 13 2 2" xfId="18113"/>
    <cellStyle name="Comma 2 4 5 13 3" xfId="18114"/>
    <cellStyle name="Comma 2 4 5 13 3 2" xfId="18115"/>
    <cellStyle name="Comma 2 4 5 13 4" xfId="18116"/>
    <cellStyle name="Comma 2 4 5 13 4 2" xfId="18117"/>
    <cellStyle name="Comma 2 4 5 13 5" xfId="18118"/>
    <cellStyle name="Comma 2 4 5 13 5 2" xfId="18119"/>
    <cellStyle name="Comma 2 4 5 13 6" xfId="18120"/>
    <cellStyle name="Comma 2 4 5 13 6 2" xfId="18121"/>
    <cellStyle name="Comma 2 4 5 13 7" xfId="18122"/>
    <cellStyle name="Comma 2 4 5 13 7 2" xfId="18123"/>
    <cellStyle name="Comma 2 4 5 13 8" xfId="18124"/>
    <cellStyle name="Comma 2 4 5 13 8 2" xfId="18125"/>
    <cellStyle name="Comma 2 4 5 13 9" xfId="18126"/>
    <cellStyle name="Comma 2 4 5 13 9 2" xfId="18127"/>
    <cellStyle name="Comma 2 4 5 14" xfId="18128"/>
    <cellStyle name="Comma 2 4 5 14 10" xfId="18129"/>
    <cellStyle name="Comma 2 4 5 14 10 2" xfId="18130"/>
    <cellStyle name="Comma 2 4 5 14 11" xfId="18131"/>
    <cellStyle name="Comma 2 4 5 14 11 2" xfId="18132"/>
    <cellStyle name="Comma 2 4 5 14 12" xfId="18133"/>
    <cellStyle name="Comma 2 4 5 14 2" xfId="18134"/>
    <cellStyle name="Comma 2 4 5 14 2 2" xfId="18135"/>
    <cellStyle name="Comma 2 4 5 14 3" xfId="18136"/>
    <cellStyle name="Comma 2 4 5 14 3 2" xfId="18137"/>
    <cellStyle name="Comma 2 4 5 14 4" xfId="18138"/>
    <cellStyle name="Comma 2 4 5 14 4 2" xfId="18139"/>
    <cellStyle name="Comma 2 4 5 14 5" xfId="18140"/>
    <cellStyle name="Comma 2 4 5 14 5 2" xfId="18141"/>
    <cellStyle name="Comma 2 4 5 14 6" xfId="18142"/>
    <cellStyle name="Comma 2 4 5 14 6 2" xfId="18143"/>
    <cellStyle name="Comma 2 4 5 14 7" xfId="18144"/>
    <cellStyle name="Comma 2 4 5 14 7 2" xfId="18145"/>
    <cellStyle name="Comma 2 4 5 14 8" xfId="18146"/>
    <cellStyle name="Comma 2 4 5 14 8 2" xfId="18147"/>
    <cellStyle name="Comma 2 4 5 14 9" xfId="18148"/>
    <cellStyle name="Comma 2 4 5 14 9 2" xfId="18149"/>
    <cellStyle name="Comma 2 4 5 15" xfId="18150"/>
    <cellStyle name="Comma 2 4 5 15 10" xfId="18151"/>
    <cellStyle name="Comma 2 4 5 15 10 2" xfId="18152"/>
    <cellStyle name="Comma 2 4 5 15 11" xfId="18153"/>
    <cellStyle name="Comma 2 4 5 15 11 2" xfId="18154"/>
    <cellStyle name="Comma 2 4 5 15 12" xfId="18155"/>
    <cellStyle name="Comma 2 4 5 15 2" xfId="18156"/>
    <cellStyle name="Comma 2 4 5 15 2 2" xfId="18157"/>
    <cellStyle name="Comma 2 4 5 15 3" xfId="18158"/>
    <cellStyle name="Comma 2 4 5 15 3 2" xfId="18159"/>
    <cellStyle name="Comma 2 4 5 15 4" xfId="18160"/>
    <cellStyle name="Comma 2 4 5 15 4 2" xfId="18161"/>
    <cellStyle name="Comma 2 4 5 15 5" xfId="18162"/>
    <cellStyle name="Comma 2 4 5 15 5 2" xfId="18163"/>
    <cellStyle name="Comma 2 4 5 15 6" xfId="18164"/>
    <cellStyle name="Comma 2 4 5 15 6 2" xfId="18165"/>
    <cellStyle name="Comma 2 4 5 15 7" xfId="18166"/>
    <cellStyle name="Comma 2 4 5 15 7 2" xfId="18167"/>
    <cellStyle name="Comma 2 4 5 15 8" xfId="18168"/>
    <cellStyle name="Comma 2 4 5 15 8 2" xfId="18169"/>
    <cellStyle name="Comma 2 4 5 15 9" xfId="18170"/>
    <cellStyle name="Comma 2 4 5 15 9 2" xfId="18171"/>
    <cellStyle name="Comma 2 4 5 16" xfId="18172"/>
    <cellStyle name="Comma 2 4 5 16 2" xfId="18173"/>
    <cellStyle name="Comma 2 4 5 17" xfId="18174"/>
    <cellStyle name="Comma 2 4 5 17 2" xfId="18175"/>
    <cellStyle name="Comma 2 4 5 18" xfId="18176"/>
    <cellStyle name="Comma 2 4 5 18 2" xfId="18177"/>
    <cellStyle name="Comma 2 4 5 19" xfId="18178"/>
    <cellStyle name="Comma 2 4 5 19 2" xfId="18179"/>
    <cellStyle name="Comma 2 4 5 2" xfId="18180"/>
    <cellStyle name="Comma 2 4 5 2 10" xfId="18181"/>
    <cellStyle name="Comma 2 4 5 2 10 2" xfId="18182"/>
    <cellStyle name="Comma 2 4 5 2 11" xfId="18183"/>
    <cellStyle name="Comma 2 4 5 2 11 2" xfId="18184"/>
    <cellStyle name="Comma 2 4 5 2 12" xfId="18185"/>
    <cellStyle name="Comma 2 4 5 2 2" xfId="18186"/>
    <cellStyle name="Comma 2 4 5 2 2 2" xfId="18187"/>
    <cellStyle name="Comma 2 4 5 2 3" xfId="18188"/>
    <cellStyle name="Comma 2 4 5 2 3 2" xfId="18189"/>
    <cellStyle name="Comma 2 4 5 2 4" xfId="18190"/>
    <cellStyle name="Comma 2 4 5 2 4 2" xfId="18191"/>
    <cellStyle name="Comma 2 4 5 2 5" xfId="18192"/>
    <cellStyle name="Comma 2 4 5 2 5 2" xfId="18193"/>
    <cellStyle name="Comma 2 4 5 2 6" xfId="18194"/>
    <cellStyle name="Comma 2 4 5 2 6 2" xfId="18195"/>
    <cellStyle name="Comma 2 4 5 2 7" xfId="18196"/>
    <cellStyle name="Comma 2 4 5 2 7 2" xfId="18197"/>
    <cellStyle name="Comma 2 4 5 2 8" xfId="18198"/>
    <cellStyle name="Comma 2 4 5 2 8 2" xfId="18199"/>
    <cellStyle name="Comma 2 4 5 2 9" xfId="18200"/>
    <cellStyle name="Comma 2 4 5 2 9 2" xfId="18201"/>
    <cellStyle name="Comma 2 4 5 20" xfId="18202"/>
    <cellStyle name="Comma 2 4 5 20 2" xfId="18203"/>
    <cellStyle name="Comma 2 4 5 21" xfId="18204"/>
    <cellStyle name="Comma 2 4 5 21 2" xfId="18205"/>
    <cellStyle name="Comma 2 4 5 22" xfId="18206"/>
    <cellStyle name="Comma 2 4 5 22 2" xfId="18207"/>
    <cellStyle name="Comma 2 4 5 23" xfId="18208"/>
    <cellStyle name="Comma 2 4 5 23 2" xfId="18209"/>
    <cellStyle name="Comma 2 4 5 24" xfId="18210"/>
    <cellStyle name="Comma 2 4 5 24 2" xfId="18211"/>
    <cellStyle name="Comma 2 4 5 25" xfId="18212"/>
    <cellStyle name="Comma 2 4 5 25 2" xfId="18213"/>
    <cellStyle name="Comma 2 4 5 26" xfId="18214"/>
    <cellStyle name="Comma 2 4 5 3" xfId="18215"/>
    <cellStyle name="Comma 2 4 5 3 10" xfId="18216"/>
    <cellStyle name="Comma 2 4 5 3 10 2" xfId="18217"/>
    <cellStyle name="Comma 2 4 5 3 11" xfId="18218"/>
    <cellStyle name="Comma 2 4 5 3 11 2" xfId="18219"/>
    <cellStyle name="Comma 2 4 5 3 12" xfId="18220"/>
    <cellStyle name="Comma 2 4 5 3 2" xfId="18221"/>
    <cellStyle name="Comma 2 4 5 3 2 2" xfId="18222"/>
    <cellStyle name="Comma 2 4 5 3 3" xfId="18223"/>
    <cellStyle name="Comma 2 4 5 3 3 2" xfId="18224"/>
    <cellStyle name="Comma 2 4 5 3 4" xfId="18225"/>
    <cellStyle name="Comma 2 4 5 3 4 2" xfId="18226"/>
    <cellStyle name="Comma 2 4 5 3 5" xfId="18227"/>
    <cellStyle name="Comma 2 4 5 3 5 2" xfId="18228"/>
    <cellStyle name="Comma 2 4 5 3 6" xfId="18229"/>
    <cellStyle name="Comma 2 4 5 3 6 2" xfId="18230"/>
    <cellStyle name="Comma 2 4 5 3 7" xfId="18231"/>
    <cellStyle name="Comma 2 4 5 3 7 2" xfId="18232"/>
    <cellStyle name="Comma 2 4 5 3 8" xfId="18233"/>
    <cellStyle name="Comma 2 4 5 3 8 2" xfId="18234"/>
    <cellStyle name="Comma 2 4 5 3 9" xfId="18235"/>
    <cellStyle name="Comma 2 4 5 3 9 2" xfId="18236"/>
    <cellStyle name="Comma 2 4 5 4" xfId="18237"/>
    <cellStyle name="Comma 2 4 5 4 10" xfId="18238"/>
    <cellStyle name="Comma 2 4 5 4 10 2" xfId="18239"/>
    <cellStyle name="Comma 2 4 5 4 11" xfId="18240"/>
    <cellStyle name="Comma 2 4 5 4 11 2" xfId="18241"/>
    <cellStyle name="Comma 2 4 5 4 12" xfId="18242"/>
    <cellStyle name="Comma 2 4 5 4 2" xfId="18243"/>
    <cellStyle name="Comma 2 4 5 4 2 2" xfId="18244"/>
    <cellStyle name="Comma 2 4 5 4 3" xfId="18245"/>
    <cellStyle name="Comma 2 4 5 4 3 2" xfId="18246"/>
    <cellStyle name="Comma 2 4 5 4 4" xfId="18247"/>
    <cellStyle name="Comma 2 4 5 4 4 2" xfId="18248"/>
    <cellStyle name="Comma 2 4 5 4 5" xfId="18249"/>
    <cellStyle name="Comma 2 4 5 4 5 2" xfId="18250"/>
    <cellStyle name="Comma 2 4 5 4 6" xfId="18251"/>
    <cellStyle name="Comma 2 4 5 4 6 2" xfId="18252"/>
    <cellStyle name="Comma 2 4 5 4 7" xfId="18253"/>
    <cellStyle name="Comma 2 4 5 4 7 2" xfId="18254"/>
    <cellStyle name="Comma 2 4 5 4 8" xfId="18255"/>
    <cellStyle name="Comma 2 4 5 4 8 2" xfId="18256"/>
    <cellStyle name="Comma 2 4 5 4 9" xfId="18257"/>
    <cellStyle name="Comma 2 4 5 4 9 2" xfId="18258"/>
    <cellStyle name="Comma 2 4 5 5" xfId="18259"/>
    <cellStyle name="Comma 2 4 5 5 10" xfId="18260"/>
    <cellStyle name="Comma 2 4 5 5 10 2" xfId="18261"/>
    <cellStyle name="Comma 2 4 5 5 11" xfId="18262"/>
    <cellStyle name="Comma 2 4 5 5 11 2" xfId="18263"/>
    <cellStyle name="Comma 2 4 5 5 12" xfId="18264"/>
    <cellStyle name="Comma 2 4 5 5 2" xfId="18265"/>
    <cellStyle name="Comma 2 4 5 5 2 2" xfId="18266"/>
    <cellStyle name="Comma 2 4 5 5 3" xfId="18267"/>
    <cellStyle name="Comma 2 4 5 5 3 2" xfId="18268"/>
    <cellStyle name="Comma 2 4 5 5 4" xfId="18269"/>
    <cellStyle name="Comma 2 4 5 5 4 2" xfId="18270"/>
    <cellStyle name="Comma 2 4 5 5 5" xfId="18271"/>
    <cellStyle name="Comma 2 4 5 5 5 2" xfId="18272"/>
    <cellStyle name="Comma 2 4 5 5 6" xfId="18273"/>
    <cellStyle name="Comma 2 4 5 5 6 2" xfId="18274"/>
    <cellStyle name="Comma 2 4 5 5 7" xfId="18275"/>
    <cellStyle name="Comma 2 4 5 5 7 2" xfId="18276"/>
    <cellStyle name="Comma 2 4 5 5 8" xfId="18277"/>
    <cellStyle name="Comma 2 4 5 5 8 2" xfId="18278"/>
    <cellStyle name="Comma 2 4 5 5 9" xfId="18279"/>
    <cellStyle name="Comma 2 4 5 5 9 2" xfId="18280"/>
    <cellStyle name="Comma 2 4 5 6" xfId="18281"/>
    <cellStyle name="Comma 2 4 5 6 10" xfId="18282"/>
    <cellStyle name="Comma 2 4 5 6 10 2" xfId="18283"/>
    <cellStyle name="Comma 2 4 5 6 11" xfId="18284"/>
    <cellStyle name="Comma 2 4 5 6 11 2" xfId="18285"/>
    <cellStyle name="Comma 2 4 5 6 12" xfId="18286"/>
    <cellStyle name="Comma 2 4 5 6 2" xfId="18287"/>
    <cellStyle name="Comma 2 4 5 6 2 2" xfId="18288"/>
    <cellStyle name="Comma 2 4 5 6 3" xfId="18289"/>
    <cellStyle name="Comma 2 4 5 6 3 2" xfId="18290"/>
    <cellStyle name="Comma 2 4 5 6 4" xfId="18291"/>
    <cellStyle name="Comma 2 4 5 6 4 2" xfId="18292"/>
    <cellStyle name="Comma 2 4 5 6 5" xfId="18293"/>
    <cellStyle name="Comma 2 4 5 6 5 2" xfId="18294"/>
    <cellStyle name="Comma 2 4 5 6 6" xfId="18295"/>
    <cellStyle name="Comma 2 4 5 6 6 2" xfId="18296"/>
    <cellStyle name="Comma 2 4 5 6 7" xfId="18297"/>
    <cellStyle name="Comma 2 4 5 6 7 2" xfId="18298"/>
    <cellStyle name="Comma 2 4 5 6 8" xfId="18299"/>
    <cellStyle name="Comma 2 4 5 6 8 2" xfId="18300"/>
    <cellStyle name="Comma 2 4 5 6 9" xfId="18301"/>
    <cellStyle name="Comma 2 4 5 6 9 2" xfId="18302"/>
    <cellStyle name="Comma 2 4 5 7" xfId="18303"/>
    <cellStyle name="Comma 2 4 5 7 10" xfId="18304"/>
    <cellStyle name="Comma 2 4 5 7 10 2" xfId="18305"/>
    <cellStyle name="Comma 2 4 5 7 11" xfId="18306"/>
    <cellStyle name="Comma 2 4 5 7 11 2" xfId="18307"/>
    <cellStyle name="Comma 2 4 5 7 12" xfId="18308"/>
    <cellStyle name="Comma 2 4 5 7 2" xfId="18309"/>
    <cellStyle name="Comma 2 4 5 7 2 2" xfId="18310"/>
    <cellStyle name="Comma 2 4 5 7 3" xfId="18311"/>
    <cellStyle name="Comma 2 4 5 7 3 2" xfId="18312"/>
    <cellStyle name="Comma 2 4 5 7 4" xfId="18313"/>
    <cellStyle name="Comma 2 4 5 7 4 2" xfId="18314"/>
    <cellStyle name="Comma 2 4 5 7 5" xfId="18315"/>
    <cellStyle name="Comma 2 4 5 7 5 2" xfId="18316"/>
    <cellStyle name="Comma 2 4 5 7 6" xfId="18317"/>
    <cellStyle name="Comma 2 4 5 7 6 2" xfId="18318"/>
    <cellStyle name="Comma 2 4 5 7 7" xfId="18319"/>
    <cellStyle name="Comma 2 4 5 7 7 2" xfId="18320"/>
    <cellStyle name="Comma 2 4 5 7 8" xfId="18321"/>
    <cellStyle name="Comma 2 4 5 7 8 2" xfId="18322"/>
    <cellStyle name="Comma 2 4 5 7 9" xfId="18323"/>
    <cellStyle name="Comma 2 4 5 7 9 2" xfId="18324"/>
    <cellStyle name="Comma 2 4 5 8" xfId="18325"/>
    <cellStyle name="Comma 2 4 5 8 10" xfId="18326"/>
    <cellStyle name="Comma 2 4 5 8 10 2" xfId="18327"/>
    <cellStyle name="Comma 2 4 5 8 11" xfId="18328"/>
    <cellStyle name="Comma 2 4 5 8 11 2" xfId="18329"/>
    <cellStyle name="Comma 2 4 5 8 12" xfId="18330"/>
    <cellStyle name="Comma 2 4 5 8 2" xfId="18331"/>
    <cellStyle name="Comma 2 4 5 8 2 2" xfId="18332"/>
    <cellStyle name="Comma 2 4 5 8 3" xfId="18333"/>
    <cellStyle name="Comma 2 4 5 8 3 2" xfId="18334"/>
    <cellStyle name="Comma 2 4 5 8 4" xfId="18335"/>
    <cellStyle name="Comma 2 4 5 8 4 2" xfId="18336"/>
    <cellStyle name="Comma 2 4 5 8 5" xfId="18337"/>
    <cellStyle name="Comma 2 4 5 8 5 2" xfId="18338"/>
    <cellStyle name="Comma 2 4 5 8 6" xfId="18339"/>
    <cellStyle name="Comma 2 4 5 8 6 2" xfId="18340"/>
    <cellStyle name="Comma 2 4 5 8 7" xfId="18341"/>
    <cellStyle name="Comma 2 4 5 8 7 2" xfId="18342"/>
    <cellStyle name="Comma 2 4 5 8 8" xfId="18343"/>
    <cellStyle name="Comma 2 4 5 8 8 2" xfId="18344"/>
    <cellStyle name="Comma 2 4 5 8 9" xfId="18345"/>
    <cellStyle name="Comma 2 4 5 8 9 2" xfId="18346"/>
    <cellStyle name="Comma 2 4 5 9" xfId="18347"/>
    <cellStyle name="Comma 2 4 5 9 10" xfId="18348"/>
    <cellStyle name="Comma 2 4 5 9 10 2" xfId="18349"/>
    <cellStyle name="Comma 2 4 5 9 11" xfId="18350"/>
    <cellStyle name="Comma 2 4 5 9 11 2" xfId="18351"/>
    <cellStyle name="Comma 2 4 5 9 12" xfId="18352"/>
    <cellStyle name="Comma 2 4 5 9 2" xfId="18353"/>
    <cellStyle name="Comma 2 4 5 9 2 2" xfId="18354"/>
    <cellStyle name="Comma 2 4 5 9 3" xfId="18355"/>
    <cellStyle name="Comma 2 4 5 9 3 2" xfId="18356"/>
    <cellStyle name="Comma 2 4 5 9 4" xfId="18357"/>
    <cellStyle name="Comma 2 4 5 9 4 2" xfId="18358"/>
    <cellStyle name="Comma 2 4 5 9 5" xfId="18359"/>
    <cellStyle name="Comma 2 4 5 9 5 2" xfId="18360"/>
    <cellStyle name="Comma 2 4 5 9 6" xfId="18361"/>
    <cellStyle name="Comma 2 4 5 9 6 2" xfId="18362"/>
    <cellStyle name="Comma 2 4 5 9 7" xfId="18363"/>
    <cellStyle name="Comma 2 4 5 9 7 2" xfId="18364"/>
    <cellStyle name="Comma 2 4 5 9 8" xfId="18365"/>
    <cellStyle name="Comma 2 4 5 9 8 2" xfId="18366"/>
    <cellStyle name="Comma 2 4 5 9 9" xfId="18367"/>
    <cellStyle name="Comma 2 4 5 9 9 2" xfId="18368"/>
    <cellStyle name="Comma 2 4 50" xfId="18369"/>
    <cellStyle name="Comma 2 4 50 2" xfId="18370"/>
    <cellStyle name="Comma 2 4 51" xfId="18371"/>
    <cellStyle name="Comma 2 4 51 2" xfId="18372"/>
    <cellStyle name="Comma 2 4 52" xfId="18373"/>
    <cellStyle name="Comma 2 4 52 2" xfId="18374"/>
    <cellStyle name="Comma 2 4 53" xfId="18375"/>
    <cellStyle name="Comma 2 4 53 2" xfId="18376"/>
    <cellStyle name="Comma 2 4 54" xfId="18377"/>
    <cellStyle name="Comma 2 4 54 2" xfId="18378"/>
    <cellStyle name="Comma 2 4 55" xfId="18379"/>
    <cellStyle name="Comma 2 4 55 2" xfId="18380"/>
    <cellStyle name="Comma 2 4 56" xfId="18381"/>
    <cellStyle name="Comma 2 4 56 2" xfId="18382"/>
    <cellStyle name="Comma 2 4 57" xfId="18383"/>
    <cellStyle name="Comma 2 4 6" xfId="18384"/>
    <cellStyle name="Comma 2 4 6 10" xfId="18385"/>
    <cellStyle name="Comma 2 4 6 10 10" xfId="18386"/>
    <cellStyle name="Comma 2 4 6 10 10 2" xfId="18387"/>
    <cellStyle name="Comma 2 4 6 10 11" xfId="18388"/>
    <cellStyle name="Comma 2 4 6 10 11 2" xfId="18389"/>
    <cellStyle name="Comma 2 4 6 10 12" xfId="18390"/>
    <cellStyle name="Comma 2 4 6 10 2" xfId="18391"/>
    <cellStyle name="Comma 2 4 6 10 2 2" xfId="18392"/>
    <cellStyle name="Comma 2 4 6 10 3" xfId="18393"/>
    <cellStyle name="Comma 2 4 6 10 3 2" xfId="18394"/>
    <cellStyle name="Comma 2 4 6 10 4" xfId="18395"/>
    <cellStyle name="Comma 2 4 6 10 4 2" xfId="18396"/>
    <cellStyle name="Comma 2 4 6 10 5" xfId="18397"/>
    <cellStyle name="Comma 2 4 6 10 5 2" xfId="18398"/>
    <cellStyle name="Comma 2 4 6 10 6" xfId="18399"/>
    <cellStyle name="Comma 2 4 6 10 6 2" xfId="18400"/>
    <cellStyle name="Comma 2 4 6 10 7" xfId="18401"/>
    <cellStyle name="Comma 2 4 6 10 7 2" xfId="18402"/>
    <cellStyle name="Comma 2 4 6 10 8" xfId="18403"/>
    <cellStyle name="Comma 2 4 6 10 8 2" xfId="18404"/>
    <cellStyle name="Comma 2 4 6 10 9" xfId="18405"/>
    <cellStyle name="Comma 2 4 6 10 9 2" xfId="18406"/>
    <cellStyle name="Comma 2 4 6 11" xfId="18407"/>
    <cellStyle name="Comma 2 4 6 11 10" xfId="18408"/>
    <cellStyle name="Comma 2 4 6 11 10 2" xfId="18409"/>
    <cellStyle name="Comma 2 4 6 11 11" xfId="18410"/>
    <cellStyle name="Comma 2 4 6 11 11 2" xfId="18411"/>
    <cellStyle name="Comma 2 4 6 11 12" xfId="18412"/>
    <cellStyle name="Comma 2 4 6 11 2" xfId="18413"/>
    <cellStyle name="Comma 2 4 6 11 2 2" xfId="18414"/>
    <cellStyle name="Comma 2 4 6 11 3" xfId="18415"/>
    <cellStyle name="Comma 2 4 6 11 3 2" xfId="18416"/>
    <cellStyle name="Comma 2 4 6 11 4" xfId="18417"/>
    <cellStyle name="Comma 2 4 6 11 4 2" xfId="18418"/>
    <cellStyle name="Comma 2 4 6 11 5" xfId="18419"/>
    <cellStyle name="Comma 2 4 6 11 5 2" xfId="18420"/>
    <cellStyle name="Comma 2 4 6 11 6" xfId="18421"/>
    <cellStyle name="Comma 2 4 6 11 6 2" xfId="18422"/>
    <cellStyle name="Comma 2 4 6 11 7" xfId="18423"/>
    <cellStyle name="Comma 2 4 6 11 7 2" xfId="18424"/>
    <cellStyle name="Comma 2 4 6 11 8" xfId="18425"/>
    <cellStyle name="Comma 2 4 6 11 8 2" xfId="18426"/>
    <cellStyle name="Comma 2 4 6 11 9" xfId="18427"/>
    <cellStyle name="Comma 2 4 6 11 9 2" xfId="18428"/>
    <cellStyle name="Comma 2 4 6 12" xfId="18429"/>
    <cellStyle name="Comma 2 4 6 12 10" xfId="18430"/>
    <cellStyle name="Comma 2 4 6 12 10 2" xfId="18431"/>
    <cellStyle name="Comma 2 4 6 12 11" xfId="18432"/>
    <cellStyle name="Comma 2 4 6 12 11 2" xfId="18433"/>
    <cellStyle name="Comma 2 4 6 12 12" xfId="18434"/>
    <cellStyle name="Comma 2 4 6 12 2" xfId="18435"/>
    <cellStyle name="Comma 2 4 6 12 2 2" xfId="18436"/>
    <cellStyle name="Comma 2 4 6 12 3" xfId="18437"/>
    <cellStyle name="Comma 2 4 6 12 3 2" xfId="18438"/>
    <cellStyle name="Comma 2 4 6 12 4" xfId="18439"/>
    <cellStyle name="Comma 2 4 6 12 4 2" xfId="18440"/>
    <cellStyle name="Comma 2 4 6 12 5" xfId="18441"/>
    <cellStyle name="Comma 2 4 6 12 5 2" xfId="18442"/>
    <cellStyle name="Comma 2 4 6 12 6" xfId="18443"/>
    <cellStyle name="Comma 2 4 6 12 6 2" xfId="18444"/>
    <cellStyle name="Comma 2 4 6 12 7" xfId="18445"/>
    <cellStyle name="Comma 2 4 6 12 7 2" xfId="18446"/>
    <cellStyle name="Comma 2 4 6 12 8" xfId="18447"/>
    <cellStyle name="Comma 2 4 6 12 8 2" xfId="18448"/>
    <cellStyle name="Comma 2 4 6 12 9" xfId="18449"/>
    <cellStyle name="Comma 2 4 6 12 9 2" xfId="18450"/>
    <cellStyle name="Comma 2 4 6 13" xfId="18451"/>
    <cellStyle name="Comma 2 4 6 13 10" xfId="18452"/>
    <cellStyle name="Comma 2 4 6 13 10 2" xfId="18453"/>
    <cellStyle name="Comma 2 4 6 13 11" xfId="18454"/>
    <cellStyle name="Comma 2 4 6 13 11 2" xfId="18455"/>
    <cellStyle name="Comma 2 4 6 13 12" xfId="18456"/>
    <cellStyle name="Comma 2 4 6 13 2" xfId="18457"/>
    <cellStyle name="Comma 2 4 6 13 2 2" xfId="18458"/>
    <cellStyle name="Comma 2 4 6 13 3" xfId="18459"/>
    <cellStyle name="Comma 2 4 6 13 3 2" xfId="18460"/>
    <cellStyle name="Comma 2 4 6 13 4" xfId="18461"/>
    <cellStyle name="Comma 2 4 6 13 4 2" xfId="18462"/>
    <cellStyle name="Comma 2 4 6 13 5" xfId="18463"/>
    <cellStyle name="Comma 2 4 6 13 5 2" xfId="18464"/>
    <cellStyle name="Comma 2 4 6 13 6" xfId="18465"/>
    <cellStyle name="Comma 2 4 6 13 6 2" xfId="18466"/>
    <cellStyle name="Comma 2 4 6 13 7" xfId="18467"/>
    <cellStyle name="Comma 2 4 6 13 7 2" xfId="18468"/>
    <cellStyle name="Comma 2 4 6 13 8" xfId="18469"/>
    <cellStyle name="Comma 2 4 6 13 8 2" xfId="18470"/>
    <cellStyle name="Comma 2 4 6 13 9" xfId="18471"/>
    <cellStyle name="Comma 2 4 6 13 9 2" xfId="18472"/>
    <cellStyle name="Comma 2 4 6 14" xfId="18473"/>
    <cellStyle name="Comma 2 4 6 14 10" xfId="18474"/>
    <cellStyle name="Comma 2 4 6 14 10 2" xfId="18475"/>
    <cellStyle name="Comma 2 4 6 14 11" xfId="18476"/>
    <cellStyle name="Comma 2 4 6 14 11 2" xfId="18477"/>
    <cellStyle name="Comma 2 4 6 14 12" xfId="18478"/>
    <cellStyle name="Comma 2 4 6 14 2" xfId="18479"/>
    <cellStyle name="Comma 2 4 6 14 2 2" xfId="18480"/>
    <cellStyle name="Comma 2 4 6 14 3" xfId="18481"/>
    <cellStyle name="Comma 2 4 6 14 3 2" xfId="18482"/>
    <cellStyle name="Comma 2 4 6 14 4" xfId="18483"/>
    <cellStyle name="Comma 2 4 6 14 4 2" xfId="18484"/>
    <cellStyle name="Comma 2 4 6 14 5" xfId="18485"/>
    <cellStyle name="Comma 2 4 6 14 5 2" xfId="18486"/>
    <cellStyle name="Comma 2 4 6 14 6" xfId="18487"/>
    <cellStyle name="Comma 2 4 6 14 6 2" xfId="18488"/>
    <cellStyle name="Comma 2 4 6 14 7" xfId="18489"/>
    <cellStyle name="Comma 2 4 6 14 7 2" xfId="18490"/>
    <cellStyle name="Comma 2 4 6 14 8" xfId="18491"/>
    <cellStyle name="Comma 2 4 6 14 8 2" xfId="18492"/>
    <cellStyle name="Comma 2 4 6 14 9" xfId="18493"/>
    <cellStyle name="Comma 2 4 6 14 9 2" xfId="18494"/>
    <cellStyle name="Comma 2 4 6 15" xfId="18495"/>
    <cellStyle name="Comma 2 4 6 15 10" xfId="18496"/>
    <cellStyle name="Comma 2 4 6 15 10 2" xfId="18497"/>
    <cellStyle name="Comma 2 4 6 15 11" xfId="18498"/>
    <cellStyle name="Comma 2 4 6 15 11 2" xfId="18499"/>
    <cellStyle name="Comma 2 4 6 15 12" xfId="18500"/>
    <cellStyle name="Comma 2 4 6 15 2" xfId="18501"/>
    <cellStyle name="Comma 2 4 6 15 2 2" xfId="18502"/>
    <cellStyle name="Comma 2 4 6 15 3" xfId="18503"/>
    <cellStyle name="Comma 2 4 6 15 3 2" xfId="18504"/>
    <cellStyle name="Comma 2 4 6 15 4" xfId="18505"/>
    <cellStyle name="Comma 2 4 6 15 4 2" xfId="18506"/>
    <cellStyle name="Comma 2 4 6 15 5" xfId="18507"/>
    <cellStyle name="Comma 2 4 6 15 5 2" xfId="18508"/>
    <cellStyle name="Comma 2 4 6 15 6" xfId="18509"/>
    <cellStyle name="Comma 2 4 6 15 6 2" xfId="18510"/>
    <cellStyle name="Comma 2 4 6 15 7" xfId="18511"/>
    <cellStyle name="Comma 2 4 6 15 7 2" xfId="18512"/>
    <cellStyle name="Comma 2 4 6 15 8" xfId="18513"/>
    <cellStyle name="Comma 2 4 6 15 8 2" xfId="18514"/>
    <cellStyle name="Comma 2 4 6 15 9" xfId="18515"/>
    <cellStyle name="Comma 2 4 6 15 9 2" xfId="18516"/>
    <cellStyle name="Comma 2 4 6 16" xfId="18517"/>
    <cellStyle name="Comma 2 4 6 16 2" xfId="18518"/>
    <cellStyle name="Comma 2 4 6 17" xfId="18519"/>
    <cellStyle name="Comma 2 4 6 17 2" xfId="18520"/>
    <cellStyle name="Comma 2 4 6 18" xfId="18521"/>
    <cellStyle name="Comma 2 4 6 18 2" xfId="18522"/>
    <cellStyle name="Comma 2 4 6 19" xfId="18523"/>
    <cellStyle name="Comma 2 4 6 19 2" xfId="18524"/>
    <cellStyle name="Comma 2 4 6 2" xfId="18525"/>
    <cellStyle name="Comma 2 4 6 2 10" xfId="18526"/>
    <cellStyle name="Comma 2 4 6 2 10 2" xfId="18527"/>
    <cellStyle name="Comma 2 4 6 2 11" xfId="18528"/>
    <cellStyle name="Comma 2 4 6 2 11 2" xfId="18529"/>
    <cellStyle name="Comma 2 4 6 2 12" xfId="18530"/>
    <cellStyle name="Comma 2 4 6 2 2" xfId="18531"/>
    <cellStyle name="Comma 2 4 6 2 2 2" xfId="18532"/>
    <cellStyle name="Comma 2 4 6 2 3" xfId="18533"/>
    <cellStyle name="Comma 2 4 6 2 3 2" xfId="18534"/>
    <cellStyle name="Comma 2 4 6 2 4" xfId="18535"/>
    <cellStyle name="Comma 2 4 6 2 4 2" xfId="18536"/>
    <cellStyle name="Comma 2 4 6 2 5" xfId="18537"/>
    <cellStyle name="Comma 2 4 6 2 5 2" xfId="18538"/>
    <cellStyle name="Comma 2 4 6 2 6" xfId="18539"/>
    <cellStyle name="Comma 2 4 6 2 6 2" xfId="18540"/>
    <cellStyle name="Comma 2 4 6 2 7" xfId="18541"/>
    <cellStyle name="Comma 2 4 6 2 7 2" xfId="18542"/>
    <cellStyle name="Comma 2 4 6 2 8" xfId="18543"/>
    <cellStyle name="Comma 2 4 6 2 8 2" xfId="18544"/>
    <cellStyle name="Comma 2 4 6 2 9" xfId="18545"/>
    <cellStyle name="Comma 2 4 6 2 9 2" xfId="18546"/>
    <cellStyle name="Comma 2 4 6 20" xfId="18547"/>
    <cellStyle name="Comma 2 4 6 20 2" xfId="18548"/>
    <cellStyle name="Comma 2 4 6 21" xfId="18549"/>
    <cellStyle name="Comma 2 4 6 21 2" xfId="18550"/>
    <cellStyle name="Comma 2 4 6 22" xfId="18551"/>
    <cellStyle name="Comma 2 4 6 22 2" xfId="18552"/>
    <cellStyle name="Comma 2 4 6 23" xfId="18553"/>
    <cellStyle name="Comma 2 4 6 23 2" xfId="18554"/>
    <cellStyle name="Comma 2 4 6 24" xfId="18555"/>
    <cellStyle name="Comma 2 4 6 24 2" xfId="18556"/>
    <cellStyle name="Comma 2 4 6 25" xfId="18557"/>
    <cellStyle name="Comma 2 4 6 25 2" xfId="18558"/>
    <cellStyle name="Comma 2 4 6 26" xfId="18559"/>
    <cellStyle name="Comma 2 4 6 3" xfId="18560"/>
    <cellStyle name="Comma 2 4 6 3 10" xfId="18561"/>
    <cellStyle name="Comma 2 4 6 3 10 2" xfId="18562"/>
    <cellStyle name="Comma 2 4 6 3 11" xfId="18563"/>
    <cellStyle name="Comma 2 4 6 3 11 2" xfId="18564"/>
    <cellStyle name="Comma 2 4 6 3 12" xfId="18565"/>
    <cellStyle name="Comma 2 4 6 3 2" xfId="18566"/>
    <cellStyle name="Comma 2 4 6 3 2 2" xfId="18567"/>
    <cellStyle name="Comma 2 4 6 3 3" xfId="18568"/>
    <cellStyle name="Comma 2 4 6 3 3 2" xfId="18569"/>
    <cellStyle name="Comma 2 4 6 3 4" xfId="18570"/>
    <cellStyle name="Comma 2 4 6 3 4 2" xfId="18571"/>
    <cellStyle name="Comma 2 4 6 3 5" xfId="18572"/>
    <cellStyle name="Comma 2 4 6 3 5 2" xfId="18573"/>
    <cellStyle name="Comma 2 4 6 3 6" xfId="18574"/>
    <cellStyle name="Comma 2 4 6 3 6 2" xfId="18575"/>
    <cellStyle name="Comma 2 4 6 3 7" xfId="18576"/>
    <cellStyle name="Comma 2 4 6 3 7 2" xfId="18577"/>
    <cellStyle name="Comma 2 4 6 3 8" xfId="18578"/>
    <cellStyle name="Comma 2 4 6 3 8 2" xfId="18579"/>
    <cellStyle name="Comma 2 4 6 3 9" xfId="18580"/>
    <cellStyle name="Comma 2 4 6 3 9 2" xfId="18581"/>
    <cellStyle name="Comma 2 4 6 4" xfId="18582"/>
    <cellStyle name="Comma 2 4 6 4 10" xfId="18583"/>
    <cellStyle name="Comma 2 4 6 4 10 2" xfId="18584"/>
    <cellStyle name="Comma 2 4 6 4 11" xfId="18585"/>
    <cellStyle name="Comma 2 4 6 4 11 2" xfId="18586"/>
    <cellStyle name="Comma 2 4 6 4 12" xfId="18587"/>
    <cellStyle name="Comma 2 4 6 4 2" xfId="18588"/>
    <cellStyle name="Comma 2 4 6 4 2 2" xfId="18589"/>
    <cellStyle name="Comma 2 4 6 4 3" xfId="18590"/>
    <cellStyle name="Comma 2 4 6 4 3 2" xfId="18591"/>
    <cellStyle name="Comma 2 4 6 4 4" xfId="18592"/>
    <cellStyle name="Comma 2 4 6 4 4 2" xfId="18593"/>
    <cellStyle name="Comma 2 4 6 4 5" xfId="18594"/>
    <cellStyle name="Comma 2 4 6 4 5 2" xfId="18595"/>
    <cellStyle name="Comma 2 4 6 4 6" xfId="18596"/>
    <cellStyle name="Comma 2 4 6 4 6 2" xfId="18597"/>
    <cellStyle name="Comma 2 4 6 4 7" xfId="18598"/>
    <cellStyle name="Comma 2 4 6 4 7 2" xfId="18599"/>
    <cellStyle name="Comma 2 4 6 4 8" xfId="18600"/>
    <cellStyle name="Comma 2 4 6 4 8 2" xfId="18601"/>
    <cellStyle name="Comma 2 4 6 4 9" xfId="18602"/>
    <cellStyle name="Comma 2 4 6 4 9 2" xfId="18603"/>
    <cellStyle name="Comma 2 4 6 5" xfId="18604"/>
    <cellStyle name="Comma 2 4 6 5 10" xfId="18605"/>
    <cellStyle name="Comma 2 4 6 5 10 2" xfId="18606"/>
    <cellStyle name="Comma 2 4 6 5 11" xfId="18607"/>
    <cellStyle name="Comma 2 4 6 5 11 2" xfId="18608"/>
    <cellStyle name="Comma 2 4 6 5 12" xfId="18609"/>
    <cellStyle name="Comma 2 4 6 5 2" xfId="18610"/>
    <cellStyle name="Comma 2 4 6 5 2 2" xfId="18611"/>
    <cellStyle name="Comma 2 4 6 5 3" xfId="18612"/>
    <cellStyle name="Comma 2 4 6 5 3 2" xfId="18613"/>
    <cellStyle name="Comma 2 4 6 5 4" xfId="18614"/>
    <cellStyle name="Comma 2 4 6 5 4 2" xfId="18615"/>
    <cellStyle name="Comma 2 4 6 5 5" xfId="18616"/>
    <cellStyle name="Comma 2 4 6 5 5 2" xfId="18617"/>
    <cellStyle name="Comma 2 4 6 5 6" xfId="18618"/>
    <cellStyle name="Comma 2 4 6 5 6 2" xfId="18619"/>
    <cellStyle name="Comma 2 4 6 5 7" xfId="18620"/>
    <cellStyle name="Comma 2 4 6 5 7 2" xfId="18621"/>
    <cellStyle name="Comma 2 4 6 5 8" xfId="18622"/>
    <cellStyle name="Comma 2 4 6 5 8 2" xfId="18623"/>
    <cellStyle name="Comma 2 4 6 5 9" xfId="18624"/>
    <cellStyle name="Comma 2 4 6 5 9 2" xfId="18625"/>
    <cellStyle name="Comma 2 4 6 6" xfId="18626"/>
    <cellStyle name="Comma 2 4 6 6 10" xfId="18627"/>
    <cellStyle name="Comma 2 4 6 6 10 2" xfId="18628"/>
    <cellStyle name="Comma 2 4 6 6 11" xfId="18629"/>
    <cellStyle name="Comma 2 4 6 6 11 2" xfId="18630"/>
    <cellStyle name="Comma 2 4 6 6 12" xfId="18631"/>
    <cellStyle name="Comma 2 4 6 6 2" xfId="18632"/>
    <cellStyle name="Comma 2 4 6 6 2 2" xfId="18633"/>
    <cellStyle name="Comma 2 4 6 6 3" xfId="18634"/>
    <cellStyle name="Comma 2 4 6 6 3 2" xfId="18635"/>
    <cellStyle name="Comma 2 4 6 6 4" xfId="18636"/>
    <cellStyle name="Comma 2 4 6 6 4 2" xfId="18637"/>
    <cellStyle name="Comma 2 4 6 6 5" xfId="18638"/>
    <cellStyle name="Comma 2 4 6 6 5 2" xfId="18639"/>
    <cellStyle name="Comma 2 4 6 6 6" xfId="18640"/>
    <cellStyle name="Comma 2 4 6 6 6 2" xfId="18641"/>
    <cellStyle name="Comma 2 4 6 6 7" xfId="18642"/>
    <cellStyle name="Comma 2 4 6 6 7 2" xfId="18643"/>
    <cellStyle name="Comma 2 4 6 6 8" xfId="18644"/>
    <cellStyle name="Comma 2 4 6 6 8 2" xfId="18645"/>
    <cellStyle name="Comma 2 4 6 6 9" xfId="18646"/>
    <cellStyle name="Comma 2 4 6 6 9 2" xfId="18647"/>
    <cellStyle name="Comma 2 4 6 7" xfId="18648"/>
    <cellStyle name="Comma 2 4 6 7 10" xfId="18649"/>
    <cellStyle name="Comma 2 4 6 7 10 2" xfId="18650"/>
    <cellStyle name="Comma 2 4 6 7 11" xfId="18651"/>
    <cellStyle name="Comma 2 4 6 7 11 2" xfId="18652"/>
    <cellStyle name="Comma 2 4 6 7 12" xfId="18653"/>
    <cellStyle name="Comma 2 4 6 7 2" xfId="18654"/>
    <cellStyle name="Comma 2 4 6 7 2 2" xfId="18655"/>
    <cellStyle name="Comma 2 4 6 7 3" xfId="18656"/>
    <cellStyle name="Comma 2 4 6 7 3 2" xfId="18657"/>
    <cellStyle name="Comma 2 4 6 7 4" xfId="18658"/>
    <cellStyle name="Comma 2 4 6 7 4 2" xfId="18659"/>
    <cellStyle name="Comma 2 4 6 7 5" xfId="18660"/>
    <cellStyle name="Comma 2 4 6 7 5 2" xfId="18661"/>
    <cellStyle name="Comma 2 4 6 7 6" xfId="18662"/>
    <cellStyle name="Comma 2 4 6 7 6 2" xfId="18663"/>
    <cellStyle name="Comma 2 4 6 7 7" xfId="18664"/>
    <cellStyle name="Comma 2 4 6 7 7 2" xfId="18665"/>
    <cellStyle name="Comma 2 4 6 7 8" xfId="18666"/>
    <cellStyle name="Comma 2 4 6 7 8 2" xfId="18667"/>
    <cellStyle name="Comma 2 4 6 7 9" xfId="18668"/>
    <cellStyle name="Comma 2 4 6 7 9 2" xfId="18669"/>
    <cellStyle name="Comma 2 4 6 8" xfId="18670"/>
    <cellStyle name="Comma 2 4 6 8 10" xfId="18671"/>
    <cellStyle name="Comma 2 4 6 8 10 2" xfId="18672"/>
    <cellStyle name="Comma 2 4 6 8 11" xfId="18673"/>
    <cellStyle name="Comma 2 4 6 8 11 2" xfId="18674"/>
    <cellStyle name="Comma 2 4 6 8 12" xfId="18675"/>
    <cellStyle name="Comma 2 4 6 8 2" xfId="18676"/>
    <cellStyle name="Comma 2 4 6 8 2 2" xfId="18677"/>
    <cellStyle name="Comma 2 4 6 8 3" xfId="18678"/>
    <cellStyle name="Comma 2 4 6 8 3 2" xfId="18679"/>
    <cellStyle name="Comma 2 4 6 8 4" xfId="18680"/>
    <cellStyle name="Comma 2 4 6 8 4 2" xfId="18681"/>
    <cellStyle name="Comma 2 4 6 8 5" xfId="18682"/>
    <cellStyle name="Comma 2 4 6 8 5 2" xfId="18683"/>
    <cellStyle name="Comma 2 4 6 8 6" xfId="18684"/>
    <cellStyle name="Comma 2 4 6 8 6 2" xfId="18685"/>
    <cellStyle name="Comma 2 4 6 8 7" xfId="18686"/>
    <cellStyle name="Comma 2 4 6 8 7 2" xfId="18687"/>
    <cellStyle name="Comma 2 4 6 8 8" xfId="18688"/>
    <cellStyle name="Comma 2 4 6 8 8 2" xfId="18689"/>
    <cellStyle name="Comma 2 4 6 8 9" xfId="18690"/>
    <cellStyle name="Comma 2 4 6 8 9 2" xfId="18691"/>
    <cellStyle name="Comma 2 4 6 9" xfId="18692"/>
    <cellStyle name="Comma 2 4 6 9 10" xfId="18693"/>
    <cellStyle name="Comma 2 4 6 9 10 2" xfId="18694"/>
    <cellStyle name="Comma 2 4 6 9 11" xfId="18695"/>
    <cellStyle name="Comma 2 4 6 9 11 2" xfId="18696"/>
    <cellStyle name="Comma 2 4 6 9 12" xfId="18697"/>
    <cellStyle name="Comma 2 4 6 9 2" xfId="18698"/>
    <cellStyle name="Comma 2 4 6 9 2 2" xfId="18699"/>
    <cellStyle name="Comma 2 4 6 9 3" xfId="18700"/>
    <cellStyle name="Comma 2 4 6 9 3 2" xfId="18701"/>
    <cellStyle name="Comma 2 4 6 9 4" xfId="18702"/>
    <cellStyle name="Comma 2 4 6 9 4 2" xfId="18703"/>
    <cellStyle name="Comma 2 4 6 9 5" xfId="18704"/>
    <cellStyle name="Comma 2 4 6 9 5 2" xfId="18705"/>
    <cellStyle name="Comma 2 4 6 9 6" xfId="18706"/>
    <cellStyle name="Comma 2 4 6 9 6 2" xfId="18707"/>
    <cellStyle name="Comma 2 4 6 9 7" xfId="18708"/>
    <cellStyle name="Comma 2 4 6 9 7 2" xfId="18709"/>
    <cellStyle name="Comma 2 4 6 9 8" xfId="18710"/>
    <cellStyle name="Comma 2 4 6 9 8 2" xfId="18711"/>
    <cellStyle name="Comma 2 4 6 9 9" xfId="18712"/>
    <cellStyle name="Comma 2 4 6 9 9 2" xfId="18713"/>
    <cellStyle name="Comma 2 4 7" xfId="18714"/>
    <cellStyle name="Comma 2 4 7 10" xfId="18715"/>
    <cellStyle name="Comma 2 4 7 10 2" xfId="18716"/>
    <cellStyle name="Comma 2 4 7 11" xfId="18717"/>
    <cellStyle name="Comma 2 4 7 11 2" xfId="18718"/>
    <cellStyle name="Comma 2 4 7 12" xfId="18719"/>
    <cellStyle name="Comma 2 4 7 2" xfId="18720"/>
    <cellStyle name="Comma 2 4 7 2 2" xfId="18721"/>
    <cellStyle name="Comma 2 4 7 3" xfId="18722"/>
    <cellStyle name="Comma 2 4 7 3 2" xfId="18723"/>
    <cellStyle name="Comma 2 4 7 4" xfId="18724"/>
    <cellStyle name="Comma 2 4 7 4 2" xfId="18725"/>
    <cellStyle name="Comma 2 4 7 5" xfId="18726"/>
    <cellStyle name="Comma 2 4 7 5 2" xfId="18727"/>
    <cellStyle name="Comma 2 4 7 6" xfId="18728"/>
    <cellStyle name="Comma 2 4 7 6 2" xfId="18729"/>
    <cellStyle name="Comma 2 4 7 7" xfId="18730"/>
    <cellStyle name="Comma 2 4 7 7 2" xfId="18731"/>
    <cellStyle name="Comma 2 4 7 8" xfId="18732"/>
    <cellStyle name="Comma 2 4 7 8 2" xfId="18733"/>
    <cellStyle name="Comma 2 4 7 9" xfId="18734"/>
    <cellStyle name="Comma 2 4 7 9 2" xfId="18735"/>
    <cellStyle name="Comma 2 4 8" xfId="18736"/>
    <cellStyle name="Comma 2 4 8 10" xfId="18737"/>
    <cellStyle name="Comma 2 4 8 10 2" xfId="18738"/>
    <cellStyle name="Comma 2 4 8 11" xfId="18739"/>
    <cellStyle name="Comma 2 4 8 11 2" xfId="18740"/>
    <cellStyle name="Comma 2 4 8 12" xfId="18741"/>
    <cellStyle name="Comma 2 4 8 2" xfId="18742"/>
    <cellStyle name="Comma 2 4 8 2 2" xfId="18743"/>
    <cellStyle name="Comma 2 4 8 3" xfId="18744"/>
    <cellStyle name="Comma 2 4 8 3 2" xfId="18745"/>
    <cellStyle name="Comma 2 4 8 4" xfId="18746"/>
    <cellStyle name="Comma 2 4 8 4 2" xfId="18747"/>
    <cellStyle name="Comma 2 4 8 5" xfId="18748"/>
    <cellStyle name="Comma 2 4 8 5 2" xfId="18749"/>
    <cellStyle name="Comma 2 4 8 6" xfId="18750"/>
    <cellStyle name="Comma 2 4 8 6 2" xfId="18751"/>
    <cellStyle name="Comma 2 4 8 7" xfId="18752"/>
    <cellStyle name="Comma 2 4 8 7 2" xfId="18753"/>
    <cellStyle name="Comma 2 4 8 8" xfId="18754"/>
    <cellStyle name="Comma 2 4 8 8 2" xfId="18755"/>
    <cellStyle name="Comma 2 4 8 9" xfId="18756"/>
    <cellStyle name="Comma 2 4 8 9 2" xfId="18757"/>
    <cellStyle name="Comma 2 4 9" xfId="18758"/>
    <cellStyle name="Comma 2 4 9 10" xfId="18759"/>
    <cellStyle name="Comma 2 4 9 10 2" xfId="18760"/>
    <cellStyle name="Comma 2 4 9 11" xfId="18761"/>
    <cellStyle name="Comma 2 4 9 11 2" xfId="18762"/>
    <cellStyle name="Comma 2 4 9 12" xfId="18763"/>
    <cellStyle name="Comma 2 4 9 2" xfId="18764"/>
    <cellStyle name="Comma 2 4 9 2 2" xfId="18765"/>
    <cellStyle name="Comma 2 4 9 3" xfId="18766"/>
    <cellStyle name="Comma 2 4 9 3 2" xfId="18767"/>
    <cellStyle name="Comma 2 4 9 4" xfId="18768"/>
    <cellStyle name="Comma 2 4 9 4 2" xfId="18769"/>
    <cellStyle name="Comma 2 4 9 5" xfId="18770"/>
    <cellStyle name="Comma 2 4 9 5 2" xfId="18771"/>
    <cellStyle name="Comma 2 4 9 6" xfId="18772"/>
    <cellStyle name="Comma 2 4 9 6 2" xfId="18773"/>
    <cellStyle name="Comma 2 4 9 7" xfId="18774"/>
    <cellStyle name="Comma 2 4 9 7 2" xfId="18775"/>
    <cellStyle name="Comma 2 4 9 8" xfId="18776"/>
    <cellStyle name="Comma 2 4 9 8 2" xfId="18777"/>
    <cellStyle name="Comma 2 4 9 9" xfId="18778"/>
    <cellStyle name="Comma 2 4 9 9 2" xfId="18779"/>
    <cellStyle name="Comma 2 5" xfId="18780"/>
    <cellStyle name="Comma 2 5 10" xfId="18781"/>
    <cellStyle name="Comma 2 5 10 10" xfId="18782"/>
    <cellStyle name="Comma 2 5 10 10 2" xfId="18783"/>
    <cellStyle name="Comma 2 5 10 11" xfId="18784"/>
    <cellStyle name="Comma 2 5 10 11 2" xfId="18785"/>
    <cellStyle name="Comma 2 5 10 12" xfId="18786"/>
    <cellStyle name="Comma 2 5 10 2" xfId="18787"/>
    <cellStyle name="Comma 2 5 10 2 2" xfId="18788"/>
    <cellStyle name="Comma 2 5 10 3" xfId="18789"/>
    <cellStyle name="Comma 2 5 10 3 2" xfId="18790"/>
    <cellStyle name="Comma 2 5 10 4" xfId="18791"/>
    <cellStyle name="Comma 2 5 10 4 2" xfId="18792"/>
    <cellStyle name="Comma 2 5 10 5" xfId="18793"/>
    <cellStyle name="Comma 2 5 10 5 2" xfId="18794"/>
    <cellStyle name="Comma 2 5 10 6" xfId="18795"/>
    <cellStyle name="Comma 2 5 10 6 2" xfId="18796"/>
    <cellStyle name="Comma 2 5 10 7" xfId="18797"/>
    <cellStyle name="Comma 2 5 10 7 2" xfId="18798"/>
    <cellStyle name="Comma 2 5 10 8" xfId="18799"/>
    <cellStyle name="Comma 2 5 10 8 2" xfId="18800"/>
    <cellStyle name="Comma 2 5 10 9" xfId="18801"/>
    <cellStyle name="Comma 2 5 10 9 2" xfId="18802"/>
    <cellStyle name="Comma 2 5 11" xfId="18803"/>
    <cellStyle name="Comma 2 5 11 10" xfId="18804"/>
    <cellStyle name="Comma 2 5 11 10 2" xfId="18805"/>
    <cellStyle name="Comma 2 5 11 11" xfId="18806"/>
    <cellStyle name="Comma 2 5 11 11 2" xfId="18807"/>
    <cellStyle name="Comma 2 5 11 12" xfId="18808"/>
    <cellStyle name="Comma 2 5 11 2" xfId="18809"/>
    <cellStyle name="Comma 2 5 11 2 2" xfId="18810"/>
    <cellStyle name="Comma 2 5 11 3" xfId="18811"/>
    <cellStyle name="Comma 2 5 11 3 2" xfId="18812"/>
    <cellStyle name="Comma 2 5 11 4" xfId="18813"/>
    <cellStyle name="Comma 2 5 11 4 2" xfId="18814"/>
    <cellStyle name="Comma 2 5 11 5" xfId="18815"/>
    <cellStyle name="Comma 2 5 11 5 2" xfId="18816"/>
    <cellStyle name="Comma 2 5 11 6" xfId="18817"/>
    <cellStyle name="Comma 2 5 11 6 2" xfId="18818"/>
    <cellStyle name="Comma 2 5 11 7" xfId="18819"/>
    <cellStyle name="Comma 2 5 11 7 2" xfId="18820"/>
    <cellStyle name="Comma 2 5 11 8" xfId="18821"/>
    <cellStyle name="Comma 2 5 11 8 2" xfId="18822"/>
    <cellStyle name="Comma 2 5 11 9" xfId="18823"/>
    <cellStyle name="Comma 2 5 11 9 2" xfId="18824"/>
    <cellStyle name="Comma 2 5 12" xfId="18825"/>
    <cellStyle name="Comma 2 5 12 10" xfId="18826"/>
    <cellStyle name="Comma 2 5 12 10 2" xfId="18827"/>
    <cellStyle name="Comma 2 5 12 11" xfId="18828"/>
    <cellStyle name="Comma 2 5 12 11 2" xfId="18829"/>
    <cellStyle name="Comma 2 5 12 12" xfId="18830"/>
    <cellStyle name="Comma 2 5 12 2" xfId="18831"/>
    <cellStyle name="Comma 2 5 12 2 2" xfId="18832"/>
    <cellStyle name="Comma 2 5 12 3" xfId="18833"/>
    <cellStyle name="Comma 2 5 12 3 2" xfId="18834"/>
    <cellStyle name="Comma 2 5 12 4" xfId="18835"/>
    <cellStyle name="Comma 2 5 12 4 2" xfId="18836"/>
    <cellStyle name="Comma 2 5 12 5" xfId="18837"/>
    <cellStyle name="Comma 2 5 12 5 2" xfId="18838"/>
    <cellStyle name="Comma 2 5 12 6" xfId="18839"/>
    <cellStyle name="Comma 2 5 12 6 2" xfId="18840"/>
    <cellStyle name="Comma 2 5 12 7" xfId="18841"/>
    <cellStyle name="Comma 2 5 12 7 2" xfId="18842"/>
    <cellStyle name="Comma 2 5 12 8" xfId="18843"/>
    <cellStyle name="Comma 2 5 12 8 2" xfId="18844"/>
    <cellStyle name="Comma 2 5 12 9" xfId="18845"/>
    <cellStyle name="Comma 2 5 12 9 2" xfId="18846"/>
    <cellStyle name="Comma 2 5 13" xfId="18847"/>
    <cellStyle name="Comma 2 5 13 10" xfId="18848"/>
    <cellStyle name="Comma 2 5 13 10 2" xfId="18849"/>
    <cellStyle name="Comma 2 5 13 11" xfId="18850"/>
    <cellStyle name="Comma 2 5 13 11 2" xfId="18851"/>
    <cellStyle name="Comma 2 5 13 12" xfId="18852"/>
    <cellStyle name="Comma 2 5 13 2" xfId="18853"/>
    <cellStyle name="Comma 2 5 13 2 2" xfId="18854"/>
    <cellStyle name="Comma 2 5 13 3" xfId="18855"/>
    <cellStyle name="Comma 2 5 13 3 2" xfId="18856"/>
    <cellStyle name="Comma 2 5 13 4" xfId="18857"/>
    <cellStyle name="Comma 2 5 13 4 2" xfId="18858"/>
    <cellStyle name="Comma 2 5 13 5" xfId="18859"/>
    <cellStyle name="Comma 2 5 13 5 2" xfId="18860"/>
    <cellStyle name="Comma 2 5 13 6" xfId="18861"/>
    <cellStyle name="Comma 2 5 13 6 2" xfId="18862"/>
    <cellStyle name="Comma 2 5 13 7" xfId="18863"/>
    <cellStyle name="Comma 2 5 13 7 2" xfId="18864"/>
    <cellStyle name="Comma 2 5 13 8" xfId="18865"/>
    <cellStyle name="Comma 2 5 13 8 2" xfId="18866"/>
    <cellStyle name="Comma 2 5 13 9" xfId="18867"/>
    <cellStyle name="Comma 2 5 13 9 2" xfId="18868"/>
    <cellStyle name="Comma 2 5 14" xfId="18869"/>
    <cellStyle name="Comma 2 5 14 10" xfId="18870"/>
    <cellStyle name="Comma 2 5 14 10 2" xfId="18871"/>
    <cellStyle name="Comma 2 5 14 11" xfId="18872"/>
    <cellStyle name="Comma 2 5 14 11 2" xfId="18873"/>
    <cellStyle name="Comma 2 5 14 12" xfId="18874"/>
    <cellStyle name="Comma 2 5 14 2" xfId="18875"/>
    <cellStyle name="Comma 2 5 14 2 2" xfId="18876"/>
    <cellStyle name="Comma 2 5 14 3" xfId="18877"/>
    <cellStyle name="Comma 2 5 14 3 2" xfId="18878"/>
    <cellStyle name="Comma 2 5 14 4" xfId="18879"/>
    <cellStyle name="Comma 2 5 14 4 2" xfId="18880"/>
    <cellStyle name="Comma 2 5 14 5" xfId="18881"/>
    <cellStyle name="Comma 2 5 14 5 2" xfId="18882"/>
    <cellStyle name="Comma 2 5 14 6" xfId="18883"/>
    <cellStyle name="Comma 2 5 14 6 2" xfId="18884"/>
    <cellStyle name="Comma 2 5 14 7" xfId="18885"/>
    <cellStyle name="Comma 2 5 14 7 2" xfId="18886"/>
    <cellStyle name="Comma 2 5 14 8" xfId="18887"/>
    <cellStyle name="Comma 2 5 14 8 2" xfId="18888"/>
    <cellStyle name="Comma 2 5 14 9" xfId="18889"/>
    <cellStyle name="Comma 2 5 14 9 2" xfId="18890"/>
    <cellStyle name="Comma 2 5 15" xfId="18891"/>
    <cellStyle name="Comma 2 5 15 10" xfId="18892"/>
    <cellStyle name="Comma 2 5 15 10 2" xfId="18893"/>
    <cellStyle name="Comma 2 5 15 11" xfId="18894"/>
    <cellStyle name="Comma 2 5 15 11 2" xfId="18895"/>
    <cellStyle name="Comma 2 5 15 12" xfId="18896"/>
    <cellStyle name="Comma 2 5 15 2" xfId="18897"/>
    <cellStyle name="Comma 2 5 15 2 2" xfId="18898"/>
    <cellStyle name="Comma 2 5 15 3" xfId="18899"/>
    <cellStyle name="Comma 2 5 15 3 2" xfId="18900"/>
    <cellStyle name="Comma 2 5 15 4" xfId="18901"/>
    <cellStyle name="Comma 2 5 15 4 2" xfId="18902"/>
    <cellStyle name="Comma 2 5 15 5" xfId="18903"/>
    <cellStyle name="Comma 2 5 15 5 2" xfId="18904"/>
    <cellStyle name="Comma 2 5 15 6" xfId="18905"/>
    <cellStyle name="Comma 2 5 15 6 2" xfId="18906"/>
    <cellStyle name="Comma 2 5 15 7" xfId="18907"/>
    <cellStyle name="Comma 2 5 15 7 2" xfId="18908"/>
    <cellStyle name="Comma 2 5 15 8" xfId="18909"/>
    <cellStyle name="Comma 2 5 15 8 2" xfId="18910"/>
    <cellStyle name="Comma 2 5 15 9" xfId="18911"/>
    <cellStyle name="Comma 2 5 15 9 2" xfId="18912"/>
    <cellStyle name="Comma 2 5 16" xfId="18913"/>
    <cellStyle name="Comma 2 5 16 10" xfId="18914"/>
    <cellStyle name="Comma 2 5 16 10 2" xfId="18915"/>
    <cellStyle name="Comma 2 5 16 11" xfId="18916"/>
    <cellStyle name="Comma 2 5 16 11 2" xfId="18917"/>
    <cellStyle name="Comma 2 5 16 12" xfId="18918"/>
    <cellStyle name="Comma 2 5 16 2" xfId="18919"/>
    <cellStyle name="Comma 2 5 16 2 2" xfId="18920"/>
    <cellStyle name="Comma 2 5 16 3" xfId="18921"/>
    <cellStyle name="Comma 2 5 16 3 2" xfId="18922"/>
    <cellStyle name="Comma 2 5 16 4" xfId="18923"/>
    <cellStyle name="Comma 2 5 16 4 2" xfId="18924"/>
    <cellStyle name="Comma 2 5 16 5" xfId="18925"/>
    <cellStyle name="Comma 2 5 16 5 2" xfId="18926"/>
    <cellStyle name="Comma 2 5 16 6" xfId="18927"/>
    <cellStyle name="Comma 2 5 16 6 2" xfId="18928"/>
    <cellStyle name="Comma 2 5 16 7" xfId="18929"/>
    <cellStyle name="Comma 2 5 16 7 2" xfId="18930"/>
    <cellStyle name="Comma 2 5 16 8" xfId="18931"/>
    <cellStyle name="Comma 2 5 16 8 2" xfId="18932"/>
    <cellStyle name="Comma 2 5 16 9" xfId="18933"/>
    <cellStyle name="Comma 2 5 16 9 2" xfId="18934"/>
    <cellStyle name="Comma 2 5 17" xfId="18935"/>
    <cellStyle name="Comma 2 5 17 10" xfId="18936"/>
    <cellStyle name="Comma 2 5 17 10 2" xfId="18937"/>
    <cellStyle name="Comma 2 5 17 11" xfId="18938"/>
    <cellStyle name="Comma 2 5 17 11 2" xfId="18939"/>
    <cellStyle name="Comma 2 5 17 12" xfId="18940"/>
    <cellStyle name="Comma 2 5 17 2" xfId="18941"/>
    <cellStyle name="Comma 2 5 17 2 2" xfId="18942"/>
    <cellStyle name="Comma 2 5 17 3" xfId="18943"/>
    <cellStyle name="Comma 2 5 17 3 2" xfId="18944"/>
    <cellStyle name="Comma 2 5 17 4" xfId="18945"/>
    <cellStyle name="Comma 2 5 17 4 2" xfId="18946"/>
    <cellStyle name="Comma 2 5 17 5" xfId="18947"/>
    <cellStyle name="Comma 2 5 17 5 2" xfId="18948"/>
    <cellStyle name="Comma 2 5 17 6" xfId="18949"/>
    <cellStyle name="Comma 2 5 17 6 2" xfId="18950"/>
    <cellStyle name="Comma 2 5 17 7" xfId="18951"/>
    <cellStyle name="Comma 2 5 17 7 2" xfId="18952"/>
    <cellStyle name="Comma 2 5 17 8" xfId="18953"/>
    <cellStyle name="Comma 2 5 17 8 2" xfId="18954"/>
    <cellStyle name="Comma 2 5 17 9" xfId="18955"/>
    <cellStyle name="Comma 2 5 17 9 2" xfId="18956"/>
    <cellStyle name="Comma 2 5 18" xfId="18957"/>
    <cellStyle name="Comma 2 5 18 10" xfId="18958"/>
    <cellStyle name="Comma 2 5 18 10 2" xfId="18959"/>
    <cellStyle name="Comma 2 5 18 11" xfId="18960"/>
    <cellStyle name="Comma 2 5 18 11 2" xfId="18961"/>
    <cellStyle name="Comma 2 5 18 12" xfId="18962"/>
    <cellStyle name="Comma 2 5 18 2" xfId="18963"/>
    <cellStyle name="Comma 2 5 18 2 2" xfId="18964"/>
    <cellStyle name="Comma 2 5 18 3" xfId="18965"/>
    <cellStyle name="Comma 2 5 18 3 2" xfId="18966"/>
    <cellStyle name="Comma 2 5 18 4" xfId="18967"/>
    <cellStyle name="Comma 2 5 18 4 2" xfId="18968"/>
    <cellStyle name="Comma 2 5 18 5" xfId="18969"/>
    <cellStyle name="Comma 2 5 18 5 2" xfId="18970"/>
    <cellStyle name="Comma 2 5 18 6" xfId="18971"/>
    <cellStyle name="Comma 2 5 18 6 2" xfId="18972"/>
    <cellStyle name="Comma 2 5 18 7" xfId="18973"/>
    <cellStyle name="Comma 2 5 18 7 2" xfId="18974"/>
    <cellStyle name="Comma 2 5 18 8" xfId="18975"/>
    <cellStyle name="Comma 2 5 18 8 2" xfId="18976"/>
    <cellStyle name="Comma 2 5 18 9" xfId="18977"/>
    <cellStyle name="Comma 2 5 18 9 2" xfId="18978"/>
    <cellStyle name="Comma 2 5 19" xfId="18979"/>
    <cellStyle name="Comma 2 5 19 10" xfId="18980"/>
    <cellStyle name="Comma 2 5 19 10 2" xfId="18981"/>
    <cellStyle name="Comma 2 5 19 11" xfId="18982"/>
    <cellStyle name="Comma 2 5 19 11 2" xfId="18983"/>
    <cellStyle name="Comma 2 5 19 12" xfId="18984"/>
    <cellStyle name="Comma 2 5 19 2" xfId="18985"/>
    <cellStyle name="Comma 2 5 19 2 2" xfId="18986"/>
    <cellStyle name="Comma 2 5 19 3" xfId="18987"/>
    <cellStyle name="Comma 2 5 19 3 2" xfId="18988"/>
    <cellStyle name="Comma 2 5 19 4" xfId="18989"/>
    <cellStyle name="Comma 2 5 19 4 2" xfId="18990"/>
    <cellStyle name="Comma 2 5 19 5" xfId="18991"/>
    <cellStyle name="Comma 2 5 19 5 2" xfId="18992"/>
    <cellStyle name="Comma 2 5 19 6" xfId="18993"/>
    <cellStyle name="Comma 2 5 19 6 2" xfId="18994"/>
    <cellStyle name="Comma 2 5 19 7" xfId="18995"/>
    <cellStyle name="Comma 2 5 19 7 2" xfId="18996"/>
    <cellStyle name="Comma 2 5 19 8" xfId="18997"/>
    <cellStyle name="Comma 2 5 19 8 2" xfId="18998"/>
    <cellStyle name="Comma 2 5 19 9" xfId="18999"/>
    <cellStyle name="Comma 2 5 19 9 2" xfId="19000"/>
    <cellStyle name="Comma 2 5 2" xfId="19001"/>
    <cellStyle name="Comma 2 5 2 10" xfId="19002"/>
    <cellStyle name="Comma 2 5 2 10 10" xfId="19003"/>
    <cellStyle name="Comma 2 5 2 10 10 2" xfId="19004"/>
    <cellStyle name="Comma 2 5 2 10 11" xfId="19005"/>
    <cellStyle name="Comma 2 5 2 10 11 2" xfId="19006"/>
    <cellStyle name="Comma 2 5 2 10 12" xfId="19007"/>
    <cellStyle name="Comma 2 5 2 10 2" xfId="19008"/>
    <cellStyle name="Comma 2 5 2 10 2 2" xfId="19009"/>
    <cellStyle name="Comma 2 5 2 10 3" xfId="19010"/>
    <cellStyle name="Comma 2 5 2 10 3 2" xfId="19011"/>
    <cellStyle name="Comma 2 5 2 10 4" xfId="19012"/>
    <cellStyle name="Comma 2 5 2 10 4 2" xfId="19013"/>
    <cellStyle name="Comma 2 5 2 10 5" xfId="19014"/>
    <cellStyle name="Comma 2 5 2 10 5 2" xfId="19015"/>
    <cellStyle name="Comma 2 5 2 10 6" xfId="19016"/>
    <cellStyle name="Comma 2 5 2 10 6 2" xfId="19017"/>
    <cellStyle name="Comma 2 5 2 10 7" xfId="19018"/>
    <cellStyle name="Comma 2 5 2 10 7 2" xfId="19019"/>
    <cellStyle name="Comma 2 5 2 10 8" xfId="19020"/>
    <cellStyle name="Comma 2 5 2 10 8 2" xfId="19021"/>
    <cellStyle name="Comma 2 5 2 10 9" xfId="19022"/>
    <cellStyle name="Comma 2 5 2 10 9 2" xfId="19023"/>
    <cellStyle name="Comma 2 5 2 11" xfId="19024"/>
    <cellStyle name="Comma 2 5 2 11 10" xfId="19025"/>
    <cellStyle name="Comma 2 5 2 11 10 2" xfId="19026"/>
    <cellStyle name="Comma 2 5 2 11 11" xfId="19027"/>
    <cellStyle name="Comma 2 5 2 11 11 2" xfId="19028"/>
    <cellStyle name="Comma 2 5 2 11 12" xfId="19029"/>
    <cellStyle name="Comma 2 5 2 11 2" xfId="19030"/>
    <cellStyle name="Comma 2 5 2 11 2 2" xfId="19031"/>
    <cellStyle name="Comma 2 5 2 11 3" xfId="19032"/>
    <cellStyle name="Comma 2 5 2 11 3 2" xfId="19033"/>
    <cellStyle name="Comma 2 5 2 11 4" xfId="19034"/>
    <cellStyle name="Comma 2 5 2 11 4 2" xfId="19035"/>
    <cellStyle name="Comma 2 5 2 11 5" xfId="19036"/>
    <cellStyle name="Comma 2 5 2 11 5 2" xfId="19037"/>
    <cellStyle name="Comma 2 5 2 11 6" xfId="19038"/>
    <cellStyle name="Comma 2 5 2 11 6 2" xfId="19039"/>
    <cellStyle name="Comma 2 5 2 11 7" xfId="19040"/>
    <cellStyle name="Comma 2 5 2 11 7 2" xfId="19041"/>
    <cellStyle name="Comma 2 5 2 11 8" xfId="19042"/>
    <cellStyle name="Comma 2 5 2 11 8 2" xfId="19043"/>
    <cellStyle name="Comma 2 5 2 11 9" xfId="19044"/>
    <cellStyle name="Comma 2 5 2 11 9 2" xfId="19045"/>
    <cellStyle name="Comma 2 5 2 12" xfId="19046"/>
    <cellStyle name="Comma 2 5 2 12 10" xfId="19047"/>
    <cellStyle name="Comma 2 5 2 12 10 2" xfId="19048"/>
    <cellStyle name="Comma 2 5 2 12 11" xfId="19049"/>
    <cellStyle name="Comma 2 5 2 12 11 2" xfId="19050"/>
    <cellStyle name="Comma 2 5 2 12 12" xfId="19051"/>
    <cellStyle name="Comma 2 5 2 12 2" xfId="19052"/>
    <cellStyle name="Comma 2 5 2 12 2 2" xfId="19053"/>
    <cellStyle name="Comma 2 5 2 12 3" xfId="19054"/>
    <cellStyle name="Comma 2 5 2 12 3 2" xfId="19055"/>
    <cellStyle name="Comma 2 5 2 12 4" xfId="19056"/>
    <cellStyle name="Comma 2 5 2 12 4 2" xfId="19057"/>
    <cellStyle name="Comma 2 5 2 12 5" xfId="19058"/>
    <cellStyle name="Comma 2 5 2 12 5 2" xfId="19059"/>
    <cellStyle name="Comma 2 5 2 12 6" xfId="19060"/>
    <cellStyle name="Comma 2 5 2 12 6 2" xfId="19061"/>
    <cellStyle name="Comma 2 5 2 12 7" xfId="19062"/>
    <cellStyle name="Comma 2 5 2 12 7 2" xfId="19063"/>
    <cellStyle name="Comma 2 5 2 12 8" xfId="19064"/>
    <cellStyle name="Comma 2 5 2 12 8 2" xfId="19065"/>
    <cellStyle name="Comma 2 5 2 12 9" xfId="19066"/>
    <cellStyle name="Comma 2 5 2 12 9 2" xfId="19067"/>
    <cellStyle name="Comma 2 5 2 13" xfId="19068"/>
    <cellStyle name="Comma 2 5 2 13 10" xfId="19069"/>
    <cellStyle name="Comma 2 5 2 13 10 2" xfId="19070"/>
    <cellStyle name="Comma 2 5 2 13 11" xfId="19071"/>
    <cellStyle name="Comma 2 5 2 13 11 2" xfId="19072"/>
    <cellStyle name="Comma 2 5 2 13 12" xfId="19073"/>
    <cellStyle name="Comma 2 5 2 13 2" xfId="19074"/>
    <cellStyle name="Comma 2 5 2 13 2 2" xfId="19075"/>
    <cellStyle name="Comma 2 5 2 13 3" xfId="19076"/>
    <cellStyle name="Comma 2 5 2 13 3 2" xfId="19077"/>
    <cellStyle name="Comma 2 5 2 13 4" xfId="19078"/>
    <cellStyle name="Comma 2 5 2 13 4 2" xfId="19079"/>
    <cellStyle name="Comma 2 5 2 13 5" xfId="19080"/>
    <cellStyle name="Comma 2 5 2 13 5 2" xfId="19081"/>
    <cellStyle name="Comma 2 5 2 13 6" xfId="19082"/>
    <cellStyle name="Comma 2 5 2 13 6 2" xfId="19083"/>
    <cellStyle name="Comma 2 5 2 13 7" xfId="19084"/>
    <cellStyle name="Comma 2 5 2 13 7 2" xfId="19085"/>
    <cellStyle name="Comma 2 5 2 13 8" xfId="19086"/>
    <cellStyle name="Comma 2 5 2 13 8 2" xfId="19087"/>
    <cellStyle name="Comma 2 5 2 13 9" xfId="19088"/>
    <cellStyle name="Comma 2 5 2 13 9 2" xfId="19089"/>
    <cellStyle name="Comma 2 5 2 14" xfId="19090"/>
    <cellStyle name="Comma 2 5 2 14 10" xfId="19091"/>
    <cellStyle name="Comma 2 5 2 14 10 2" xfId="19092"/>
    <cellStyle name="Comma 2 5 2 14 11" xfId="19093"/>
    <cellStyle name="Comma 2 5 2 14 11 2" xfId="19094"/>
    <cellStyle name="Comma 2 5 2 14 12" xfId="19095"/>
    <cellStyle name="Comma 2 5 2 14 2" xfId="19096"/>
    <cellStyle name="Comma 2 5 2 14 2 2" xfId="19097"/>
    <cellStyle name="Comma 2 5 2 14 3" xfId="19098"/>
    <cellStyle name="Comma 2 5 2 14 3 2" xfId="19099"/>
    <cellStyle name="Comma 2 5 2 14 4" xfId="19100"/>
    <cellStyle name="Comma 2 5 2 14 4 2" xfId="19101"/>
    <cellStyle name="Comma 2 5 2 14 5" xfId="19102"/>
    <cellStyle name="Comma 2 5 2 14 5 2" xfId="19103"/>
    <cellStyle name="Comma 2 5 2 14 6" xfId="19104"/>
    <cellStyle name="Comma 2 5 2 14 6 2" xfId="19105"/>
    <cellStyle name="Comma 2 5 2 14 7" xfId="19106"/>
    <cellStyle name="Comma 2 5 2 14 7 2" xfId="19107"/>
    <cellStyle name="Comma 2 5 2 14 8" xfId="19108"/>
    <cellStyle name="Comma 2 5 2 14 8 2" xfId="19109"/>
    <cellStyle name="Comma 2 5 2 14 9" xfId="19110"/>
    <cellStyle name="Comma 2 5 2 14 9 2" xfId="19111"/>
    <cellStyle name="Comma 2 5 2 15" xfId="19112"/>
    <cellStyle name="Comma 2 5 2 15 10" xfId="19113"/>
    <cellStyle name="Comma 2 5 2 15 10 2" xfId="19114"/>
    <cellStyle name="Comma 2 5 2 15 11" xfId="19115"/>
    <cellStyle name="Comma 2 5 2 15 11 2" xfId="19116"/>
    <cellStyle name="Comma 2 5 2 15 12" xfId="19117"/>
    <cellStyle name="Comma 2 5 2 15 2" xfId="19118"/>
    <cellStyle name="Comma 2 5 2 15 2 2" xfId="19119"/>
    <cellStyle name="Comma 2 5 2 15 3" xfId="19120"/>
    <cellStyle name="Comma 2 5 2 15 3 2" xfId="19121"/>
    <cellStyle name="Comma 2 5 2 15 4" xfId="19122"/>
    <cellStyle name="Comma 2 5 2 15 4 2" xfId="19123"/>
    <cellStyle name="Comma 2 5 2 15 5" xfId="19124"/>
    <cellStyle name="Comma 2 5 2 15 5 2" xfId="19125"/>
    <cellStyle name="Comma 2 5 2 15 6" xfId="19126"/>
    <cellStyle name="Comma 2 5 2 15 6 2" xfId="19127"/>
    <cellStyle name="Comma 2 5 2 15 7" xfId="19128"/>
    <cellStyle name="Comma 2 5 2 15 7 2" xfId="19129"/>
    <cellStyle name="Comma 2 5 2 15 8" xfId="19130"/>
    <cellStyle name="Comma 2 5 2 15 8 2" xfId="19131"/>
    <cellStyle name="Comma 2 5 2 15 9" xfId="19132"/>
    <cellStyle name="Comma 2 5 2 15 9 2" xfId="19133"/>
    <cellStyle name="Comma 2 5 2 16" xfId="19134"/>
    <cellStyle name="Comma 2 5 2 16 10" xfId="19135"/>
    <cellStyle name="Comma 2 5 2 16 10 2" xfId="19136"/>
    <cellStyle name="Comma 2 5 2 16 11" xfId="19137"/>
    <cellStyle name="Comma 2 5 2 16 11 2" xfId="19138"/>
    <cellStyle name="Comma 2 5 2 16 12" xfId="19139"/>
    <cellStyle name="Comma 2 5 2 16 2" xfId="19140"/>
    <cellStyle name="Comma 2 5 2 16 2 2" xfId="19141"/>
    <cellStyle name="Comma 2 5 2 16 3" xfId="19142"/>
    <cellStyle name="Comma 2 5 2 16 3 2" xfId="19143"/>
    <cellStyle name="Comma 2 5 2 16 4" xfId="19144"/>
    <cellStyle name="Comma 2 5 2 16 4 2" xfId="19145"/>
    <cellStyle name="Comma 2 5 2 16 5" xfId="19146"/>
    <cellStyle name="Comma 2 5 2 16 5 2" xfId="19147"/>
    <cellStyle name="Comma 2 5 2 16 6" xfId="19148"/>
    <cellStyle name="Comma 2 5 2 16 6 2" xfId="19149"/>
    <cellStyle name="Comma 2 5 2 16 7" xfId="19150"/>
    <cellStyle name="Comma 2 5 2 16 7 2" xfId="19151"/>
    <cellStyle name="Comma 2 5 2 16 8" xfId="19152"/>
    <cellStyle name="Comma 2 5 2 16 8 2" xfId="19153"/>
    <cellStyle name="Comma 2 5 2 16 9" xfId="19154"/>
    <cellStyle name="Comma 2 5 2 16 9 2" xfId="19155"/>
    <cellStyle name="Comma 2 5 2 17" xfId="19156"/>
    <cellStyle name="Comma 2 5 2 17 10" xfId="19157"/>
    <cellStyle name="Comma 2 5 2 17 10 2" xfId="19158"/>
    <cellStyle name="Comma 2 5 2 17 11" xfId="19159"/>
    <cellStyle name="Comma 2 5 2 17 11 2" xfId="19160"/>
    <cellStyle name="Comma 2 5 2 17 12" xfId="19161"/>
    <cellStyle name="Comma 2 5 2 17 2" xfId="19162"/>
    <cellStyle name="Comma 2 5 2 17 2 2" xfId="19163"/>
    <cellStyle name="Comma 2 5 2 17 3" xfId="19164"/>
    <cellStyle name="Comma 2 5 2 17 3 2" xfId="19165"/>
    <cellStyle name="Comma 2 5 2 17 4" xfId="19166"/>
    <cellStyle name="Comma 2 5 2 17 4 2" xfId="19167"/>
    <cellStyle name="Comma 2 5 2 17 5" xfId="19168"/>
    <cellStyle name="Comma 2 5 2 17 5 2" xfId="19169"/>
    <cellStyle name="Comma 2 5 2 17 6" xfId="19170"/>
    <cellStyle name="Comma 2 5 2 17 6 2" xfId="19171"/>
    <cellStyle name="Comma 2 5 2 17 7" xfId="19172"/>
    <cellStyle name="Comma 2 5 2 17 7 2" xfId="19173"/>
    <cellStyle name="Comma 2 5 2 17 8" xfId="19174"/>
    <cellStyle name="Comma 2 5 2 17 8 2" xfId="19175"/>
    <cellStyle name="Comma 2 5 2 17 9" xfId="19176"/>
    <cellStyle name="Comma 2 5 2 17 9 2" xfId="19177"/>
    <cellStyle name="Comma 2 5 2 18" xfId="19178"/>
    <cellStyle name="Comma 2 5 2 18 10" xfId="19179"/>
    <cellStyle name="Comma 2 5 2 18 10 2" xfId="19180"/>
    <cellStyle name="Comma 2 5 2 18 11" xfId="19181"/>
    <cellStyle name="Comma 2 5 2 18 11 2" xfId="19182"/>
    <cellStyle name="Comma 2 5 2 18 12" xfId="19183"/>
    <cellStyle name="Comma 2 5 2 18 2" xfId="19184"/>
    <cellStyle name="Comma 2 5 2 18 2 2" xfId="19185"/>
    <cellStyle name="Comma 2 5 2 18 3" xfId="19186"/>
    <cellStyle name="Comma 2 5 2 18 3 2" xfId="19187"/>
    <cellStyle name="Comma 2 5 2 18 4" xfId="19188"/>
    <cellStyle name="Comma 2 5 2 18 4 2" xfId="19189"/>
    <cellStyle name="Comma 2 5 2 18 5" xfId="19190"/>
    <cellStyle name="Comma 2 5 2 18 5 2" xfId="19191"/>
    <cellStyle name="Comma 2 5 2 18 6" xfId="19192"/>
    <cellStyle name="Comma 2 5 2 18 6 2" xfId="19193"/>
    <cellStyle name="Comma 2 5 2 18 7" xfId="19194"/>
    <cellStyle name="Comma 2 5 2 18 7 2" xfId="19195"/>
    <cellStyle name="Comma 2 5 2 18 8" xfId="19196"/>
    <cellStyle name="Comma 2 5 2 18 8 2" xfId="19197"/>
    <cellStyle name="Comma 2 5 2 18 9" xfId="19198"/>
    <cellStyle name="Comma 2 5 2 18 9 2" xfId="19199"/>
    <cellStyle name="Comma 2 5 2 19" xfId="19200"/>
    <cellStyle name="Comma 2 5 2 19 10" xfId="19201"/>
    <cellStyle name="Comma 2 5 2 19 10 2" xfId="19202"/>
    <cellStyle name="Comma 2 5 2 19 11" xfId="19203"/>
    <cellStyle name="Comma 2 5 2 19 11 2" xfId="19204"/>
    <cellStyle name="Comma 2 5 2 19 12" xfId="19205"/>
    <cellStyle name="Comma 2 5 2 19 2" xfId="19206"/>
    <cellStyle name="Comma 2 5 2 19 2 2" xfId="19207"/>
    <cellStyle name="Comma 2 5 2 19 3" xfId="19208"/>
    <cellStyle name="Comma 2 5 2 19 3 2" xfId="19209"/>
    <cellStyle name="Comma 2 5 2 19 4" xfId="19210"/>
    <cellStyle name="Comma 2 5 2 19 4 2" xfId="19211"/>
    <cellStyle name="Comma 2 5 2 19 5" xfId="19212"/>
    <cellStyle name="Comma 2 5 2 19 5 2" xfId="19213"/>
    <cellStyle name="Comma 2 5 2 19 6" xfId="19214"/>
    <cellStyle name="Comma 2 5 2 19 6 2" xfId="19215"/>
    <cellStyle name="Comma 2 5 2 19 7" xfId="19216"/>
    <cellStyle name="Comma 2 5 2 19 7 2" xfId="19217"/>
    <cellStyle name="Comma 2 5 2 19 8" xfId="19218"/>
    <cellStyle name="Comma 2 5 2 19 8 2" xfId="19219"/>
    <cellStyle name="Comma 2 5 2 19 9" xfId="19220"/>
    <cellStyle name="Comma 2 5 2 19 9 2" xfId="19221"/>
    <cellStyle name="Comma 2 5 2 2" xfId="19222"/>
    <cellStyle name="Comma 2 5 2 2 10" xfId="19223"/>
    <cellStyle name="Comma 2 5 2 2 10 2" xfId="19224"/>
    <cellStyle name="Comma 2 5 2 2 11" xfId="19225"/>
    <cellStyle name="Comma 2 5 2 2 11 2" xfId="19226"/>
    <cellStyle name="Comma 2 5 2 2 12" xfId="19227"/>
    <cellStyle name="Comma 2 5 2 2 2" xfId="19228"/>
    <cellStyle name="Comma 2 5 2 2 2 2" xfId="19229"/>
    <cellStyle name="Comma 2 5 2 2 3" xfId="19230"/>
    <cellStyle name="Comma 2 5 2 2 3 2" xfId="19231"/>
    <cellStyle name="Comma 2 5 2 2 4" xfId="19232"/>
    <cellStyle name="Comma 2 5 2 2 4 2" xfId="19233"/>
    <cellStyle name="Comma 2 5 2 2 5" xfId="19234"/>
    <cellStyle name="Comma 2 5 2 2 5 2" xfId="19235"/>
    <cellStyle name="Comma 2 5 2 2 6" xfId="19236"/>
    <cellStyle name="Comma 2 5 2 2 6 2" xfId="19237"/>
    <cellStyle name="Comma 2 5 2 2 7" xfId="19238"/>
    <cellStyle name="Comma 2 5 2 2 7 2" xfId="19239"/>
    <cellStyle name="Comma 2 5 2 2 8" xfId="19240"/>
    <cellStyle name="Comma 2 5 2 2 8 2" xfId="19241"/>
    <cellStyle name="Comma 2 5 2 2 9" xfId="19242"/>
    <cellStyle name="Comma 2 5 2 2 9 2" xfId="19243"/>
    <cellStyle name="Comma 2 5 2 20" xfId="19244"/>
    <cellStyle name="Comma 2 5 2 20 10" xfId="19245"/>
    <cellStyle name="Comma 2 5 2 20 10 2" xfId="19246"/>
    <cellStyle name="Comma 2 5 2 20 11" xfId="19247"/>
    <cellStyle name="Comma 2 5 2 20 11 2" xfId="19248"/>
    <cellStyle name="Comma 2 5 2 20 12" xfId="19249"/>
    <cellStyle name="Comma 2 5 2 20 2" xfId="19250"/>
    <cellStyle name="Comma 2 5 2 20 2 2" xfId="19251"/>
    <cellStyle name="Comma 2 5 2 20 3" xfId="19252"/>
    <cellStyle name="Comma 2 5 2 20 3 2" xfId="19253"/>
    <cellStyle name="Comma 2 5 2 20 4" xfId="19254"/>
    <cellStyle name="Comma 2 5 2 20 4 2" xfId="19255"/>
    <cellStyle name="Comma 2 5 2 20 5" xfId="19256"/>
    <cellStyle name="Comma 2 5 2 20 5 2" xfId="19257"/>
    <cellStyle name="Comma 2 5 2 20 6" xfId="19258"/>
    <cellStyle name="Comma 2 5 2 20 6 2" xfId="19259"/>
    <cellStyle name="Comma 2 5 2 20 7" xfId="19260"/>
    <cellStyle name="Comma 2 5 2 20 7 2" xfId="19261"/>
    <cellStyle name="Comma 2 5 2 20 8" xfId="19262"/>
    <cellStyle name="Comma 2 5 2 20 8 2" xfId="19263"/>
    <cellStyle name="Comma 2 5 2 20 9" xfId="19264"/>
    <cellStyle name="Comma 2 5 2 20 9 2" xfId="19265"/>
    <cellStyle name="Comma 2 5 2 21" xfId="19266"/>
    <cellStyle name="Comma 2 5 2 21 10" xfId="19267"/>
    <cellStyle name="Comma 2 5 2 21 10 2" xfId="19268"/>
    <cellStyle name="Comma 2 5 2 21 11" xfId="19269"/>
    <cellStyle name="Comma 2 5 2 21 11 2" xfId="19270"/>
    <cellStyle name="Comma 2 5 2 21 12" xfId="19271"/>
    <cellStyle name="Comma 2 5 2 21 2" xfId="19272"/>
    <cellStyle name="Comma 2 5 2 21 2 2" xfId="19273"/>
    <cellStyle name="Comma 2 5 2 21 3" xfId="19274"/>
    <cellStyle name="Comma 2 5 2 21 3 2" xfId="19275"/>
    <cellStyle name="Comma 2 5 2 21 4" xfId="19276"/>
    <cellStyle name="Comma 2 5 2 21 4 2" xfId="19277"/>
    <cellStyle name="Comma 2 5 2 21 5" xfId="19278"/>
    <cellStyle name="Comma 2 5 2 21 5 2" xfId="19279"/>
    <cellStyle name="Comma 2 5 2 21 6" xfId="19280"/>
    <cellStyle name="Comma 2 5 2 21 6 2" xfId="19281"/>
    <cellStyle name="Comma 2 5 2 21 7" xfId="19282"/>
    <cellStyle name="Comma 2 5 2 21 7 2" xfId="19283"/>
    <cellStyle name="Comma 2 5 2 21 8" xfId="19284"/>
    <cellStyle name="Comma 2 5 2 21 8 2" xfId="19285"/>
    <cellStyle name="Comma 2 5 2 21 9" xfId="19286"/>
    <cellStyle name="Comma 2 5 2 21 9 2" xfId="19287"/>
    <cellStyle name="Comma 2 5 2 22" xfId="19288"/>
    <cellStyle name="Comma 2 5 2 22 10" xfId="19289"/>
    <cellStyle name="Comma 2 5 2 22 10 2" xfId="19290"/>
    <cellStyle name="Comma 2 5 2 22 11" xfId="19291"/>
    <cellStyle name="Comma 2 5 2 22 11 2" xfId="19292"/>
    <cellStyle name="Comma 2 5 2 22 12" xfId="19293"/>
    <cellStyle name="Comma 2 5 2 22 2" xfId="19294"/>
    <cellStyle name="Comma 2 5 2 22 2 2" xfId="19295"/>
    <cellStyle name="Comma 2 5 2 22 3" xfId="19296"/>
    <cellStyle name="Comma 2 5 2 22 3 2" xfId="19297"/>
    <cellStyle name="Comma 2 5 2 22 4" xfId="19298"/>
    <cellStyle name="Comma 2 5 2 22 4 2" xfId="19299"/>
    <cellStyle name="Comma 2 5 2 22 5" xfId="19300"/>
    <cellStyle name="Comma 2 5 2 22 5 2" xfId="19301"/>
    <cellStyle name="Comma 2 5 2 22 6" xfId="19302"/>
    <cellStyle name="Comma 2 5 2 22 6 2" xfId="19303"/>
    <cellStyle name="Comma 2 5 2 22 7" xfId="19304"/>
    <cellStyle name="Comma 2 5 2 22 7 2" xfId="19305"/>
    <cellStyle name="Comma 2 5 2 22 8" xfId="19306"/>
    <cellStyle name="Comma 2 5 2 22 8 2" xfId="19307"/>
    <cellStyle name="Comma 2 5 2 22 9" xfId="19308"/>
    <cellStyle name="Comma 2 5 2 22 9 2" xfId="19309"/>
    <cellStyle name="Comma 2 5 2 23" xfId="19310"/>
    <cellStyle name="Comma 2 5 2 23 10" xfId="19311"/>
    <cellStyle name="Comma 2 5 2 23 10 2" xfId="19312"/>
    <cellStyle name="Comma 2 5 2 23 11" xfId="19313"/>
    <cellStyle name="Comma 2 5 2 23 11 2" xfId="19314"/>
    <cellStyle name="Comma 2 5 2 23 12" xfId="19315"/>
    <cellStyle name="Comma 2 5 2 23 2" xfId="19316"/>
    <cellStyle name="Comma 2 5 2 23 2 2" xfId="19317"/>
    <cellStyle name="Comma 2 5 2 23 3" xfId="19318"/>
    <cellStyle name="Comma 2 5 2 23 3 2" xfId="19319"/>
    <cellStyle name="Comma 2 5 2 23 4" xfId="19320"/>
    <cellStyle name="Comma 2 5 2 23 4 2" xfId="19321"/>
    <cellStyle name="Comma 2 5 2 23 5" xfId="19322"/>
    <cellStyle name="Comma 2 5 2 23 5 2" xfId="19323"/>
    <cellStyle name="Comma 2 5 2 23 6" xfId="19324"/>
    <cellStyle name="Comma 2 5 2 23 6 2" xfId="19325"/>
    <cellStyle name="Comma 2 5 2 23 7" xfId="19326"/>
    <cellStyle name="Comma 2 5 2 23 7 2" xfId="19327"/>
    <cellStyle name="Comma 2 5 2 23 8" xfId="19328"/>
    <cellStyle name="Comma 2 5 2 23 8 2" xfId="19329"/>
    <cellStyle name="Comma 2 5 2 23 9" xfId="19330"/>
    <cellStyle name="Comma 2 5 2 23 9 2" xfId="19331"/>
    <cellStyle name="Comma 2 5 2 24" xfId="19332"/>
    <cellStyle name="Comma 2 5 2 24 10" xfId="19333"/>
    <cellStyle name="Comma 2 5 2 24 10 2" xfId="19334"/>
    <cellStyle name="Comma 2 5 2 24 11" xfId="19335"/>
    <cellStyle name="Comma 2 5 2 24 11 2" xfId="19336"/>
    <cellStyle name="Comma 2 5 2 24 12" xfId="19337"/>
    <cellStyle name="Comma 2 5 2 24 2" xfId="19338"/>
    <cellStyle name="Comma 2 5 2 24 2 2" xfId="19339"/>
    <cellStyle name="Comma 2 5 2 24 3" xfId="19340"/>
    <cellStyle name="Comma 2 5 2 24 3 2" xfId="19341"/>
    <cellStyle name="Comma 2 5 2 24 4" xfId="19342"/>
    <cellStyle name="Comma 2 5 2 24 4 2" xfId="19343"/>
    <cellStyle name="Comma 2 5 2 24 5" xfId="19344"/>
    <cellStyle name="Comma 2 5 2 24 5 2" xfId="19345"/>
    <cellStyle name="Comma 2 5 2 24 6" xfId="19346"/>
    <cellStyle name="Comma 2 5 2 24 6 2" xfId="19347"/>
    <cellStyle name="Comma 2 5 2 24 7" xfId="19348"/>
    <cellStyle name="Comma 2 5 2 24 7 2" xfId="19349"/>
    <cellStyle name="Comma 2 5 2 24 8" xfId="19350"/>
    <cellStyle name="Comma 2 5 2 24 8 2" xfId="19351"/>
    <cellStyle name="Comma 2 5 2 24 9" xfId="19352"/>
    <cellStyle name="Comma 2 5 2 24 9 2" xfId="19353"/>
    <cellStyle name="Comma 2 5 2 25" xfId="19354"/>
    <cellStyle name="Comma 2 5 2 25 10" xfId="19355"/>
    <cellStyle name="Comma 2 5 2 25 10 2" xfId="19356"/>
    <cellStyle name="Comma 2 5 2 25 11" xfId="19357"/>
    <cellStyle name="Comma 2 5 2 25 11 2" xfId="19358"/>
    <cellStyle name="Comma 2 5 2 25 12" xfId="19359"/>
    <cellStyle name="Comma 2 5 2 25 2" xfId="19360"/>
    <cellStyle name="Comma 2 5 2 25 2 2" xfId="19361"/>
    <cellStyle name="Comma 2 5 2 25 3" xfId="19362"/>
    <cellStyle name="Comma 2 5 2 25 3 2" xfId="19363"/>
    <cellStyle name="Comma 2 5 2 25 4" xfId="19364"/>
    <cellStyle name="Comma 2 5 2 25 4 2" xfId="19365"/>
    <cellStyle name="Comma 2 5 2 25 5" xfId="19366"/>
    <cellStyle name="Comma 2 5 2 25 5 2" xfId="19367"/>
    <cellStyle name="Comma 2 5 2 25 6" xfId="19368"/>
    <cellStyle name="Comma 2 5 2 25 6 2" xfId="19369"/>
    <cellStyle name="Comma 2 5 2 25 7" xfId="19370"/>
    <cellStyle name="Comma 2 5 2 25 7 2" xfId="19371"/>
    <cellStyle name="Comma 2 5 2 25 8" xfId="19372"/>
    <cellStyle name="Comma 2 5 2 25 8 2" xfId="19373"/>
    <cellStyle name="Comma 2 5 2 25 9" xfId="19374"/>
    <cellStyle name="Comma 2 5 2 25 9 2" xfId="19375"/>
    <cellStyle name="Comma 2 5 2 26" xfId="19376"/>
    <cellStyle name="Comma 2 5 2 26 10" xfId="19377"/>
    <cellStyle name="Comma 2 5 2 26 10 2" xfId="19378"/>
    <cellStyle name="Comma 2 5 2 26 11" xfId="19379"/>
    <cellStyle name="Comma 2 5 2 26 11 2" xfId="19380"/>
    <cellStyle name="Comma 2 5 2 26 12" xfId="19381"/>
    <cellStyle name="Comma 2 5 2 26 2" xfId="19382"/>
    <cellStyle name="Comma 2 5 2 26 2 2" xfId="19383"/>
    <cellStyle name="Comma 2 5 2 26 3" xfId="19384"/>
    <cellStyle name="Comma 2 5 2 26 3 2" xfId="19385"/>
    <cellStyle name="Comma 2 5 2 26 4" xfId="19386"/>
    <cellStyle name="Comma 2 5 2 26 4 2" xfId="19387"/>
    <cellStyle name="Comma 2 5 2 26 5" xfId="19388"/>
    <cellStyle name="Comma 2 5 2 26 5 2" xfId="19389"/>
    <cellStyle name="Comma 2 5 2 26 6" xfId="19390"/>
    <cellStyle name="Comma 2 5 2 26 6 2" xfId="19391"/>
    <cellStyle name="Comma 2 5 2 26 7" xfId="19392"/>
    <cellStyle name="Comma 2 5 2 26 7 2" xfId="19393"/>
    <cellStyle name="Comma 2 5 2 26 8" xfId="19394"/>
    <cellStyle name="Comma 2 5 2 26 8 2" xfId="19395"/>
    <cellStyle name="Comma 2 5 2 26 9" xfId="19396"/>
    <cellStyle name="Comma 2 5 2 26 9 2" xfId="19397"/>
    <cellStyle name="Comma 2 5 2 27" xfId="19398"/>
    <cellStyle name="Comma 2 5 2 27 10" xfId="19399"/>
    <cellStyle name="Comma 2 5 2 27 10 2" xfId="19400"/>
    <cellStyle name="Comma 2 5 2 27 11" xfId="19401"/>
    <cellStyle name="Comma 2 5 2 27 11 2" xfId="19402"/>
    <cellStyle name="Comma 2 5 2 27 12" xfId="19403"/>
    <cellStyle name="Comma 2 5 2 27 2" xfId="19404"/>
    <cellStyle name="Comma 2 5 2 27 2 2" xfId="19405"/>
    <cellStyle name="Comma 2 5 2 27 3" xfId="19406"/>
    <cellStyle name="Comma 2 5 2 27 3 2" xfId="19407"/>
    <cellStyle name="Comma 2 5 2 27 4" xfId="19408"/>
    <cellStyle name="Comma 2 5 2 27 4 2" xfId="19409"/>
    <cellStyle name="Comma 2 5 2 27 5" xfId="19410"/>
    <cellStyle name="Comma 2 5 2 27 5 2" xfId="19411"/>
    <cellStyle name="Comma 2 5 2 27 6" xfId="19412"/>
    <cellStyle name="Comma 2 5 2 27 6 2" xfId="19413"/>
    <cellStyle name="Comma 2 5 2 27 7" xfId="19414"/>
    <cellStyle name="Comma 2 5 2 27 7 2" xfId="19415"/>
    <cellStyle name="Comma 2 5 2 27 8" xfId="19416"/>
    <cellStyle name="Comma 2 5 2 27 8 2" xfId="19417"/>
    <cellStyle name="Comma 2 5 2 27 9" xfId="19418"/>
    <cellStyle name="Comma 2 5 2 27 9 2" xfId="19419"/>
    <cellStyle name="Comma 2 5 2 28" xfId="19420"/>
    <cellStyle name="Comma 2 5 2 28 10" xfId="19421"/>
    <cellStyle name="Comma 2 5 2 28 10 2" xfId="19422"/>
    <cellStyle name="Comma 2 5 2 28 11" xfId="19423"/>
    <cellStyle name="Comma 2 5 2 28 11 2" xfId="19424"/>
    <cellStyle name="Comma 2 5 2 28 12" xfId="19425"/>
    <cellStyle name="Comma 2 5 2 28 2" xfId="19426"/>
    <cellStyle name="Comma 2 5 2 28 2 2" xfId="19427"/>
    <cellStyle name="Comma 2 5 2 28 3" xfId="19428"/>
    <cellStyle name="Comma 2 5 2 28 3 2" xfId="19429"/>
    <cellStyle name="Comma 2 5 2 28 4" xfId="19430"/>
    <cellStyle name="Comma 2 5 2 28 4 2" xfId="19431"/>
    <cellStyle name="Comma 2 5 2 28 5" xfId="19432"/>
    <cellStyle name="Comma 2 5 2 28 5 2" xfId="19433"/>
    <cellStyle name="Comma 2 5 2 28 6" xfId="19434"/>
    <cellStyle name="Comma 2 5 2 28 6 2" xfId="19435"/>
    <cellStyle name="Comma 2 5 2 28 7" xfId="19436"/>
    <cellStyle name="Comma 2 5 2 28 7 2" xfId="19437"/>
    <cellStyle name="Comma 2 5 2 28 8" xfId="19438"/>
    <cellStyle name="Comma 2 5 2 28 8 2" xfId="19439"/>
    <cellStyle name="Comma 2 5 2 28 9" xfId="19440"/>
    <cellStyle name="Comma 2 5 2 28 9 2" xfId="19441"/>
    <cellStyle name="Comma 2 5 2 29" xfId="19442"/>
    <cellStyle name="Comma 2 5 2 29 10" xfId="19443"/>
    <cellStyle name="Comma 2 5 2 29 10 2" xfId="19444"/>
    <cellStyle name="Comma 2 5 2 29 11" xfId="19445"/>
    <cellStyle name="Comma 2 5 2 29 11 2" xfId="19446"/>
    <cellStyle name="Comma 2 5 2 29 12" xfId="19447"/>
    <cellStyle name="Comma 2 5 2 29 2" xfId="19448"/>
    <cellStyle name="Comma 2 5 2 29 2 2" xfId="19449"/>
    <cellStyle name="Comma 2 5 2 29 3" xfId="19450"/>
    <cellStyle name="Comma 2 5 2 29 3 2" xfId="19451"/>
    <cellStyle name="Comma 2 5 2 29 4" xfId="19452"/>
    <cellStyle name="Comma 2 5 2 29 4 2" xfId="19453"/>
    <cellStyle name="Comma 2 5 2 29 5" xfId="19454"/>
    <cellStyle name="Comma 2 5 2 29 5 2" xfId="19455"/>
    <cellStyle name="Comma 2 5 2 29 6" xfId="19456"/>
    <cellStyle name="Comma 2 5 2 29 6 2" xfId="19457"/>
    <cellStyle name="Comma 2 5 2 29 7" xfId="19458"/>
    <cellStyle name="Comma 2 5 2 29 7 2" xfId="19459"/>
    <cellStyle name="Comma 2 5 2 29 8" xfId="19460"/>
    <cellStyle name="Comma 2 5 2 29 8 2" xfId="19461"/>
    <cellStyle name="Comma 2 5 2 29 9" xfId="19462"/>
    <cellStyle name="Comma 2 5 2 29 9 2" xfId="19463"/>
    <cellStyle name="Comma 2 5 2 3" xfId="19464"/>
    <cellStyle name="Comma 2 5 2 3 10" xfId="19465"/>
    <cellStyle name="Comma 2 5 2 3 10 2" xfId="19466"/>
    <cellStyle name="Comma 2 5 2 3 11" xfId="19467"/>
    <cellStyle name="Comma 2 5 2 3 11 2" xfId="19468"/>
    <cellStyle name="Comma 2 5 2 3 12" xfId="19469"/>
    <cellStyle name="Comma 2 5 2 3 2" xfId="19470"/>
    <cellStyle name="Comma 2 5 2 3 2 2" xfId="19471"/>
    <cellStyle name="Comma 2 5 2 3 3" xfId="19472"/>
    <cellStyle name="Comma 2 5 2 3 3 2" xfId="19473"/>
    <cellStyle name="Comma 2 5 2 3 4" xfId="19474"/>
    <cellStyle name="Comma 2 5 2 3 4 2" xfId="19475"/>
    <cellStyle name="Comma 2 5 2 3 5" xfId="19476"/>
    <cellStyle name="Comma 2 5 2 3 5 2" xfId="19477"/>
    <cellStyle name="Comma 2 5 2 3 6" xfId="19478"/>
    <cellStyle name="Comma 2 5 2 3 6 2" xfId="19479"/>
    <cellStyle name="Comma 2 5 2 3 7" xfId="19480"/>
    <cellStyle name="Comma 2 5 2 3 7 2" xfId="19481"/>
    <cellStyle name="Comma 2 5 2 3 8" xfId="19482"/>
    <cellStyle name="Comma 2 5 2 3 8 2" xfId="19483"/>
    <cellStyle name="Comma 2 5 2 3 9" xfId="19484"/>
    <cellStyle name="Comma 2 5 2 3 9 2" xfId="19485"/>
    <cellStyle name="Comma 2 5 2 30" xfId="19486"/>
    <cellStyle name="Comma 2 5 2 30 10" xfId="19487"/>
    <cellStyle name="Comma 2 5 2 30 10 2" xfId="19488"/>
    <cellStyle name="Comma 2 5 2 30 11" xfId="19489"/>
    <cellStyle name="Comma 2 5 2 30 11 2" xfId="19490"/>
    <cellStyle name="Comma 2 5 2 30 12" xfId="19491"/>
    <cellStyle name="Comma 2 5 2 30 2" xfId="19492"/>
    <cellStyle name="Comma 2 5 2 30 2 2" xfId="19493"/>
    <cellStyle name="Comma 2 5 2 30 3" xfId="19494"/>
    <cellStyle name="Comma 2 5 2 30 3 2" xfId="19495"/>
    <cellStyle name="Comma 2 5 2 30 4" xfId="19496"/>
    <cellStyle name="Comma 2 5 2 30 4 2" xfId="19497"/>
    <cellStyle name="Comma 2 5 2 30 5" xfId="19498"/>
    <cellStyle name="Comma 2 5 2 30 5 2" xfId="19499"/>
    <cellStyle name="Comma 2 5 2 30 6" xfId="19500"/>
    <cellStyle name="Comma 2 5 2 30 6 2" xfId="19501"/>
    <cellStyle name="Comma 2 5 2 30 7" xfId="19502"/>
    <cellStyle name="Comma 2 5 2 30 7 2" xfId="19503"/>
    <cellStyle name="Comma 2 5 2 30 8" xfId="19504"/>
    <cellStyle name="Comma 2 5 2 30 8 2" xfId="19505"/>
    <cellStyle name="Comma 2 5 2 30 9" xfId="19506"/>
    <cellStyle name="Comma 2 5 2 30 9 2" xfId="19507"/>
    <cellStyle name="Comma 2 5 2 31" xfId="19508"/>
    <cellStyle name="Comma 2 5 2 31 10" xfId="19509"/>
    <cellStyle name="Comma 2 5 2 31 10 2" xfId="19510"/>
    <cellStyle name="Comma 2 5 2 31 11" xfId="19511"/>
    <cellStyle name="Comma 2 5 2 31 11 2" xfId="19512"/>
    <cellStyle name="Comma 2 5 2 31 12" xfId="19513"/>
    <cellStyle name="Comma 2 5 2 31 2" xfId="19514"/>
    <cellStyle name="Comma 2 5 2 31 2 2" xfId="19515"/>
    <cellStyle name="Comma 2 5 2 31 3" xfId="19516"/>
    <cellStyle name="Comma 2 5 2 31 3 2" xfId="19517"/>
    <cellStyle name="Comma 2 5 2 31 4" xfId="19518"/>
    <cellStyle name="Comma 2 5 2 31 4 2" xfId="19519"/>
    <cellStyle name="Comma 2 5 2 31 5" xfId="19520"/>
    <cellStyle name="Comma 2 5 2 31 5 2" xfId="19521"/>
    <cellStyle name="Comma 2 5 2 31 6" xfId="19522"/>
    <cellStyle name="Comma 2 5 2 31 6 2" xfId="19523"/>
    <cellStyle name="Comma 2 5 2 31 7" xfId="19524"/>
    <cellStyle name="Comma 2 5 2 31 7 2" xfId="19525"/>
    <cellStyle name="Comma 2 5 2 31 8" xfId="19526"/>
    <cellStyle name="Comma 2 5 2 31 8 2" xfId="19527"/>
    <cellStyle name="Comma 2 5 2 31 9" xfId="19528"/>
    <cellStyle name="Comma 2 5 2 31 9 2" xfId="19529"/>
    <cellStyle name="Comma 2 5 2 32" xfId="19530"/>
    <cellStyle name="Comma 2 5 2 32 10" xfId="19531"/>
    <cellStyle name="Comma 2 5 2 32 10 2" xfId="19532"/>
    <cellStyle name="Comma 2 5 2 32 11" xfId="19533"/>
    <cellStyle name="Comma 2 5 2 32 11 2" xfId="19534"/>
    <cellStyle name="Comma 2 5 2 32 12" xfId="19535"/>
    <cellStyle name="Comma 2 5 2 32 2" xfId="19536"/>
    <cellStyle name="Comma 2 5 2 32 2 2" xfId="19537"/>
    <cellStyle name="Comma 2 5 2 32 3" xfId="19538"/>
    <cellStyle name="Comma 2 5 2 32 3 2" xfId="19539"/>
    <cellStyle name="Comma 2 5 2 32 4" xfId="19540"/>
    <cellStyle name="Comma 2 5 2 32 4 2" xfId="19541"/>
    <cellStyle name="Comma 2 5 2 32 5" xfId="19542"/>
    <cellStyle name="Comma 2 5 2 32 5 2" xfId="19543"/>
    <cellStyle name="Comma 2 5 2 32 6" xfId="19544"/>
    <cellStyle name="Comma 2 5 2 32 6 2" xfId="19545"/>
    <cellStyle name="Comma 2 5 2 32 7" xfId="19546"/>
    <cellStyle name="Comma 2 5 2 32 7 2" xfId="19547"/>
    <cellStyle name="Comma 2 5 2 32 8" xfId="19548"/>
    <cellStyle name="Comma 2 5 2 32 8 2" xfId="19549"/>
    <cellStyle name="Comma 2 5 2 32 9" xfId="19550"/>
    <cellStyle name="Comma 2 5 2 32 9 2" xfId="19551"/>
    <cellStyle name="Comma 2 5 2 33" xfId="19552"/>
    <cellStyle name="Comma 2 5 2 33 10" xfId="19553"/>
    <cellStyle name="Comma 2 5 2 33 10 2" xfId="19554"/>
    <cellStyle name="Comma 2 5 2 33 11" xfId="19555"/>
    <cellStyle name="Comma 2 5 2 33 11 2" xfId="19556"/>
    <cellStyle name="Comma 2 5 2 33 12" xfId="19557"/>
    <cellStyle name="Comma 2 5 2 33 2" xfId="19558"/>
    <cellStyle name="Comma 2 5 2 33 2 2" xfId="19559"/>
    <cellStyle name="Comma 2 5 2 33 3" xfId="19560"/>
    <cellStyle name="Comma 2 5 2 33 3 2" xfId="19561"/>
    <cellStyle name="Comma 2 5 2 33 4" xfId="19562"/>
    <cellStyle name="Comma 2 5 2 33 4 2" xfId="19563"/>
    <cellStyle name="Comma 2 5 2 33 5" xfId="19564"/>
    <cellStyle name="Comma 2 5 2 33 5 2" xfId="19565"/>
    <cellStyle name="Comma 2 5 2 33 6" xfId="19566"/>
    <cellStyle name="Comma 2 5 2 33 6 2" xfId="19567"/>
    <cellStyle name="Comma 2 5 2 33 7" xfId="19568"/>
    <cellStyle name="Comma 2 5 2 33 7 2" xfId="19569"/>
    <cellStyle name="Comma 2 5 2 33 8" xfId="19570"/>
    <cellStyle name="Comma 2 5 2 33 8 2" xfId="19571"/>
    <cellStyle name="Comma 2 5 2 33 9" xfId="19572"/>
    <cellStyle name="Comma 2 5 2 33 9 2" xfId="19573"/>
    <cellStyle name="Comma 2 5 2 34" xfId="19574"/>
    <cellStyle name="Comma 2 5 2 34 10" xfId="19575"/>
    <cellStyle name="Comma 2 5 2 34 10 2" xfId="19576"/>
    <cellStyle name="Comma 2 5 2 34 11" xfId="19577"/>
    <cellStyle name="Comma 2 5 2 34 11 2" xfId="19578"/>
    <cellStyle name="Comma 2 5 2 34 12" xfId="19579"/>
    <cellStyle name="Comma 2 5 2 34 2" xfId="19580"/>
    <cellStyle name="Comma 2 5 2 34 2 2" xfId="19581"/>
    <cellStyle name="Comma 2 5 2 34 3" xfId="19582"/>
    <cellStyle name="Comma 2 5 2 34 3 2" xfId="19583"/>
    <cellStyle name="Comma 2 5 2 34 4" xfId="19584"/>
    <cellStyle name="Comma 2 5 2 34 4 2" xfId="19585"/>
    <cellStyle name="Comma 2 5 2 34 5" xfId="19586"/>
    <cellStyle name="Comma 2 5 2 34 5 2" xfId="19587"/>
    <cellStyle name="Comma 2 5 2 34 6" xfId="19588"/>
    <cellStyle name="Comma 2 5 2 34 6 2" xfId="19589"/>
    <cellStyle name="Comma 2 5 2 34 7" xfId="19590"/>
    <cellStyle name="Comma 2 5 2 34 7 2" xfId="19591"/>
    <cellStyle name="Comma 2 5 2 34 8" xfId="19592"/>
    <cellStyle name="Comma 2 5 2 34 8 2" xfId="19593"/>
    <cellStyle name="Comma 2 5 2 34 9" xfId="19594"/>
    <cellStyle name="Comma 2 5 2 34 9 2" xfId="19595"/>
    <cellStyle name="Comma 2 5 2 35" xfId="19596"/>
    <cellStyle name="Comma 2 5 2 35 10" xfId="19597"/>
    <cellStyle name="Comma 2 5 2 35 10 2" xfId="19598"/>
    <cellStyle name="Comma 2 5 2 35 11" xfId="19599"/>
    <cellStyle name="Comma 2 5 2 35 11 2" xfId="19600"/>
    <cellStyle name="Comma 2 5 2 35 12" xfId="19601"/>
    <cellStyle name="Comma 2 5 2 35 2" xfId="19602"/>
    <cellStyle name="Comma 2 5 2 35 2 2" xfId="19603"/>
    <cellStyle name="Comma 2 5 2 35 3" xfId="19604"/>
    <cellStyle name="Comma 2 5 2 35 3 2" xfId="19605"/>
    <cellStyle name="Comma 2 5 2 35 4" xfId="19606"/>
    <cellStyle name="Comma 2 5 2 35 4 2" xfId="19607"/>
    <cellStyle name="Comma 2 5 2 35 5" xfId="19608"/>
    <cellStyle name="Comma 2 5 2 35 5 2" xfId="19609"/>
    <cellStyle name="Comma 2 5 2 35 6" xfId="19610"/>
    <cellStyle name="Comma 2 5 2 35 6 2" xfId="19611"/>
    <cellStyle name="Comma 2 5 2 35 7" xfId="19612"/>
    <cellStyle name="Comma 2 5 2 35 7 2" xfId="19613"/>
    <cellStyle name="Comma 2 5 2 35 8" xfId="19614"/>
    <cellStyle name="Comma 2 5 2 35 8 2" xfId="19615"/>
    <cellStyle name="Comma 2 5 2 35 9" xfId="19616"/>
    <cellStyle name="Comma 2 5 2 35 9 2" xfId="19617"/>
    <cellStyle name="Comma 2 5 2 36" xfId="19618"/>
    <cellStyle name="Comma 2 5 2 36 10" xfId="19619"/>
    <cellStyle name="Comma 2 5 2 36 10 2" xfId="19620"/>
    <cellStyle name="Comma 2 5 2 36 11" xfId="19621"/>
    <cellStyle name="Comma 2 5 2 36 11 2" xfId="19622"/>
    <cellStyle name="Comma 2 5 2 36 12" xfId="19623"/>
    <cellStyle name="Comma 2 5 2 36 2" xfId="19624"/>
    <cellStyle name="Comma 2 5 2 36 2 2" xfId="19625"/>
    <cellStyle name="Comma 2 5 2 36 3" xfId="19626"/>
    <cellStyle name="Comma 2 5 2 36 3 2" xfId="19627"/>
    <cellStyle name="Comma 2 5 2 36 4" xfId="19628"/>
    <cellStyle name="Comma 2 5 2 36 4 2" xfId="19629"/>
    <cellStyle name="Comma 2 5 2 36 5" xfId="19630"/>
    <cellStyle name="Comma 2 5 2 36 5 2" xfId="19631"/>
    <cellStyle name="Comma 2 5 2 36 6" xfId="19632"/>
    <cellStyle name="Comma 2 5 2 36 6 2" xfId="19633"/>
    <cellStyle name="Comma 2 5 2 36 7" xfId="19634"/>
    <cellStyle name="Comma 2 5 2 36 7 2" xfId="19635"/>
    <cellStyle name="Comma 2 5 2 36 8" xfId="19636"/>
    <cellStyle name="Comma 2 5 2 36 8 2" xfId="19637"/>
    <cellStyle name="Comma 2 5 2 36 9" xfId="19638"/>
    <cellStyle name="Comma 2 5 2 36 9 2" xfId="19639"/>
    <cellStyle name="Comma 2 5 2 37" xfId="19640"/>
    <cellStyle name="Comma 2 5 2 37 10" xfId="19641"/>
    <cellStyle name="Comma 2 5 2 37 10 2" xfId="19642"/>
    <cellStyle name="Comma 2 5 2 37 11" xfId="19643"/>
    <cellStyle name="Comma 2 5 2 37 11 2" xfId="19644"/>
    <cellStyle name="Comma 2 5 2 37 12" xfId="19645"/>
    <cellStyle name="Comma 2 5 2 37 2" xfId="19646"/>
    <cellStyle name="Comma 2 5 2 37 2 2" xfId="19647"/>
    <cellStyle name="Comma 2 5 2 37 3" xfId="19648"/>
    <cellStyle name="Comma 2 5 2 37 3 2" xfId="19649"/>
    <cellStyle name="Comma 2 5 2 37 4" xfId="19650"/>
    <cellStyle name="Comma 2 5 2 37 4 2" xfId="19651"/>
    <cellStyle name="Comma 2 5 2 37 5" xfId="19652"/>
    <cellStyle name="Comma 2 5 2 37 5 2" xfId="19653"/>
    <cellStyle name="Comma 2 5 2 37 6" xfId="19654"/>
    <cellStyle name="Comma 2 5 2 37 6 2" xfId="19655"/>
    <cellStyle name="Comma 2 5 2 37 7" xfId="19656"/>
    <cellStyle name="Comma 2 5 2 37 7 2" xfId="19657"/>
    <cellStyle name="Comma 2 5 2 37 8" xfId="19658"/>
    <cellStyle name="Comma 2 5 2 37 8 2" xfId="19659"/>
    <cellStyle name="Comma 2 5 2 37 9" xfId="19660"/>
    <cellStyle name="Comma 2 5 2 37 9 2" xfId="19661"/>
    <cellStyle name="Comma 2 5 2 38" xfId="19662"/>
    <cellStyle name="Comma 2 5 2 38 10" xfId="19663"/>
    <cellStyle name="Comma 2 5 2 38 10 2" xfId="19664"/>
    <cellStyle name="Comma 2 5 2 38 11" xfId="19665"/>
    <cellStyle name="Comma 2 5 2 38 11 2" xfId="19666"/>
    <cellStyle name="Comma 2 5 2 38 12" xfId="19667"/>
    <cellStyle name="Comma 2 5 2 38 2" xfId="19668"/>
    <cellStyle name="Comma 2 5 2 38 2 2" xfId="19669"/>
    <cellStyle name="Comma 2 5 2 38 3" xfId="19670"/>
    <cellStyle name="Comma 2 5 2 38 3 2" xfId="19671"/>
    <cellStyle name="Comma 2 5 2 38 4" xfId="19672"/>
    <cellStyle name="Comma 2 5 2 38 4 2" xfId="19673"/>
    <cellStyle name="Comma 2 5 2 38 5" xfId="19674"/>
    <cellStyle name="Comma 2 5 2 38 5 2" xfId="19675"/>
    <cellStyle name="Comma 2 5 2 38 6" xfId="19676"/>
    <cellStyle name="Comma 2 5 2 38 6 2" xfId="19677"/>
    <cellStyle name="Comma 2 5 2 38 7" xfId="19678"/>
    <cellStyle name="Comma 2 5 2 38 7 2" xfId="19679"/>
    <cellStyle name="Comma 2 5 2 38 8" xfId="19680"/>
    <cellStyle name="Comma 2 5 2 38 8 2" xfId="19681"/>
    <cellStyle name="Comma 2 5 2 38 9" xfId="19682"/>
    <cellStyle name="Comma 2 5 2 38 9 2" xfId="19683"/>
    <cellStyle name="Comma 2 5 2 39" xfId="19684"/>
    <cellStyle name="Comma 2 5 2 39 10" xfId="19685"/>
    <cellStyle name="Comma 2 5 2 39 10 2" xfId="19686"/>
    <cellStyle name="Comma 2 5 2 39 11" xfId="19687"/>
    <cellStyle name="Comma 2 5 2 39 11 2" xfId="19688"/>
    <cellStyle name="Comma 2 5 2 39 12" xfId="19689"/>
    <cellStyle name="Comma 2 5 2 39 2" xfId="19690"/>
    <cellStyle name="Comma 2 5 2 39 2 2" xfId="19691"/>
    <cellStyle name="Comma 2 5 2 39 3" xfId="19692"/>
    <cellStyle name="Comma 2 5 2 39 3 2" xfId="19693"/>
    <cellStyle name="Comma 2 5 2 39 4" xfId="19694"/>
    <cellStyle name="Comma 2 5 2 39 4 2" xfId="19695"/>
    <cellStyle name="Comma 2 5 2 39 5" xfId="19696"/>
    <cellStyle name="Comma 2 5 2 39 5 2" xfId="19697"/>
    <cellStyle name="Comma 2 5 2 39 6" xfId="19698"/>
    <cellStyle name="Comma 2 5 2 39 6 2" xfId="19699"/>
    <cellStyle name="Comma 2 5 2 39 7" xfId="19700"/>
    <cellStyle name="Comma 2 5 2 39 7 2" xfId="19701"/>
    <cellStyle name="Comma 2 5 2 39 8" xfId="19702"/>
    <cellStyle name="Comma 2 5 2 39 8 2" xfId="19703"/>
    <cellStyle name="Comma 2 5 2 39 9" xfId="19704"/>
    <cellStyle name="Comma 2 5 2 39 9 2" xfId="19705"/>
    <cellStyle name="Comma 2 5 2 4" xfId="19706"/>
    <cellStyle name="Comma 2 5 2 4 10" xfId="19707"/>
    <cellStyle name="Comma 2 5 2 4 10 2" xfId="19708"/>
    <cellStyle name="Comma 2 5 2 4 11" xfId="19709"/>
    <cellStyle name="Comma 2 5 2 4 11 2" xfId="19710"/>
    <cellStyle name="Comma 2 5 2 4 12" xfId="19711"/>
    <cellStyle name="Comma 2 5 2 4 2" xfId="19712"/>
    <cellStyle name="Comma 2 5 2 4 2 2" xfId="19713"/>
    <cellStyle name="Comma 2 5 2 4 3" xfId="19714"/>
    <cellStyle name="Comma 2 5 2 4 3 2" xfId="19715"/>
    <cellStyle name="Comma 2 5 2 4 4" xfId="19716"/>
    <cellStyle name="Comma 2 5 2 4 4 2" xfId="19717"/>
    <cellStyle name="Comma 2 5 2 4 5" xfId="19718"/>
    <cellStyle name="Comma 2 5 2 4 5 2" xfId="19719"/>
    <cellStyle name="Comma 2 5 2 4 6" xfId="19720"/>
    <cellStyle name="Comma 2 5 2 4 6 2" xfId="19721"/>
    <cellStyle name="Comma 2 5 2 4 7" xfId="19722"/>
    <cellStyle name="Comma 2 5 2 4 7 2" xfId="19723"/>
    <cellStyle name="Comma 2 5 2 4 8" xfId="19724"/>
    <cellStyle name="Comma 2 5 2 4 8 2" xfId="19725"/>
    <cellStyle name="Comma 2 5 2 4 9" xfId="19726"/>
    <cellStyle name="Comma 2 5 2 4 9 2" xfId="19727"/>
    <cellStyle name="Comma 2 5 2 40" xfId="19728"/>
    <cellStyle name="Comma 2 5 2 40 2" xfId="19729"/>
    <cellStyle name="Comma 2 5 2 41" xfId="19730"/>
    <cellStyle name="Comma 2 5 2 41 2" xfId="19731"/>
    <cellStyle name="Comma 2 5 2 42" xfId="19732"/>
    <cellStyle name="Comma 2 5 2 42 2" xfId="19733"/>
    <cellStyle name="Comma 2 5 2 43" xfId="19734"/>
    <cellStyle name="Comma 2 5 2 43 2" xfId="19735"/>
    <cellStyle name="Comma 2 5 2 44" xfId="19736"/>
    <cellStyle name="Comma 2 5 2 44 2" xfId="19737"/>
    <cellStyle name="Comma 2 5 2 45" xfId="19738"/>
    <cellStyle name="Comma 2 5 2 45 2" xfId="19739"/>
    <cellStyle name="Comma 2 5 2 46" xfId="19740"/>
    <cellStyle name="Comma 2 5 2 46 2" xfId="19741"/>
    <cellStyle name="Comma 2 5 2 47" xfId="19742"/>
    <cellStyle name="Comma 2 5 2 47 2" xfId="19743"/>
    <cellStyle name="Comma 2 5 2 48" xfId="19744"/>
    <cellStyle name="Comma 2 5 2 48 2" xfId="19745"/>
    <cellStyle name="Comma 2 5 2 49" xfId="19746"/>
    <cellStyle name="Comma 2 5 2 49 2" xfId="19747"/>
    <cellStyle name="Comma 2 5 2 5" xfId="19748"/>
    <cellStyle name="Comma 2 5 2 5 10" xfId="19749"/>
    <cellStyle name="Comma 2 5 2 5 10 2" xfId="19750"/>
    <cellStyle name="Comma 2 5 2 5 11" xfId="19751"/>
    <cellStyle name="Comma 2 5 2 5 11 2" xfId="19752"/>
    <cellStyle name="Comma 2 5 2 5 12" xfId="19753"/>
    <cellStyle name="Comma 2 5 2 5 2" xfId="19754"/>
    <cellStyle name="Comma 2 5 2 5 2 2" xfId="19755"/>
    <cellStyle name="Comma 2 5 2 5 3" xfId="19756"/>
    <cellStyle name="Comma 2 5 2 5 3 2" xfId="19757"/>
    <cellStyle name="Comma 2 5 2 5 4" xfId="19758"/>
    <cellStyle name="Comma 2 5 2 5 4 2" xfId="19759"/>
    <cellStyle name="Comma 2 5 2 5 5" xfId="19760"/>
    <cellStyle name="Comma 2 5 2 5 5 2" xfId="19761"/>
    <cellStyle name="Comma 2 5 2 5 6" xfId="19762"/>
    <cellStyle name="Comma 2 5 2 5 6 2" xfId="19763"/>
    <cellStyle name="Comma 2 5 2 5 7" xfId="19764"/>
    <cellStyle name="Comma 2 5 2 5 7 2" xfId="19765"/>
    <cellStyle name="Comma 2 5 2 5 8" xfId="19766"/>
    <cellStyle name="Comma 2 5 2 5 8 2" xfId="19767"/>
    <cellStyle name="Comma 2 5 2 5 9" xfId="19768"/>
    <cellStyle name="Comma 2 5 2 5 9 2" xfId="19769"/>
    <cellStyle name="Comma 2 5 2 50" xfId="19770"/>
    <cellStyle name="Comma 2 5 2 50 2" xfId="19771"/>
    <cellStyle name="Comma 2 5 2 51" xfId="19772"/>
    <cellStyle name="Comma 2 5 2 51 2" xfId="19773"/>
    <cellStyle name="Comma 2 5 2 52" xfId="19774"/>
    <cellStyle name="Comma 2 5 2 6" xfId="19775"/>
    <cellStyle name="Comma 2 5 2 6 10" xfId="19776"/>
    <cellStyle name="Comma 2 5 2 6 10 2" xfId="19777"/>
    <cellStyle name="Comma 2 5 2 6 11" xfId="19778"/>
    <cellStyle name="Comma 2 5 2 6 11 2" xfId="19779"/>
    <cellStyle name="Comma 2 5 2 6 12" xfId="19780"/>
    <cellStyle name="Comma 2 5 2 6 2" xfId="19781"/>
    <cellStyle name="Comma 2 5 2 6 2 2" xfId="19782"/>
    <cellStyle name="Comma 2 5 2 6 3" xfId="19783"/>
    <cellStyle name="Comma 2 5 2 6 3 2" xfId="19784"/>
    <cellStyle name="Comma 2 5 2 6 4" xfId="19785"/>
    <cellStyle name="Comma 2 5 2 6 4 2" xfId="19786"/>
    <cellStyle name="Comma 2 5 2 6 5" xfId="19787"/>
    <cellStyle name="Comma 2 5 2 6 5 2" xfId="19788"/>
    <cellStyle name="Comma 2 5 2 6 6" xfId="19789"/>
    <cellStyle name="Comma 2 5 2 6 6 2" xfId="19790"/>
    <cellStyle name="Comma 2 5 2 6 7" xfId="19791"/>
    <cellStyle name="Comma 2 5 2 6 7 2" xfId="19792"/>
    <cellStyle name="Comma 2 5 2 6 8" xfId="19793"/>
    <cellStyle name="Comma 2 5 2 6 8 2" xfId="19794"/>
    <cellStyle name="Comma 2 5 2 6 9" xfId="19795"/>
    <cellStyle name="Comma 2 5 2 6 9 2" xfId="19796"/>
    <cellStyle name="Comma 2 5 2 7" xfId="19797"/>
    <cellStyle name="Comma 2 5 2 7 10" xfId="19798"/>
    <cellStyle name="Comma 2 5 2 7 10 2" xfId="19799"/>
    <cellStyle name="Comma 2 5 2 7 11" xfId="19800"/>
    <cellStyle name="Comma 2 5 2 7 11 2" xfId="19801"/>
    <cellStyle name="Comma 2 5 2 7 12" xfId="19802"/>
    <cellStyle name="Comma 2 5 2 7 2" xfId="19803"/>
    <cellStyle name="Comma 2 5 2 7 2 2" xfId="19804"/>
    <cellStyle name="Comma 2 5 2 7 3" xfId="19805"/>
    <cellStyle name="Comma 2 5 2 7 3 2" xfId="19806"/>
    <cellStyle name="Comma 2 5 2 7 4" xfId="19807"/>
    <cellStyle name="Comma 2 5 2 7 4 2" xfId="19808"/>
    <cellStyle name="Comma 2 5 2 7 5" xfId="19809"/>
    <cellStyle name="Comma 2 5 2 7 5 2" xfId="19810"/>
    <cellStyle name="Comma 2 5 2 7 6" xfId="19811"/>
    <cellStyle name="Comma 2 5 2 7 6 2" xfId="19812"/>
    <cellStyle name="Comma 2 5 2 7 7" xfId="19813"/>
    <cellStyle name="Comma 2 5 2 7 7 2" xfId="19814"/>
    <cellStyle name="Comma 2 5 2 7 8" xfId="19815"/>
    <cellStyle name="Comma 2 5 2 7 8 2" xfId="19816"/>
    <cellStyle name="Comma 2 5 2 7 9" xfId="19817"/>
    <cellStyle name="Comma 2 5 2 7 9 2" xfId="19818"/>
    <cellStyle name="Comma 2 5 2 8" xfId="19819"/>
    <cellStyle name="Comma 2 5 2 8 10" xfId="19820"/>
    <cellStyle name="Comma 2 5 2 8 10 2" xfId="19821"/>
    <cellStyle name="Comma 2 5 2 8 11" xfId="19822"/>
    <cellStyle name="Comma 2 5 2 8 11 2" xfId="19823"/>
    <cellStyle name="Comma 2 5 2 8 12" xfId="19824"/>
    <cellStyle name="Comma 2 5 2 8 2" xfId="19825"/>
    <cellStyle name="Comma 2 5 2 8 2 2" xfId="19826"/>
    <cellStyle name="Comma 2 5 2 8 3" xfId="19827"/>
    <cellStyle name="Comma 2 5 2 8 3 2" xfId="19828"/>
    <cellStyle name="Comma 2 5 2 8 4" xfId="19829"/>
    <cellStyle name="Comma 2 5 2 8 4 2" xfId="19830"/>
    <cellStyle name="Comma 2 5 2 8 5" xfId="19831"/>
    <cellStyle name="Comma 2 5 2 8 5 2" xfId="19832"/>
    <cellStyle name="Comma 2 5 2 8 6" xfId="19833"/>
    <cellStyle name="Comma 2 5 2 8 6 2" xfId="19834"/>
    <cellStyle name="Comma 2 5 2 8 7" xfId="19835"/>
    <cellStyle name="Comma 2 5 2 8 7 2" xfId="19836"/>
    <cellStyle name="Comma 2 5 2 8 8" xfId="19837"/>
    <cellStyle name="Comma 2 5 2 8 8 2" xfId="19838"/>
    <cellStyle name="Comma 2 5 2 8 9" xfId="19839"/>
    <cellStyle name="Comma 2 5 2 8 9 2" xfId="19840"/>
    <cellStyle name="Comma 2 5 2 9" xfId="19841"/>
    <cellStyle name="Comma 2 5 2 9 10" xfId="19842"/>
    <cellStyle name="Comma 2 5 2 9 10 2" xfId="19843"/>
    <cellStyle name="Comma 2 5 2 9 11" xfId="19844"/>
    <cellStyle name="Comma 2 5 2 9 11 2" xfId="19845"/>
    <cellStyle name="Comma 2 5 2 9 12" xfId="19846"/>
    <cellStyle name="Comma 2 5 2 9 2" xfId="19847"/>
    <cellStyle name="Comma 2 5 2 9 2 2" xfId="19848"/>
    <cellStyle name="Comma 2 5 2 9 3" xfId="19849"/>
    <cellStyle name="Comma 2 5 2 9 3 2" xfId="19850"/>
    <cellStyle name="Comma 2 5 2 9 4" xfId="19851"/>
    <cellStyle name="Comma 2 5 2 9 4 2" xfId="19852"/>
    <cellStyle name="Comma 2 5 2 9 5" xfId="19853"/>
    <cellStyle name="Comma 2 5 2 9 5 2" xfId="19854"/>
    <cellStyle name="Comma 2 5 2 9 6" xfId="19855"/>
    <cellStyle name="Comma 2 5 2 9 6 2" xfId="19856"/>
    <cellStyle name="Comma 2 5 2 9 7" xfId="19857"/>
    <cellStyle name="Comma 2 5 2 9 7 2" xfId="19858"/>
    <cellStyle name="Comma 2 5 2 9 8" xfId="19859"/>
    <cellStyle name="Comma 2 5 2 9 8 2" xfId="19860"/>
    <cellStyle name="Comma 2 5 2 9 9" xfId="19861"/>
    <cellStyle name="Comma 2 5 2 9 9 2" xfId="19862"/>
    <cellStyle name="Comma 2 5 20" xfId="19863"/>
    <cellStyle name="Comma 2 5 20 10" xfId="19864"/>
    <cellStyle name="Comma 2 5 20 10 2" xfId="19865"/>
    <cellStyle name="Comma 2 5 20 11" xfId="19866"/>
    <cellStyle name="Comma 2 5 20 11 2" xfId="19867"/>
    <cellStyle name="Comma 2 5 20 12" xfId="19868"/>
    <cellStyle name="Comma 2 5 20 2" xfId="19869"/>
    <cellStyle name="Comma 2 5 20 2 2" xfId="19870"/>
    <cellStyle name="Comma 2 5 20 3" xfId="19871"/>
    <cellStyle name="Comma 2 5 20 3 2" xfId="19872"/>
    <cellStyle name="Comma 2 5 20 4" xfId="19873"/>
    <cellStyle name="Comma 2 5 20 4 2" xfId="19874"/>
    <cellStyle name="Comma 2 5 20 5" xfId="19875"/>
    <cellStyle name="Comma 2 5 20 5 2" xfId="19876"/>
    <cellStyle name="Comma 2 5 20 6" xfId="19877"/>
    <cellStyle name="Comma 2 5 20 6 2" xfId="19878"/>
    <cellStyle name="Comma 2 5 20 7" xfId="19879"/>
    <cellStyle name="Comma 2 5 20 7 2" xfId="19880"/>
    <cellStyle name="Comma 2 5 20 8" xfId="19881"/>
    <cellStyle name="Comma 2 5 20 8 2" xfId="19882"/>
    <cellStyle name="Comma 2 5 20 9" xfId="19883"/>
    <cellStyle name="Comma 2 5 20 9 2" xfId="19884"/>
    <cellStyle name="Comma 2 5 21" xfId="19885"/>
    <cellStyle name="Comma 2 5 21 10" xfId="19886"/>
    <cellStyle name="Comma 2 5 21 10 2" xfId="19887"/>
    <cellStyle name="Comma 2 5 21 11" xfId="19888"/>
    <cellStyle name="Comma 2 5 21 11 2" xfId="19889"/>
    <cellStyle name="Comma 2 5 21 12" xfId="19890"/>
    <cellStyle name="Comma 2 5 21 2" xfId="19891"/>
    <cellStyle name="Comma 2 5 21 2 2" xfId="19892"/>
    <cellStyle name="Comma 2 5 21 3" xfId="19893"/>
    <cellStyle name="Comma 2 5 21 3 2" xfId="19894"/>
    <cellStyle name="Comma 2 5 21 4" xfId="19895"/>
    <cellStyle name="Comma 2 5 21 4 2" xfId="19896"/>
    <cellStyle name="Comma 2 5 21 5" xfId="19897"/>
    <cellStyle name="Comma 2 5 21 5 2" xfId="19898"/>
    <cellStyle name="Comma 2 5 21 6" xfId="19899"/>
    <cellStyle name="Comma 2 5 21 6 2" xfId="19900"/>
    <cellStyle name="Comma 2 5 21 7" xfId="19901"/>
    <cellStyle name="Comma 2 5 21 7 2" xfId="19902"/>
    <cellStyle name="Comma 2 5 21 8" xfId="19903"/>
    <cellStyle name="Comma 2 5 21 8 2" xfId="19904"/>
    <cellStyle name="Comma 2 5 21 9" xfId="19905"/>
    <cellStyle name="Comma 2 5 21 9 2" xfId="19906"/>
    <cellStyle name="Comma 2 5 22" xfId="19907"/>
    <cellStyle name="Comma 2 5 22 10" xfId="19908"/>
    <cellStyle name="Comma 2 5 22 10 2" xfId="19909"/>
    <cellStyle name="Comma 2 5 22 11" xfId="19910"/>
    <cellStyle name="Comma 2 5 22 11 2" xfId="19911"/>
    <cellStyle name="Comma 2 5 22 12" xfId="19912"/>
    <cellStyle name="Comma 2 5 22 2" xfId="19913"/>
    <cellStyle name="Comma 2 5 22 2 2" xfId="19914"/>
    <cellStyle name="Comma 2 5 22 3" xfId="19915"/>
    <cellStyle name="Comma 2 5 22 3 2" xfId="19916"/>
    <cellStyle name="Comma 2 5 22 4" xfId="19917"/>
    <cellStyle name="Comma 2 5 22 4 2" xfId="19918"/>
    <cellStyle name="Comma 2 5 22 5" xfId="19919"/>
    <cellStyle name="Comma 2 5 22 5 2" xfId="19920"/>
    <cellStyle name="Comma 2 5 22 6" xfId="19921"/>
    <cellStyle name="Comma 2 5 22 6 2" xfId="19922"/>
    <cellStyle name="Comma 2 5 22 7" xfId="19923"/>
    <cellStyle name="Comma 2 5 22 7 2" xfId="19924"/>
    <cellStyle name="Comma 2 5 22 8" xfId="19925"/>
    <cellStyle name="Comma 2 5 22 8 2" xfId="19926"/>
    <cellStyle name="Comma 2 5 22 9" xfId="19927"/>
    <cellStyle name="Comma 2 5 22 9 2" xfId="19928"/>
    <cellStyle name="Comma 2 5 23" xfId="19929"/>
    <cellStyle name="Comma 2 5 23 10" xfId="19930"/>
    <cellStyle name="Comma 2 5 23 10 2" xfId="19931"/>
    <cellStyle name="Comma 2 5 23 11" xfId="19932"/>
    <cellStyle name="Comma 2 5 23 11 2" xfId="19933"/>
    <cellStyle name="Comma 2 5 23 12" xfId="19934"/>
    <cellStyle name="Comma 2 5 23 2" xfId="19935"/>
    <cellStyle name="Comma 2 5 23 2 2" xfId="19936"/>
    <cellStyle name="Comma 2 5 23 3" xfId="19937"/>
    <cellStyle name="Comma 2 5 23 3 2" xfId="19938"/>
    <cellStyle name="Comma 2 5 23 4" xfId="19939"/>
    <cellStyle name="Comma 2 5 23 4 2" xfId="19940"/>
    <cellStyle name="Comma 2 5 23 5" xfId="19941"/>
    <cellStyle name="Comma 2 5 23 5 2" xfId="19942"/>
    <cellStyle name="Comma 2 5 23 6" xfId="19943"/>
    <cellStyle name="Comma 2 5 23 6 2" xfId="19944"/>
    <cellStyle name="Comma 2 5 23 7" xfId="19945"/>
    <cellStyle name="Comma 2 5 23 7 2" xfId="19946"/>
    <cellStyle name="Comma 2 5 23 8" xfId="19947"/>
    <cellStyle name="Comma 2 5 23 8 2" xfId="19948"/>
    <cellStyle name="Comma 2 5 23 9" xfId="19949"/>
    <cellStyle name="Comma 2 5 23 9 2" xfId="19950"/>
    <cellStyle name="Comma 2 5 24" xfId="19951"/>
    <cellStyle name="Comma 2 5 24 10" xfId="19952"/>
    <cellStyle name="Comma 2 5 24 10 2" xfId="19953"/>
    <cellStyle name="Comma 2 5 24 11" xfId="19954"/>
    <cellStyle name="Comma 2 5 24 11 2" xfId="19955"/>
    <cellStyle name="Comma 2 5 24 12" xfId="19956"/>
    <cellStyle name="Comma 2 5 24 2" xfId="19957"/>
    <cellStyle name="Comma 2 5 24 2 2" xfId="19958"/>
    <cellStyle name="Comma 2 5 24 3" xfId="19959"/>
    <cellStyle name="Comma 2 5 24 3 2" xfId="19960"/>
    <cellStyle name="Comma 2 5 24 4" xfId="19961"/>
    <cellStyle name="Comma 2 5 24 4 2" xfId="19962"/>
    <cellStyle name="Comma 2 5 24 5" xfId="19963"/>
    <cellStyle name="Comma 2 5 24 5 2" xfId="19964"/>
    <cellStyle name="Comma 2 5 24 6" xfId="19965"/>
    <cellStyle name="Comma 2 5 24 6 2" xfId="19966"/>
    <cellStyle name="Comma 2 5 24 7" xfId="19967"/>
    <cellStyle name="Comma 2 5 24 7 2" xfId="19968"/>
    <cellStyle name="Comma 2 5 24 8" xfId="19969"/>
    <cellStyle name="Comma 2 5 24 8 2" xfId="19970"/>
    <cellStyle name="Comma 2 5 24 9" xfId="19971"/>
    <cellStyle name="Comma 2 5 24 9 2" xfId="19972"/>
    <cellStyle name="Comma 2 5 25" xfId="19973"/>
    <cellStyle name="Comma 2 5 25 10" xfId="19974"/>
    <cellStyle name="Comma 2 5 25 10 2" xfId="19975"/>
    <cellStyle name="Comma 2 5 25 11" xfId="19976"/>
    <cellStyle name="Comma 2 5 25 11 2" xfId="19977"/>
    <cellStyle name="Comma 2 5 25 12" xfId="19978"/>
    <cellStyle name="Comma 2 5 25 2" xfId="19979"/>
    <cellStyle name="Comma 2 5 25 2 2" xfId="19980"/>
    <cellStyle name="Comma 2 5 25 3" xfId="19981"/>
    <cellStyle name="Comma 2 5 25 3 2" xfId="19982"/>
    <cellStyle name="Comma 2 5 25 4" xfId="19983"/>
    <cellStyle name="Comma 2 5 25 4 2" xfId="19984"/>
    <cellStyle name="Comma 2 5 25 5" xfId="19985"/>
    <cellStyle name="Comma 2 5 25 5 2" xfId="19986"/>
    <cellStyle name="Comma 2 5 25 6" xfId="19987"/>
    <cellStyle name="Comma 2 5 25 6 2" xfId="19988"/>
    <cellStyle name="Comma 2 5 25 7" xfId="19989"/>
    <cellStyle name="Comma 2 5 25 7 2" xfId="19990"/>
    <cellStyle name="Comma 2 5 25 8" xfId="19991"/>
    <cellStyle name="Comma 2 5 25 8 2" xfId="19992"/>
    <cellStyle name="Comma 2 5 25 9" xfId="19993"/>
    <cellStyle name="Comma 2 5 25 9 2" xfId="19994"/>
    <cellStyle name="Comma 2 5 26" xfId="19995"/>
    <cellStyle name="Comma 2 5 26 10" xfId="19996"/>
    <cellStyle name="Comma 2 5 26 10 2" xfId="19997"/>
    <cellStyle name="Comma 2 5 26 11" xfId="19998"/>
    <cellStyle name="Comma 2 5 26 11 2" xfId="19999"/>
    <cellStyle name="Comma 2 5 26 12" xfId="20000"/>
    <cellStyle name="Comma 2 5 26 2" xfId="20001"/>
    <cellStyle name="Comma 2 5 26 2 2" xfId="20002"/>
    <cellStyle name="Comma 2 5 26 3" xfId="20003"/>
    <cellStyle name="Comma 2 5 26 3 2" xfId="20004"/>
    <cellStyle name="Comma 2 5 26 4" xfId="20005"/>
    <cellStyle name="Comma 2 5 26 4 2" xfId="20006"/>
    <cellStyle name="Comma 2 5 26 5" xfId="20007"/>
    <cellStyle name="Comma 2 5 26 5 2" xfId="20008"/>
    <cellStyle name="Comma 2 5 26 6" xfId="20009"/>
    <cellStyle name="Comma 2 5 26 6 2" xfId="20010"/>
    <cellStyle name="Comma 2 5 26 7" xfId="20011"/>
    <cellStyle name="Comma 2 5 26 7 2" xfId="20012"/>
    <cellStyle name="Comma 2 5 26 8" xfId="20013"/>
    <cellStyle name="Comma 2 5 26 8 2" xfId="20014"/>
    <cellStyle name="Comma 2 5 26 9" xfId="20015"/>
    <cellStyle name="Comma 2 5 26 9 2" xfId="20016"/>
    <cellStyle name="Comma 2 5 27" xfId="20017"/>
    <cellStyle name="Comma 2 5 27 10" xfId="20018"/>
    <cellStyle name="Comma 2 5 27 10 2" xfId="20019"/>
    <cellStyle name="Comma 2 5 27 11" xfId="20020"/>
    <cellStyle name="Comma 2 5 27 11 2" xfId="20021"/>
    <cellStyle name="Comma 2 5 27 12" xfId="20022"/>
    <cellStyle name="Comma 2 5 27 2" xfId="20023"/>
    <cellStyle name="Comma 2 5 27 2 2" xfId="20024"/>
    <cellStyle name="Comma 2 5 27 3" xfId="20025"/>
    <cellStyle name="Comma 2 5 27 3 2" xfId="20026"/>
    <cellStyle name="Comma 2 5 27 4" xfId="20027"/>
    <cellStyle name="Comma 2 5 27 4 2" xfId="20028"/>
    <cellStyle name="Comma 2 5 27 5" xfId="20029"/>
    <cellStyle name="Comma 2 5 27 5 2" xfId="20030"/>
    <cellStyle name="Comma 2 5 27 6" xfId="20031"/>
    <cellStyle name="Comma 2 5 27 6 2" xfId="20032"/>
    <cellStyle name="Comma 2 5 27 7" xfId="20033"/>
    <cellStyle name="Comma 2 5 27 7 2" xfId="20034"/>
    <cellStyle name="Comma 2 5 27 8" xfId="20035"/>
    <cellStyle name="Comma 2 5 27 8 2" xfId="20036"/>
    <cellStyle name="Comma 2 5 27 9" xfId="20037"/>
    <cellStyle name="Comma 2 5 27 9 2" xfId="20038"/>
    <cellStyle name="Comma 2 5 28" xfId="20039"/>
    <cellStyle name="Comma 2 5 28 10" xfId="20040"/>
    <cellStyle name="Comma 2 5 28 10 2" xfId="20041"/>
    <cellStyle name="Comma 2 5 28 11" xfId="20042"/>
    <cellStyle name="Comma 2 5 28 11 2" xfId="20043"/>
    <cellStyle name="Comma 2 5 28 12" xfId="20044"/>
    <cellStyle name="Comma 2 5 28 2" xfId="20045"/>
    <cellStyle name="Comma 2 5 28 2 2" xfId="20046"/>
    <cellStyle name="Comma 2 5 28 3" xfId="20047"/>
    <cellStyle name="Comma 2 5 28 3 2" xfId="20048"/>
    <cellStyle name="Comma 2 5 28 4" xfId="20049"/>
    <cellStyle name="Comma 2 5 28 4 2" xfId="20050"/>
    <cellStyle name="Comma 2 5 28 5" xfId="20051"/>
    <cellStyle name="Comma 2 5 28 5 2" xfId="20052"/>
    <cellStyle name="Comma 2 5 28 6" xfId="20053"/>
    <cellStyle name="Comma 2 5 28 6 2" xfId="20054"/>
    <cellStyle name="Comma 2 5 28 7" xfId="20055"/>
    <cellStyle name="Comma 2 5 28 7 2" xfId="20056"/>
    <cellStyle name="Comma 2 5 28 8" xfId="20057"/>
    <cellStyle name="Comma 2 5 28 8 2" xfId="20058"/>
    <cellStyle name="Comma 2 5 28 9" xfId="20059"/>
    <cellStyle name="Comma 2 5 28 9 2" xfId="20060"/>
    <cellStyle name="Comma 2 5 29" xfId="20061"/>
    <cellStyle name="Comma 2 5 29 10" xfId="20062"/>
    <cellStyle name="Comma 2 5 29 10 2" xfId="20063"/>
    <cellStyle name="Comma 2 5 29 11" xfId="20064"/>
    <cellStyle name="Comma 2 5 29 11 2" xfId="20065"/>
    <cellStyle name="Comma 2 5 29 12" xfId="20066"/>
    <cellStyle name="Comma 2 5 29 2" xfId="20067"/>
    <cellStyle name="Comma 2 5 29 2 2" xfId="20068"/>
    <cellStyle name="Comma 2 5 29 3" xfId="20069"/>
    <cellStyle name="Comma 2 5 29 3 2" xfId="20070"/>
    <cellStyle name="Comma 2 5 29 4" xfId="20071"/>
    <cellStyle name="Comma 2 5 29 4 2" xfId="20072"/>
    <cellStyle name="Comma 2 5 29 5" xfId="20073"/>
    <cellStyle name="Comma 2 5 29 5 2" xfId="20074"/>
    <cellStyle name="Comma 2 5 29 6" xfId="20075"/>
    <cellStyle name="Comma 2 5 29 6 2" xfId="20076"/>
    <cellStyle name="Comma 2 5 29 7" xfId="20077"/>
    <cellStyle name="Comma 2 5 29 7 2" xfId="20078"/>
    <cellStyle name="Comma 2 5 29 8" xfId="20079"/>
    <cellStyle name="Comma 2 5 29 8 2" xfId="20080"/>
    <cellStyle name="Comma 2 5 29 9" xfId="20081"/>
    <cellStyle name="Comma 2 5 29 9 2" xfId="20082"/>
    <cellStyle name="Comma 2 5 3" xfId="20083"/>
    <cellStyle name="Comma 2 5 3 10" xfId="20084"/>
    <cellStyle name="Comma 2 5 3 10 10" xfId="20085"/>
    <cellStyle name="Comma 2 5 3 10 10 2" xfId="20086"/>
    <cellStyle name="Comma 2 5 3 10 11" xfId="20087"/>
    <cellStyle name="Comma 2 5 3 10 11 2" xfId="20088"/>
    <cellStyle name="Comma 2 5 3 10 12" xfId="20089"/>
    <cellStyle name="Comma 2 5 3 10 2" xfId="20090"/>
    <cellStyle name="Comma 2 5 3 10 2 2" xfId="20091"/>
    <cellStyle name="Comma 2 5 3 10 3" xfId="20092"/>
    <cellStyle name="Comma 2 5 3 10 3 2" xfId="20093"/>
    <cellStyle name="Comma 2 5 3 10 4" xfId="20094"/>
    <cellStyle name="Comma 2 5 3 10 4 2" xfId="20095"/>
    <cellStyle name="Comma 2 5 3 10 5" xfId="20096"/>
    <cellStyle name="Comma 2 5 3 10 5 2" xfId="20097"/>
    <cellStyle name="Comma 2 5 3 10 6" xfId="20098"/>
    <cellStyle name="Comma 2 5 3 10 6 2" xfId="20099"/>
    <cellStyle name="Comma 2 5 3 10 7" xfId="20100"/>
    <cellStyle name="Comma 2 5 3 10 7 2" xfId="20101"/>
    <cellStyle name="Comma 2 5 3 10 8" xfId="20102"/>
    <cellStyle name="Comma 2 5 3 10 8 2" xfId="20103"/>
    <cellStyle name="Comma 2 5 3 10 9" xfId="20104"/>
    <cellStyle name="Comma 2 5 3 10 9 2" xfId="20105"/>
    <cellStyle name="Comma 2 5 3 11" xfId="20106"/>
    <cellStyle name="Comma 2 5 3 11 10" xfId="20107"/>
    <cellStyle name="Comma 2 5 3 11 10 2" xfId="20108"/>
    <cellStyle name="Comma 2 5 3 11 11" xfId="20109"/>
    <cellStyle name="Comma 2 5 3 11 11 2" xfId="20110"/>
    <cellStyle name="Comma 2 5 3 11 12" xfId="20111"/>
    <cellStyle name="Comma 2 5 3 11 2" xfId="20112"/>
    <cellStyle name="Comma 2 5 3 11 2 2" xfId="20113"/>
    <cellStyle name="Comma 2 5 3 11 3" xfId="20114"/>
    <cellStyle name="Comma 2 5 3 11 3 2" xfId="20115"/>
    <cellStyle name="Comma 2 5 3 11 4" xfId="20116"/>
    <cellStyle name="Comma 2 5 3 11 4 2" xfId="20117"/>
    <cellStyle name="Comma 2 5 3 11 5" xfId="20118"/>
    <cellStyle name="Comma 2 5 3 11 5 2" xfId="20119"/>
    <cellStyle name="Comma 2 5 3 11 6" xfId="20120"/>
    <cellStyle name="Comma 2 5 3 11 6 2" xfId="20121"/>
    <cellStyle name="Comma 2 5 3 11 7" xfId="20122"/>
    <cellStyle name="Comma 2 5 3 11 7 2" xfId="20123"/>
    <cellStyle name="Comma 2 5 3 11 8" xfId="20124"/>
    <cellStyle name="Comma 2 5 3 11 8 2" xfId="20125"/>
    <cellStyle name="Comma 2 5 3 11 9" xfId="20126"/>
    <cellStyle name="Comma 2 5 3 11 9 2" xfId="20127"/>
    <cellStyle name="Comma 2 5 3 12" xfId="20128"/>
    <cellStyle name="Comma 2 5 3 12 10" xfId="20129"/>
    <cellStyle name="Comma 2 5 3 12 10 2" xfId="20130"/>
    <cellStyle name="Comma 2 5 3 12 11" xfId="20131"/>
    <cellStyle name="Comma 2 5 3 12 11 2" xfId="20132"/>
    <cellStyle name="Comma 2 5 3 12 12" xfId="20133"/>
    <cellStyle name="Comma 2 5 3 12 2" xfId="20134"/>
    <cellStyle name="Comma 2 5 3 12 2 2" xfId="20135"/>
    <cellStyle name="Comma 2 5 3 12 3" xfId="20136"/>
    <cellStyle name="Comma 2 5 3 12 3 2" xfId="20137"/>
    <cellStyle name="Comma 2 5 3 12 4" xfId="20138"/>
    <cellStyle name="Comma 2 5 3 12 4 2" xfId="20139"/>
    <cellStyle name="Comma 2 5 3 12 5" xfId="20140"/>
    <cellStyle name="Comma 2 5 3 12 5 2" xfId="20141"/>
    <cellStyle name="Comma 2 5 3 12 6" xfId="20142"/>
    <cellStyle name="Comma 2 5 3 12 6 2" xfId="20143"/>
    <cellStyle name="Comma 2 5 3 12 7" xfId="20144"/>
    <cellStyle name="Comma 2 5 3 12 7 2" xfId="20145"/>
    <cellStyle name="Comma 2 5 3 12 8" xfId="20146"/>
    <cellStyle name="Comma 2 5 3 12 8 2" xfId="20147"/>
    <cellStyle name="Comma 2 5 3 12 9" xfId="20148"/>
    <cellStyle name="Comma 2 5 3 12 9 2" xfId="20149"/>
    <cellStyle name="Comma 2 5 3 13" xfId="20150"/>
    <cellStyle name="Comma 2 5 3 13 10" xfId="20151"/>
    <cellStyle name="Comma 2 5 3 13 10 2" xfId="20152"/>
    <cellStyle name="Comma 2 5 3 13 11" xfId="20153"/>
    <cellStyle name="Comma 2 5 3 13 11 2" xfId="20154"/>
    <cellStyle name="Comma 2 5 3 13 12" xfId="20155"/>
    <cellStyle name="Comma 2 5 3 13 2" xfId="20156"/>
    <cellStyle name="Comma 2 5 3 13 2 2" xfId="20157"/>
    <cellStyle name="Comma 2 5 3 13 3" xfId="20158"/>
    <cellStyle name="Comma 2 5 3 13 3 2" xfId="20159"/>
    <cellStyle name="Comma 2 5 3 13 4" xfId="20160"/>
    <cellStyle name="Comma 2 5 3 13 4 2" xfId="20161"/>
    <cellStyle name="Comma 2 5 3 13 5" xfId="20162"/>
    <cellStyle name="Comma 2 5 3 13 5 2" xfId="20163"/>
    <cellStyle name="Comma 2 5 3 13 6" xfId="20164"/>
    <cellStyle name="Comma 2 5 3 13 6 2" xfId="20165"/>
    <cellStyle name="Comma 2 5 3 13 7" xfId="20166"/>
    <cellStyle name="Comma 2 5 3 13 7 2" xfId="20167"/>
    <cellStyle name="Comma 2 5 3 13 8" xfId="20168"/>
    <cellStyle name="Comma 2 5 3 13 8 2" xfId="20169"/>
    <cellStyle name="Comma 2 5 3 13 9" xfId="20170"/>
    <cellStyle name="Comma 2 5 3 13 9 2" xfId="20171"/>
    <cellStyle name="Comma 2 5 3 14" xfId="20172"/>
    <cellStyle name="Comma 2 5 3 14 10" xfId="20173"/>
    <cellStyle name="Comma 2 5 3 14 10 2" xfId="20174"/>
    <cellStyle name="Comma 2 5 3 14 11" xfId="20175"/>
    <cellStyle name="Comma 2 5 3 14 11 2" xfId="20176"/>
    <cellStyle name="Comma 2 5 3 14 12" xfId="20177"/>
    <cellStyle name="Comma 2 5 3 14 2" xfId="20178"/>
    <cellStyle name="Comma 2 5 3 14 2 2" xfId="20179"/>
    <cellStyle name="Comma 2 5 3 14 3" xfId="20180"/>
    <cellStyle name="Comma 2 5 3 14 3 2" xfId="20181"/>
    <cellStyle name="Comma 2 5 3 14 4" xfId="20182"/>
    <cellStyle name="Comma 2 5 3 14 4 2" xfId="20183"/>
    <cellStyle name="Comma 2 5 3 14 5" xfId="20184"/>
    <cellStyle name="Comma 2 5 3 14 5 2" xfId="20185"/>
    <cellStyle name="Comma 2 5 3 14 6" xfId="20186"/>
    <cellStyle name="Comma 2 5 3 14 6 2" xfId="20187"/>
    <cellStyle name="Comma 2 5 3 14 7" xfId="20188"/>
    <cellStyle name="Comma 2 5 3 14 7 2" xfId="20189"/>
    <cellStyle name="Comma 2 5 3 14 8" xfId="20190"/>
    <cellStyle name="Comma 2 5 3 14 8 2" xfId="20191"/>
    <cellStyle name="Comma 2 5 3 14 9" xfId="20192"/>
    <cellStyle name="Comma 2 5 3 14 9 2" xfId="20193"/>
    <cellStyle name="Comma 2 5 3 15" xfId="20194"/>
    <cellStyle name="Comma 2 5 3 15 10" xfId="20195"/>
    <cellStyle name="Comma 2 5 3 15 10 2" xfId="20196"/>
    <cellStyle name="Comma 2 5 3 15 11" xfId="20197"/>
    <cellStyle name="Comma 2 5 3 15 11 2" xfId="20198"/>
    <cellStyle name="Comma 2 5 3 15 12" xfId="20199"/>
    <cellStyle name="Comma 2 5 3 15 2" xfId="20200"/>
    <cellStyle name="Comma 2 5 3 15 2 2" xfId="20201"/>
    <cellStyle name="Comma 2 5 3 15 3" xfId="20202"/>
    <cellStyle name="Comma 2 5 3 15 3 2" xfId="20203"/>
    <cellStyle name="Comma 2 5 3 15 4" xfId="20204"/>
    <cellStyle name="Comma 2 5 3 15 4 2" xfId="20205"/>
    <cellStyle name="Comma 2 5 3 15 5" xfId="20206"/>
    <cellStyle name="Comma 2 5 3 15 5 2" xfId="20207"/>
    <cellStyle name="Comma 2 5 3 15 6" xfId="20208"/>
    <cellStyle name="Comma 2 5 3 15 6 2" xfId="20209"/>
    <cellStyle name="Comma 2 5 3 15 7" xfId="20210"/>
    <cellStyle name="Comma 2 5 3 15 7 2" xfId="20211"/>
    <cellStyle name="Comma 2 5 3 15 8" xfId="20212"/>
    <cellStyle name="Comma 2 5 3 15 8 2" xfId="20213"/>
    <cellStyle name="Comma 2 5 3 15 9" xfId="20214"/>
    <cellStyle name="Comma 2 5 3 15 9 2" xfId="20215"/>
    <cellStyle name="Comma 2 5 3 16" xfId="20216"/>
    <cellStyle name="Comma 2 5 3 16 10" xfId="20217"/>
    <cellStyle name="Comma 2 5 3 16 10 2" xfId="20218"/>
    <cellStyle name="Comma 2 5 3 16 11" xfId="20219"/>
    <cellStyle name="Comma 2 5 3 16 11 2" xfId="20220"/>
    <cellStyle name="Comma 2 5 3 16 12" xfId="20221"/>
    <cellStyle name="Comma 2 5 3 16 2" xfId="20222"/>
    <cellStyle name="Comma 2 5 3 16 2 2" xfId="20223"/>
    <cellStyle name="Comma 2 5 3 16 3" xfId="20224"/>
    <cellStyle name="Comma 2 5 3 16 3 2" xfId="20225"/>
    <cellStyle name="Comma 2 5 3 16 4" xfId="20226"/>
    <cellStyle name="Comma 2 5 3 16 4 2" xfId="20227"/>
    <cellStyle name="Comma 2 5 3 16 5" xfId="20228"/>
    <cellStyle name="Comma 2 5 3 16 5 2" xfId="20229"/>
    <cellStyle name="Comma 2 5 3 16 6" xfId="20230"/>
    <cellStyle name="Comma 2 5 3 16 6 2" xfId="20231"/>
    <cellStyle name="Comma 2 5 3 16 7" xfId="20232"/>
    <cellStyle name="Comma 2 5 3 16 7 2" xfId="20233"/>
    <cellStyle name="Comma 2 5 3 16 8" xfId="20234"/>
    <cellStyle name="Comma 2 5 3 16 8 2" xfId="20235"/>
    <cellStyle name="Comma 2 5 3 16 9" xfId="20236"/>
    <cellStyle name="Comma 2 5 3 16 9 2" xfId="20237"/>
    <cellStyle name="Comma 2 5 3 17" xfId="20238"/>
    <cellStyle name="Comma 2 5 3 17 10" xfId="20239"/>
    <cellStyle name="Comma 2 5 3 17 10 2" xfId="20240"/>
    <cellStyle name="Comma 2 5 3 17 11" xfId="20241"/>
    <cellStyle name="Comma 2 5 3 17 11 2" xfId="20242"/>
    <cellStyle name="Comma 2 5 3 17 12" xfId="20243"/>
    <cellStyle name="Comma 2 5 3 17 2" xfId="20244"/>
    <cellStyle name="Comma 2 5 3 17 2 2" xfId="20245"/>
    <cellStyle name="Comma 2 5 3 17 3" xfId="20246"/>
    <cellStyle name="Comma 2 5 3 17 3 2" xfId="20247"/>
    <cellStyle name="Comma 2 5 3 17 4" xfId="20248"/>
    <cellStyle name="Comma 2 5 3 17 4 2" xfId="20249"/>
    <cellStyle name="Comma 2 5 3 17 5" xfId="20250"/>
    <cellStyle name="Comma 2 5 3 17 5 2" xfId="20251"/>
    <cellStyle name="Comma 2 5 3 17 6" xfId="20252"/>
    <cellStyle name="Comma 2 5 3 17 6 2" xfId="20253"/>
    <cellStyle name="Comma 2 5 3 17 7" xfId="20254"/>
    <cellStyle name="Comma 2 5 3 17 7 2" xfId="20255"/>
    <cellStyle name="Comma 2 5 3 17 8" xfId="20256"/>
    <cellStyle name="Comma 2 5 3 17 8 2" xfId="20257"/>
    <cellStyle name="Comma 2 5 3 17 9" xfId="20258"/>
    <cellStyle name="Comma 2 5 3 17 9 2" xfId="20259"/>
    <cellStyle name="Comma 2 5 3 18" xfId="20260"/>
    <cellStyle name="Comma 2 5 3 18 10" xfId="20261"/>
    <cellStyle name="Comma 2 5 3 18 10 2" xfId="20262"/>
    <cellStyle name="Comma 2 5 3 18 11" xfId="20263"/>
    <cellStyle name="Comma 2 5 3 18 11 2" xfId="20264"/>
    <cellStyle name="Comma 2 5 3 18 12" xfId="20265"/>
    <cellStyle name="Comma 2 5 3 18 2" xfId="20266"/>
    <cellStyle name="Comma 2 5 3 18 2 2" xfId="20267"/>
    <cellStyle name="Comma 2 5 3 18 3" xfId="20268"/>
    <cellStyle name="Comma 2 5 3 18 3 2" xfId="20269"/>
    <cellStyle name="Comma 2 5 3 18 4" xfId="20270"/>
    <cellStyle name="Comma 2 5 3 18 4 2" xfId="20271"/>
    <cellStyle name="Comma 2 5 3 18 5" xfId="20272"/>
    <cellStyle name="Comma 2 5 3 18 5 2" xfId="20273"/>
    <cellStyle name="Comma 2 5 3 18 6" xfId="20274"/>
    <cellStyle name="Comma 2 5 3 18 6 2" xfId="20275"/>
    <cellStyle name="Comma 2 5 3 18 7" xfId="20276"/>
    <cellStyle name="Comma 2 5 3 18 7 2" xfId="20277"/>
    <cellStyle name="Comma 2 5 3 18 8" xfId="20278"/>
    <cellStyle name="Comma 2 5 3 18 8 2" xfId="20279"/>
    <cellStyle name="Comma 2 5 3 18 9" xfId="20280"/>
    <cellStyle name="Comma 2 5 3 18 9 2" xfId="20281"/>
    <cellStyle name="Comma 2 5 3 19" xfId="20282"/>
    <cellStyle name="Comma 2 5 3 19 10" xfId="20283"/>
    <cellStyle name="Comma 2 5 3 19 10 2" xfId="20284"/>
    <cellStyle name="Comma 2 5 3 19 11" xfId="20285"/>
    <cellStyle name="Comma 2 5 3 19 11 2" xfId="20286"/>
    <cellStyle name="Comma 2 5 3 19 12" xfId="20287"/>
    <cellStyle name="Comma 2 5 3 19 2" xfId="20288"/>
    <cellStyle name="Comma 2 5 3 19 2 2" xfId="20289"/>
    <cellStyle name="Comma 2 5 3 19 3" xfId="20290"/>
    <cellStyle name="Comma 2 5 3 19 3 2" xfId="20291"/>
    <cellStyle name="Comma 2 5 3 19 4" xfId="20292"/>
    <cellStyle name="Comma 2 5 3 19 4 2" xfId="20293"/>
    <cellStyle name="Comma 2 5 3 19 5" xfId="20294"/>
    <cellStyle name="Comma 2 5 3 19 5 2" xfId="20295"/>
    <cellStyle name="Comma 2 5 3 19 6" xfId="20296"/>
    <cellStyle name="Comma 2 5 3 19 6 2" xfId="20297"/>
    <cellStyle name="Comma 2 5 3 19 7" xfId="20298"/>
    <cellStyle name="Comma 2 5 3 19 7 2" xfId="20299"/>
    <cellStyle name="Comma 2 5 3 19 8" xfId="20300"/>
    <cellStyle name="Comma 2 5 3 19 8 2" xfId="20301"/>
    <cellStyle name="Comma 2 5 3 19 9" xfId="20302"/>
    <cellStyle name="Comma 2 5 3 19 9 2" xfId="20303"/>
    <cellStyle name="Comma 2 5 3 2" xfId="20304"/>
    <cellStyle name="Comma 2 5 3 2 10" xfId="20305"/>
    <cellStyle name="Comma 2 5 3 2 10 2" xfId="20306"/>
    <cellStyle name="Comma 2 5 3 2 11" xfId="20307"/>
    <cellStyle name="Comma 2 5 3 2 11 2" xfId="20308"/>
    <cellStyle name="Comma 2 5 3 2 12" xfId="20309"/>
    <cellStyle name="Comma 2 5 3 2 2" xfId="20310"/>
    <cellStyle name="Comma 2 5 3 2 2 2" xfId="20311"/>
    <cellStyle name="Comma 2 5 3 2 3" xfId="20312"/>
    <cellStyle name="Comma 2 5 3 2 3 2" xfId="20313"/>
    <cellStyle name="Comma 2 5 3 2 4" xfId="20314"/>
    <cellStyle name="Comma 2 5 3 2 4 2" xfId="20315"/>
    <cellStyle name="Comma 2 5 3 2 5" xfId="20316"/>
    <cellStyle name="Comma 2 5 3 2 5 2" xfId="20317"/>
    <cellStyle name="Comma 2 5 3 2 6" xfId="20318"/>
    <cellStyle name="Comma 2 5 3 2 6 2" xfId="20319"/>
    <cellStyle name="Comma 2 5 3 2 7" xfId="20320"/>
    <cellStyle name="Comma 2 5 3 2 7 2" xfId="20321"/>
    <cellStyle name="Comma 2 5 3 2 8" xfId="20322"/>
    <cellStyle name="Comma 2 5 3 2 8 2" xfId="20323"/>
    <cellStyle name="Comma 2 5 3 2 9" xfId="20324"/>
    <cellStyle name="Comma 2 5 3 2 9 2" xfId="20325"/>
    <cellStyle name="Comma 2 5 3 20" xfId="20326"/>
    <cellStyle name="Comma 2 5 3 20 10" xfId="20327"/>
    <cellStyle name="Comma 2 5 3 20 10 2" xfId="20328"/>
    <cellStyle name="Comma 2 5 3 20 11" xfId="20329"/>
    <cellStyle name="Comma 2 5 3 20 11 2" xfId="20330"/>
    <cellStyle name="Comma 2 5 3 20 12" xfId="20331"/>
    <cellStyle name="Comma 2 5 3 20 2" xfId="20332"/>
    <cellStyle name="Comma 2 5 3 20 2 2" xfId="20333"/>
    <cellStyle name="Comma 2 5 3 20 3" xfId="20334"/>
    <cellStyle name="Comma 2 5 3 20 3 2" xfId="20335"/>
    <cellStyle name="Comma 2 5 3 20 4" xfId="20336"/>
    <cellStyle name="Comma 2 5 3 20 4 2" xfId="20337"/>
    <cellStyle name="Comma 2 5 3 20 5" xfId="20338"/>
    <cellStyle name="Comma 2 5 3 20 5 2" xfId="20339"/>
    <cellStyle name="Comma 2 5 3 20 6" xfId="20340"/>
    <cellStyle name="Comma 2 5 3 20 6 2" xfId="20341"/>
    <cellStyle name="Comma 2 5 3 20 7" xfId="20342"/>
    <cellStyle name="Comma 2 5 3 20 7 2" xfId="20343"/>
    <cellStyle name="Comma 2 5 3 20 8" xfId="20344"/>
    <cellStyle name="Comma 2 5 3 20 8 2" xfId="20345"/>
    <cellStyle name="Comma 2 5 3 20 9" xfId="20346"/>
    <cellStyle name="Comma 2 5 3 20 9 2" xfId="20347"/>
    <cellStyle name="Comma 2 5 3 21" xfId="20348"/>
    <cellStyle name="Comma 2 5 3 21 10" xfId="20349"/>
    <cellStyle name="Comma 2 5 3 21 10 2" xfId="20350"/>
    <cellStyle name="Comma 2 5 3 21 11" xfId="20351"/>
    <cellStyle name="Comma 2 5 3 21 11 2" xfId="20352"/>
    <cellStyle name="Comma 2 5 3 21 12" xfId="20353"/>
    <cellStyle name="Comma 2 5 3 21 2" xfId="20354"/>
    <cellStyle name="Comma 2 5 3 21 2 2" xfId="20355"/>
    <cellStyle name="Comma 2 5 3 21 3" xfId="20356"/>
    <cellStyle name="Comma 2 5 3 21 3 2" xfId="20357"/>
    <cellStyle name="Comma 2 5 3 21 4" xfId="20358"/>
    <cellStyle name="Comma 2 5 3 21 4 2" xfId="20359"/>
    <cellStyle name="Comma 2 5 3 21 5" xfId="20360"/>
    <cellStyle name="Comma 2 5 3 21 5 2" xfId="20361"/>
    <cellStyle name="Comma 2 5 3 21 6" xfId="20362"/>
    <cellStyle name="Comma 2 5 3 21 6 2" xfId="20363"/>
    <cellStyle name="Comma 2 5 3 21 7" xfId="20364"/>
    <cellStyle name="Comma 2 5 3 21 7 2" xfId="20365"/>
    <cellStyle name="Comma 2 5 3 21 8" xfId="20366"/>
    <cellStyle name="Comma 2 5 3 21 8 2" xfId="20367"/>
    <cellStyle name="Comma 2 5 3 21 9" xfId="20368"/>
    <cellStyle name="Comma 2 5 3 21 9 2" xfId="20369"/>
    <cellStyle name="Comma 2 5 3 22" xfId="20370"/>
    <cellStyle name="Comma 2 5 3 22 10" xfId="20371"/>
    <cellStyle name="Comma 2 5 3 22 10 2" xfId="20372"/>
    <cellStyle name="Comma 2 5 3 22 11" xfId="20373"/>
    <cellStyle name="Comma 2 5 3 22 11 2" xfId="20374"/>
    <cellStyle name="Comma 2 5 3 22 12" xfId="20375"/>
    <cellStyle name="Comma 2 5 3 22 2" xfId="20376"/>
    <cellStyle name="Comma 2 5 3 22 2 2" xfId="20377"/>
    <cellStyle name="Comma 2 5 3 22 3" xfId="20378"/>
    <cellStyle name="Comma 2 5 3 22 3 2" xfId="20379"/>
    <cellStyle name="Comma 2 5 3 22 4" xfId="20380"/>
    <cellStyle name="Comma 2 5 3 22 4 2" xfId="20381"/>
    <cellStyle name="Comma 2 5 3 22 5" xfId="20382"/>
    <cellStyle name="Comma 2 5 3 22 5 2" xfId="20383"/>
    <cellStyle name="Comma 2 5 3 22 6" xfId="20384"/>
    <cellStyle name="Comma 2 5 3 22 6 2" xfId="20385"/>
    <cellStyle name="Comma 2 5 3 22 7" xfId="20386"/>
    <cellStyle name="Comma 2 5 3 22 7 2" xfId="20387"/>
    <cellStyle name="Comma 2 5 3 22 8" xfId="20388"/>
    <cellStyle name="Comma 2 5 3 22 8 2" xfId="20389"/>
    <cellStyle name="Comma 2 5 3 22 9" xfId="20390"/>
    <cellStyle name="Comma 2 5 3 22 9 2" xfId="20391"/>
    <cellStyle name="Comma 2 5 3 23" xfId="20392"/>
    <cellStyle name="Comma 2 5 3 23 10" xfId="20393"/>
    <cellStyle name="Comma 2 5 3 23 10 2" xfId="20394"/>
    <cellStyle name="Comma 2 5 3 23 11" xfId="20395"/>
    <cellStyle name="Comma 2 5 3 23 11 2" xfId="20396"/>
    <cellStyle name="Comma 2 5 3 23 12" xfId="20397"/>
    <cellStyle name="Comma 2 5 3 23 2" xfId="20398"/>
    <cellStyle name="Comma 2 5 3 23 2 2" xfId="20399"/>
    <cellStyle name="Comma 2 5 3 23 3" xfId="20400"/>
    <cellStyle name="Comma 2 5 3 23 3 2" xfId="20401"/>
    <cellStyle name="Comma 2 5 3 23 4" xfId="20402"/>
    <cellStyle name="Comma 2 5 3 23 4 2" xfId="20403"/>
    <cellStyle name="Comma 2 5 3 23 5" xfId="20404"/>
    <cellStyle name="Comma 2 5 3 23 5 2" xfId="20405"/>
    <cellStyle name="Comma 2 5 3 23 6" xfId="20406"/>
    <cellStyle name="Comma 2 5 3 23 6 2" xfId="20407"/>
    <cellStyle name="Comma 2 5 3 23 7" xfId="20408"/>
    <cellStyle name="Comma 2 5 3 23 7 2" xfId="20409"/>
    <cellStyle name="Comma 2 5 3 23 8" xfId="20410"/>
    <cellStyle name="Comma 2 5 3 23 8 2" xfId="20411"/>
    <cellStyle name="Comma 2 5 3 23 9" xfId="20412"/>
    <cellStyle name="Comma 2 5 3 23 9 2" xfId="20413"/>
    <cellStyle name="Comma 2 5 3 24" xfId="20414"/>
    <cellStyle name="Comma 2 5 3 24 10" xfId="20415"/>
    <cellStyle name="Comma 2 5 3 24 10 2" xfId="20416"/>
    <cellStyle name="Comma 2 5 3 24 11" xfId="20417"/>
    <cellStyle name="Comma 2 5 3 24 11 2" xfId="20418"/>
    <cellStyle name="Comma 2 5 3 24 12" xfId="20419"/>
    <cellStyle name="Comma 2 5 3 24 2" xfId="20420"/>
    <cellStyle name="Comma 2 5 3 24 2 2" xfId="20421"/>
    <cellStyle name="Comma 2 5 3 24 3" xfId="20422"/>
    <cellStyle name="Comma 2 5 3 24 3 2" xfId="20423"/>
    <cellStyle name="Comma 2 5 3 24 4" xfId="20424"/>
    <cellStyle name="Comma 2 5 3 24 4 2" xfId="20425"/>
    <cellStyle name="Comma 2 5 3 24 5" xfId="20426"/>
    <cellStyle name="Comma 2 5 3 24 5 2" xfId="20427"/>
    <cellStyle name="Comma 2 5 3 24 6" xfId="20428"/>
    <cellStyle name="Comma 2 5 3 24 6 2" xfId="20429"/>
    <cellStyle name="Comma 2 5 3 24 7" xfId="20430"/>
    <cellStyle name="Comma 2 5 3 24 7 2" xfId="20431"/>
    <cellStyle name="Comma 2 5 3 24 8" xfId="20432"/>
    <cellStyle name="Comma 2 5 3 24 8 2" xfId="20433"/>
    <cellStyle name="Comma 2 5 3 24 9" xfId="20434"/>
    <cellStyle name="Comma 2 5 3 24 9 2" xfId="20435"/>
    <cellStyle name="Comma 2 5 3 25" xfId="20436"/>
    <cellStyle name="Comma 2 5 3 25 10" xfId="20437"/>
    <cellStyle name="Comma 2 5 3 25 10 2" xfId="20438"/>
    <cellStyle name="Comma 2 5 3 25 11" xfId="20439"/>
    <cellStyle name="Comma 2 5 3 25 11 2" xfId="20440"/>
    <cellStyle name="Comma 2 5 3 25 12" xfId="20441"/>
    <cellStyle name="Comma 2 5 3 25 2" xfId="20442"/>
    <cellStyle name="Comma 2 5 3 25 2 2" xfId="20443"/>
    <cellStyle name="Comma 2 5 3 25 3" xfId="20444"/>
    <cellStyle name="Comma 2 5 3 25 3 2" xfId="20445"/>
    <cellStyle name="Comma 2 5 3 25 4" xfId="20446"/>
    <cellStyle name="Comma 2 5 3 25 4 2" xfId="20447"/>
    <cellStyle name="Comma 2 5 3 25 5" xfId="20448"/>
    <cellStyle name="Comma 2 5 3 25 5 2" xfId="20449"/>
    <cellStyle name="Comma 2 5 3 25 6" xfId="20450"/>
    <cellStyle name="Comma 2 5 3 25 6 2" xfId="20451"/>
    <cellStyle name="Comma 2 5 3 25 7" xfId="20452"/>
    <cellStyle name="Comma 2 5 3 25 7 2" xfId="20453"/>
    <cellStyle name="Comma 2 5 3 25 8" xfId="20454"/>
    <cellStyle name="Comma 2 5 3 25 8 2" xfId="20455"/>
    <cellStyle name="Comma 2 5 3 25 9" xfId="20456"/>
    <cellStyle name="Comma 2 5 3 25 9 2" xfId="20457"/>
    <cellStyle name="Comma 2 5 3 26" xfId="20458"/>
    <cellStyle name="Comma 2 5 3 26 10" xfId="20459"/>
    <cellStyle name="Comma 2 5 3 26 10 2" xfId="20460"/>
    <cellStyle name="Comma 2 5 3 26 11" xfId="20461"/>
    <cellStyle name="Comma 2 5 3 26 11 2" xfId="20462"/>
    <cellStyle name="Comma 2 5 3 26 12" xfId="20463"/>
    <cellStyle name="Comma 2 5 3 26 2" xfId="20464"/>
    <cellStyle name="Comma 2 5 3 26 2 2" xfId="20465"/>
    <cellStyle name="Comma 2 5 3 26 3" xfId="20466"/>
    <cellStyle name="Comma 2 5 3 26 3 2" xfId="20467"/>
    <cellStyle name="Comma 2 5 3 26 4" xfId="20468"/>
    <cellStyle name="Comma 2 5 3 26 4 2" xfId="20469"/>
    <cellStyle name="Comma 2 5 3 26 5" xfId="20470"/>
    <cellStyle name="Comma 2 5 3 26 5 2" xfId="20471"/>
    <cellStyle name="Comma 2 5 3 26 6" xfId="20472"/>
    <cellStyle name="Comma 2 5 3 26 6 2" xfId="20473"/>
    <cellStyle name="Comma 2 5 3 26 7" xfId="20474"/>
    <cellStyle name="Comma 2 5 3 26 7 2" xfId="20475"/>
    <cellStyle name="Comma 2 5 3 26 8" xfId="20476"/>
    <cellStyle name="Comma 2 5 3 26 8 2" xfId="20477"/>
    <cellStyle name="Comma 2 5 3 26 9" xfId="20478"/>
    <cellStyle name="Comma 2 5 3 26 9 2" xfId="20479"/>
    <cellStyle name="Comma 2 5 3 27" xfId="20480"/>
    <cellStyle name="Comma 2 5 3 27 10" xfId="20481"/>
    <cellStyle name="Comma 2 5 3 27 10 2" xfId="20482"/>
    <cellStyle name="Comma 2 5 3 27 11" xfId="20483"/>
    <cellStyle name="Comma 2 5 3 27 11 2" xfId="20484"/>
    <cellStyle name="Comma 2 5 3 27 12" xfId="20485"/>
    <cellStyle name="Comma 2 5 3 27 2" xfId="20486"/>
    <cellStyle name="Comma 2 5 3 27 2 2" xfId="20487"/>
    <cellStyle name="Comma 2 5 3 27 3" xfId="20488"/>
    <cellStyle name="Comma 2 5 3 27 3 2" xfId="20489"/>
    <cellStyle name="Comma 2 5 3 27 4" xfId="20490"/>
    <cellStyle name="Comma 2 5 3 27 4 2" xfId="20491"/>
    <cellStyle name="Comma 2 5 3 27 5" xfId="20492"/>
    <cellStyle name="Comma 2 5 3 27 5 2" xfId="20493"/>
    <cellStyle name="Comma 2 5 3 27 6" xfId="20494"/>
    <cellStyle name="Comma 2 5 3 27 6 2" xfId="20495"/>
    <cellStyle name="Comma 2 5 3 27 7" xfId="20496"/>
    <cellStyle name="Comma 2 5 3 27 7 2" xfId="20497"/>
    <cellStyle name="Comma 2 5 3 27 8" xfId="20498"/>
    <cellStyle name="Comma 2 5 3 27 8 2" xfId="20499"/>
    <cellStyle name="Comma 2 5 3 27 9" xfId="20500"/>
    <cellStyle name="Comma 2 5 3 27 9 2" xfId="20501"/>
    <cellStyle name="Comma 2 5 3 28" xfId="20502"/>
    <cellStyle name="Comma 2 5 3 28 10" xfId="20503"/>
    <cellStyle name="Comma 2 5 3 28 10 2" xfId="20504"/>
    <cellStyle name="Comma 2 5 3 28 11" xfId="20505"/>
    <cellStyle name="Comma 2 5 3 28 11 2" xfId="20506"/>
    <cellStyle name="Comma 2 5 3 28 12" xfId="20507"/>
    <cellStyle name="Comma 2 5 3 28 2" xfId="20508"/>
    <cellStyle name="Comma 2 5 3 28 2 2" xfId="20509"/>
    <cellStyle name="Comma 2 5 3 28 3" xfId="20510"/>
    <cellStyle name="Comma 2 5 3 28 3 2" xfId="20511"/>
    <cellStyle name="Comma 2 5 3 28 4" xfId="20512"/>
    <cellStyle name="Comma 2 5 3 28 4 2" xfId="20513"/>
    <cellStyle name="Comma 2 5 3 28 5" xfId="20514"/>
    <cellStyle name="Comma 2 5 3 28 5 2" xfId="20515"/>
    <cellStyle name="Comma 2 5 3 28 6" xfId="20516"/>
    <cellStyle name="Comma 2 5 3 28 6 2" xfId="20517"/>
    <cellStyle name="Comma 2 5 3 28 7" xfId="20518"/>
    <cellStyle name="Comma 2 5 3 28 7 2" xfId="20519"/>
    <cellStyle name="Comma 2 5 3 28 8" xfId="20520"/>
    <cellStyle name="Comma 2 5 3 28 8 2" xfId="20521"/>
    <cellStyle name="Comma 2 5 3 28 9" xfId="20522"/>
    <cellStyle name="Comma 2 5 3 28 9 2" xfId="20523"/>
    <cellStyle name="Comma 2 5 3 29" xfId="20524"/>
    <cellStyle name="Comma 2 5 3 29 10" xfId="20525"/>
    <cellStyle name="Comma 2 5 3 29 10 2" xfId="20526"/>
    <cellStyle name="Comma 2 5 3 29 11" xfId="20527"/>
    <cellStyle name="Comma 2 5 3 29 11 2" xfId="20528"/>
    <cellStyle name="Comma 2 5 3 29 12" xfId="20529"/>
    <cellStyle name="Comma 2 5 3 29 2" xfId="20530"/>
    <cellStyle name="Comma 2 5 3 29 2 2" xfId="20531"/>
    <cellStyle name="Comma 2 5 3 29 3" xfId="20532"/>
    <cellStyle name="Comma 2 5 3 29 3 2" xfId="20533"/>
    <cellStyle name="Comma 2 5 3 29 4" xfId="20534"/>
    <cellStyle name="Comma 2 5 3 29 4 2" xfId="20535"/>
    <cellStyle name="Comma 2 5 3 29 5" xfId="20536"/>
    <cellStyle name="Comma 2 5 3 29 5 2" xfId="20537"/>
    <cellStyle name="Comma 2 5 3 29 6" xfId="20538"/>
    <cellStyle name="Comma 2 5 3 29 6 2" xfId="20539"/>
    <cellStyle name="Comma 2 5 3 29 7" xfId="20540"/>
    <cellStyle name="Comma 2 5 3 29 7 2" xfId="20541"/>
    <cellStyle name="Comma 2 5 3 29 8" xfId="20542"/>
    <cellStyle name="Comma 2 5 3 29 8 2" xfId="20543"/>
    <cellStyle name="Comma 2 5 3 29 9" xfId="20544"/>
    <cellStyle name="Comma 2 5 3 29 9 2" xfId="20545"/>
    <cellStyle name="Comma 2 5 3 3" xfId="20546"/>
    <cellStyle name="Comma 2 5 3 3 10" xfId="20547"/>
    <cellStyle name="Comma 2 5 3 3 10 2" xfId="20548"/>
    <cellStyle name="Comma 2 5 3 3 11" xfId="20549"/>
    <cellStyle name="Comma 2 5 3 3 11 2" xfId="20550"/>
    <cellStyle name="Comma 2 5 3 3 12" xfId="20551"/>
    <cellStyle name="Comma 2 5 3 3 2" xfId="20552"/>
    <cellStyle name="Comma 2 5 3 3 2 2" xfId="20553"/>
    <cellStyle name="Comma 2 5 3 3 3" xfId="20554"/>
    <cellStyle name="Comma 2 5 3 3 3 2" xfId="20555"/>
    <cellStyle name="Comma 2 5 3 3 4" xfId="20556"/>
    <cellStyle name="Comma 2 5 3 3 4 2" xfId="20557"/>
    <cellStyle name="Comma 2 5 3 3 5" xfId="20558"/>
    <cellStyle name="Comma 2 5 3 3 5 2" xfId="20559"/>
    <cellStyle name="Comma 2 5 3 3 6" xfId="20560"/>
    <cellStyle name="Comma 2 5 3 3 6 2" xfId="20561"/>
    <cellStyle name="Comma 2 5 3 3 7" xfId="20562"/>
    <cellStyle name="Comma 2 5 3 3 7 2" xfId="20563"/>
    <cellStyle name="Comma 2 5 3 3 8" xfId="20564"/>
    <cellStyle name="Comma 2 5 3 3 8 2" xfId="20565"/>
    <cellStyle name="Comma 2 5 3 3 9" xfId="20566"/>
    <cellStyle name="Comma 2 5 3 3 9 2" xfId="20567"/>
    <cellStyle name="Comma 2 5 3 30" xfId="20568"/>
    <cellStyle name="Comma 2 5 3 30 10" xfId="20569"/>
    <cellStyle name="Comma 2 5 3 30 10 2" xfId="20570"/>
    <cellStyle name="Comma 2 5 3 30 11" xfId="20571"/>
    <cellStyle name="Comma 2 5 3 30 11 2" xfId="20572"/>
    <cellStyle name="Comma 2 5 3 30 12" xfId="20573"/>
    <cellStyle name="Comma 2 5 3 30 2" xfId="20574"/>
    <cellStyle name="Comma 2 5 3 30 2 2" xfId="20575"/>
    <cellStyle name="Comma 2 5 3 30 3" xfId="20576"/>
    <cellStyle name="Comma 2 5 3 30 3 2" xfId="20577"/>
    <cellStyle name="Comma 2 5 3 30 4" xfId="20578"/>
    <cellStyle name="Comma 2 5 3 30 4 2" xfId="20579"/>
    <cellStyle name="Comma 2 5 3 30 5" xfId="20580"/>
    <cellStyle name="Comma 2 5 3 30 5 2" xfId="20581"/>
    <cellStyle name="Comma 2 5 3 30 6" xfId="20582"/>
    <cellStyle name="Comma 2 5 3 30 6 2" xfId="20583"/>
    <cellStyle name="Comma 2 5 3 30 7" xfId="20584"/>
    <cellStyle name="Comma 2 5 3 30 7 2" xfId="20585"/>
    <cellStyle name="Comma 2 5 3 30 8" xfId="20586"/>
    <cellStyle name="Comma 2 5 3 30 8 2" xfId="20587"/>
    <cellStyle name="Comma 2 5 3 30 9" xfId="20588"/>
    <cellStyle name="Comma 2 5 3 30 9 2" xfId="20589"/>
    <cellStyle name="Comma 2 5 3 31" xfId="20590"/>
    <cellStyle name="Comma 2 5 3 31 10" xfId="20591"/>
    <cellStyle name="Comma 2 5 3 31 10 2" xfId="20592"/>
    <cellStyle name="Comma 2 5 3 31 11" xfId="20593"/>
    <cellStyle name="Comma 2 5 3 31 11 2" xfId="20594"/>
    <cellStyle name="Comma 2 5 3 31 12" xfId="20595"/>
    <cellStyle name="Comma 2 5 3 31 2" xfId="20596"/>
    <cellStyle name="Comma 2 5 3 31 2 2" xfId="20597"/>
    <cellStyle name="Comma 2 5 3 31 3" xfId="20598"/>
    <cellStyle name="Comma 2 5 3 31 3 2" xfId="20599"/>
    <cellStyle name="Comma 2 5 3 31 4" xfId="20600"/>
    <cellStyle name="Comma 2 5 3 31 4 2" xfId="20601"/>
    <cellStyle name="Comma 2 5 3 31 5" xfId="20602"/>
    <cellStyle name="Comma 2 5 3 31 5 2" xfId="20603"/>
    <cellStyle name="Comma 2 5 3 31 6" xfId="20604"/>
    <cellStyle name="Comma 2 5 3 31 6 2" xfId="20605"/>
    <cellStyle name="Comma 2 5 3 31 7" xfId="20606"/>
    <cellStyle name="Comma 2 5 3 31 7 2" xfId="20607"/>
    <cellStyle name="Comma 2 5 3 31 8" xfId="20608"/>
    <cellStyle name="Comma 2 5 3 31 8 2" xfId="20609"/>
    <cellStyle name="Comma 2 5 3 31 9" xfId="20610"/>
    <cellStyle name="Comma 2 5 3 31 9 2" xfId="20611"/>
    <cellStyle name="Comma 2 5 3 32" xfId="20612"/>
    <cellStyle name="Comma 2 5 3 32 10" xfId="20613"/>
    <cellStyle name="Comma 2 5 3 32 10 2" xfId="20614"/>
    <cellStyle name="Comma 2 5 3 32 11" xfId="20615"/>
    <cellStyle name="Comma 2 5 3 32 11 2" xfId="20616"/>
    <cellStyle name="Comma 2 5 3 32 12" xfId="20617"/>
    <cellStyle name="Comma 2 5 3 32 2" xfId="20618"/>
    <cellStyle name="Comma 2 5 3 32 2 2" xfId="20619"/>
    <cellStyle name="Comma 2 5 3 32 3" xfId="20620"/>
    <cellStyle name="Comma 2 5 3 32 3 2" xfId="20621"/>
    <cellStyle name="Comma 2 5 3 32 4" xfId="20622"/>
    <cellStyle name="Comma 2 5 3 32 4 2" xfId="20623"/>
    <cellStyle name="Comma 2 5 3 32 5" xfId="20624"/>
    <cellStyle name="Comma 2 5 3 32 5 2" xfId="20625"/>
    <cellStyle name="Comma 2 5 3 32 6" xfId="20626"/>
    <cellStyle name="Comma 2 5 3 32 6 2" xfId="20627"/>
    <cellStyle name="Comma 2 5 3 32 7" xfId="20628"/>
    <cellStyle name="Comma 2 5 3 32 7 2" xfId="20629"/>
    <cellStyle name="Comma 2 5 3 32 8" xfId="20630"/>
    <cellStyle name="Comma 2 5 3 32 8 2" xfId="20631"/>
    <cellStyle name="Comma 2 5 3 32 9" xfId="20632"/>
    <cellStyle name="Comma 2 5 3 32 9 2" xfId="20633"/>
    <cellStyle name="Comma 2 5 3 33" xfId="20634"/>
    <cellStyle name="Comma 2 5 3 33 10" xfId="20635"/>
    <cellStyle name="Comma 2 5 3 33 10 2" xfId="20636"/>
    <cellStyle name="Comma 2 5 3 33 11" xfId="20637"/>
    <cellStyle name="Comma 2 5 3 33 11 2" xfId="20638"/>
    <cellStyle name="Comma 2 5 3 33 12" xfId="20639"/>
    <cellStyle name="Comma 2 5 3 33 2" xfId="20640"/>
    <cellStyle name="Comma 2 5 3 33 2 2" xfId="20641"/>
    <cellStyle name="Comma 2 5 3 33 3" xfId="20642"/>
    <cellStyle name="Comma 2 5 3 33 3 2" xfId="20643"/>
    <cellStyle name="Comma 2 5 3 33 4" xfId="20644"/>
    <cellStyle name="Comma 2 5 3 33 4 2" xfId="20645"/>
    <cellStyle name="Comma 2 5 3 33 5" xfId="20646"/>
    <cellStyle name="Comma 2 5 3 33 5 2" xfId="20647"/>
    <cellStyle name="Comma 2 5 3 33 6" xfId="20648"/>
    <cellStyle name="Comma 2 5 3 33 6 2" xfId="20649"/>
    <cellStyle name="Comma 2 5 3 33 7" xfId="20650"/>
    <cellStyle name="Comma 2 5 3 33 7 2" xfId="20651"/>
    <cellStyle name="Comma 2 5 3 33 8" xfId="20652"/>
    <cellStyle name="Comma 2 5 3 33 8 2" xfId="20653"/>
    <cellStyle name="Comma 2 5 3 33 9" xfId="20654"/>
    <cellStyle name="Comma 2 5 3 33 9 2" xfId="20655"/>
    <cellStyle name="Comma 2 5 3 34" xfId="20656"/>
    <cellStyle name="Comma 2 5 3 34 10" xfId="20657"/>
    <cellStyle name="Comma 2 5 3 34 10 2" xfId="20658"/>
    <cellStyle name="Comma 2 5 3 34 11" xfId="20659"/>
    <cellStyle name="Comma 2 5 3 34 11 2" xfId="20660"/>
    <cellStyle name="Comma 2 5 3 34 12" xfId="20661"/>
    <cellStyle name="Comma 2 5 3 34 2" xfId="20662"/>
    <cellStyle name="Comma 2 5 3 34 2 2" xfId="20663"/>
    <cellStyle name="Comma 2 5 3 34 3" xfId="20664"/>
    <cellStyle name="Comma 2 5 3 34 3 2" xfId="20665"/>
    <cellStyle name="Comma 2 5 3 34 4" xfId="20666"/>
    <cellStyle name="Comma 2 5 3 34 4 2" xfId="20667"/>
    <cellStyle name="Comma 2 5 3 34 5" xfId="20668"/>
    <cellStyle name="Comma 2 5 3 34 5 2" xfId="20669"/>
    <cellStyle name="Comma 2 5 3 34 6" xfId="20670"/>
    <cellStyle name="Comma 2 5 3 34 6 2" xfId="20671"/>
    <cellStyle name="Comma 2 5 3 34 7" xfId="20672"/>
    <cellStyle name="Comma 2 5 3 34 7 2" xfId="20673"/>
    <cellStyle name="Comma 2 5 3 34 8" xfId="20674"/>
    <cellStyle name="Comma 2 5 3 34 8 2" xfId="20675"/>
    <cellStyle name="Comma 2 5 3 34 9" xfId="20676"/>
    <cellStyle name="Comma 2 5 3 34 9 2" xfId="20677"/>
    <cellStyle name="Comma 2 5 3 35" xfId="20678"/>
    <cellStyle name="Comma 2 5 3 35 10" xfId="20679"/>
    <cellStyle name="Comma 2 5 3 35 10 2" xfId="20680"/>
    <cellStyle name="Comma 2 5 3 35 11" xfId="20681"/>
    <cellStyle name="Comma 2 5 3 35 11 2" xfId="20682"/>
    <cellStyle name="Comma 2 5 3 35 12" xfId="20683"/>
    <cellStyle name="Comma 2 5 3 35 2" xfId="20684"/>
    <cellStyle name="Comma 2 5 3 35 2 2" xfId="20685"/>
    <cellStyle name="Comma 2 5 3 35 3" xfId="20686"/>
    <cellStyle name="Comma 2 5 3 35 3 2" xfId="20687"/>
    <cellStyle name="Comma 2 5 3 35 4" xfId="20688"/>
    <cellStyle name="Comma 2 5 3 35 4 2" xfId="20689"/>
    <cellStyle name="Comma 2 5 3 35 5" xfId="20690"/>
    <cellStyle name="Comma 2 5 3 35 5 2" xfId="20691"/>
    <cellStyle name="Comma 2 5 3 35 6" xfId="20692"/>
    <cellStyle name="Comma 2 5 3 35 6 2" xfId="20693"/>
    <cellStyle name="Comma 2 5 3 35 7" xfId="20694"/>
    <cellStyle name="Comma 2 5 3 35 7 2" xfId="20695"/>
    <cellStyle name="Comma 2 5 3 35 8" xfId="20696"/>
    <cellStyle name="Comma 2 5 3 35 8 2" xfId="20697"/>
    <cellStyle name="Comma 2 5 3 35 9" xfId="20698"/>
    <cellStyle name="Comma 2 5 3 35 9 2" xfId="20699"/>
    <cellStyle name="Comma 2 5 3 36" xfId="20700"/>
    <cellStyle name="Comma 2 5 3 36 10" xfId="20701"/>
    <cellStyle name="Comma 2 5 3 36 10 2" xfId="20702"/>
    <cellStyle name="Comma 2 5 3 36 11" xfId="20703"/>
    <cellStyle name="Comma 2 5 3 36 11 2" xfId="20704"/>
    <cellStyle name="Comma 2 5 3 36 12" xfId="20705"/>
    <cellStyle name="Comma 2 5 3 36 2" xfId="20706"/>
    <cellStyle name="Comma 2 5 3 36 2 2" xfId="20707"/>
    <cellStyle name="Comma 2 5 3 36 3" xfId="20708"/>
    <cellStyle name="Comma 2 5 3 36 3 2" xfId="20709"/>
    <cellStyle name="Comma 2 5 3 36 4" xfId="20710"/>
    <cellStyle name="Comma 2 5 3 36 4 2" xfId="20711"/>
    <cellStyle name="Comma 2 5 3 36 5" xfId="20712"/>
    <cellStyle name="Comma 2 5 3 36 5 2" xfId="20713"/>
    <cellStyle name="Comma 2 5 3 36 6" xfId="20714"/>
    <cellStyle name="Comma 2 5 3 36 6 2" xfId="20715"/>
    <cellStyle name="Comma 2 5 3 36 7" xfId="20716"/>
    <cellStyle name="Comma 2 5 3 36 7 2" xfId="20717"/>
    <cellStyle name="Comma 2 5 3 36 8" xfId="20718"/>
    <cellStyle name="Comma 2 5 3 36 8 2" xfId="20719"/>
    <cellStyle name="Comma 2 5 3 36 9" xfId="20720"/>
    <cellStyle name="Comma 2 5 3 36 9 2" xfId="20721"/>
    <cellStyle name="Comma 2 5 3 37" xfId="20722"/>
    <cellStyle name="Comma 2 5 3 37 10" xfId="20723"/>
    <cellStyle name="Comma 2 5 3 37 10 2" xfId="20724"/>
    <cellStyle name="Comma 2 5 3 37 11" xfId="20725"/>
    <cellStyle name="Comma 2 5 3 37 11 2" xfId="20726"/>
    <cellStyle name="Comma 2 5 3 37 12" xfId="20727"/>
    <cellStyle name="Comma 2 5 3 37 2" xfId="20728"/>
    <cellStyle name="Comma 2 5 3 37 2 2" xfId="20729"/>
    <cellStyle name="Comma 2 5 3 37 3" xfId="20730"/>
    <cellStyle name="Comma 2 5 3 37 3 2" xfId="20731"/>
    <cellStyle name="Comma 2 5 3 37 4" xfId="20732"/>
    <cellStyle name="Comma 2 5 3 37 4 2" xfId="20733"/>
    <cellStyle name="Comma 2 5 3 37 5" xfId="20734"/>
    <cellStyle name="Comma 2 5 3 37 5 2" xfId="20735"/>
    <cellStyle name="Comma 2 5 3 37 6" xfId="20736"/>
    <cellStyle name="Comma 2 5 3 37 6 2" xfId="20737"/>
    <cellStyle name="Comma 2 5 3 37 7" xfId="20738"/>
    <cellStyle name="Comma 2 5 3 37 7 2" xfId="20739"/>
    <cellStyle name="Comma 2 5 3 37 8" xfId="20740"/>
    <cellStyle name="Comma 2 5 3 37 8 2" xfId="20741"/>
    <cellStyle name="Comma 2 5 3 37 9" xfId="20742"/>
    <cellStyle name="Comma 2 5 3 37 9 2" xfId="20743"/>
    <cellStyle name="Comma 2 5 3 38" xfId="20744"/>
    <cellStyle name="Comma 2 5 3 38 10" xfId="20745"/>
    <cellStyle name="Comma 2 5 3 38 10 2" xfId="20746"/>
    <cellStyle name="Comma 2 5 3 38 11" xfId="20747"/>
    <cellStyle name="Comma 2 5 3 38 11 2" xfId="20748"/>
    <cellStyle name="Comma 2 5 3 38 12" xfId="20749"/>
    <cellStyle name="Comma 2 5 3 38 2" xfId="20750"/>
    <cellStyle name="Comma 2 5 3 38 2 2" xfId="20751"/>
    <cellStyle name="Comma 2 5 3 38 3" xfId="20752"/>
    <cellStyle name="Comma 2 5 3 38 3 2" xfId="20753"/>
    <cellStyle name="Comma 2 5 3 38 4" xfId="20754"/>
    <cellStyle name="Comma 2 5 3 38 4 2" xfId="20755"/>
    <cellStyle name="Comma 2 5 3 38 5" xfId="20756"/>
    <cellStyle name="Comma 2 5 3 38 5 2" xfId="20757"/>
    <cellStyle name="Comma 2 5 3 38 6" xfId="20758"/>
    <cellStyle name="Comma 2 5 3 38 6 2" xfId="20759"/>
    <cellStyle name="Comma 2 5 3 38 7" xfId="20760"/>
    <cellStyle name="Comma 2 5 3 38 7 2" xfId="20761"/>
    <cellStyle name="Comma 2 5 3 38 8" xfId="20762"/>
    <cellStyle name="Comma 2 5 3 38 8 2" xfId="20763"/>
    <cellStyle name="Comma 2 5 3 38 9" xfId="20764"/>
    <cellStyle name="Comma 2 5 3 38 9 2" xfId="20765"/>
    <cellStyle name="Comma 2 5 3 39" xfId="20766"/>
    <cellStyle name="Comma 2 5 3 39 10" xfId="20767"/>
    <cellStyle name="Comma 2 5 3 39 10 2" xfId="20768"/>
    <cellStyle name="Comma 2 5 3 39 11" xfId="20769"/>
    <cellStyle name="Comma 2 5 3 39 11 2" xfId="20770"/>
    <cellStyle name="Comma 2 5 3 39 12" xfId="20771"/>
    <cellStyle name="Comma 2 5 3 39 2" xfId="20772"/>
    <cellStyle name="Comma 2 5 3 39 2 2" xfId="20773"/>
    <cellStyle name="Comma 2 5 3 39 3" xfId="20774"/>
    <cellStyle name="Comma 2 5 3 39 3 2" xfId="20775"/>
    <cellStyle name="Comma 2 5 3 39 4" xfId="20776"/>
    <cellStyle name="Comma 2 5 3 39 4 2" xfId="20777"/>
    <cellStyle name="Comma 2 5 3 39 5" xfId="20778"/>
    <cellStyle name="Comma 2 5 3 39 5 2" xfId="20779"/>
    <cellStyle name="Comma 2 5 3 39 6" xfId="20780"/>
    <cellStyle name="Comma 2 5 3 39 6 2" xfId="20781"/>
    <cellStyle name="Comma 2 5 3 39 7" xfId="20782"/>
    <cellStyle name="Comma 2 5 3 39 7 2" xfId="20783"/>
    <cellStyle name="Comma 2 5 3 39 8" xfId="20784"/>
    <cellStyle name="Comma 2 5 3 39 8 2" xfId="20785"/>
    <cellStyle name="Comma 2 5 3 39 9" xfId="20786"/>
    <cellStyle name="Comma 2 5 3 39 9 2" xfId="20787"/>
    <cellStyle name="Comma 2 5 3 4" xfId="20788"/>
    <cellStyle name="Comma 2 5 3 4 10" xfId="20789"/>
    <cellStyle name="Comma 2 5 3 4 10 2" xfId="20790"/>
    <cellStyle name="Comma 2 5 3 4 11" xfId="20791"/>
    <cellStyle name="Comma 2 5 3 4 11 2" xfId="20792"/>
    <cellStyle name="Comma 2 5 3 4 12" xfId="20793"/>
    <cellStyle name="Comma 2 5 3 4 2" xfId="20794"/>
    <cellStyle name="Comma 2 5 3 4 2 2" xfId="20795"/>
    <cellStyle name="Comma 2 5 3 4 3" xfId="20796"/>
    <cellStyle name="Comma 2 5 3 4 3 2" xfId="20797"/>
    <cellStyle name="Comma 2 5 3 4 4" xfId="20798"/>
    <cellStyle name="Comma 2 5 3 4 4 2" xfId="20799"/>
    <cellStyle name="Comma 2 5 3 4 5" xfId="20800"/>
    <cellStyle name="Comma 2 5 3 4 5 2" xfId="20801"/>
    <cellStyle name="Comma 2 5 3 4 6" xfId="20802"/>
    <cellStyle name="Comma 2 5 3 4 6 2" xfId="20803"/>
    <cellStyle name="Comma 2 5 3 4 7" xfId="20804"/>
    <cellStyle name="Comma 2 5 3 4 7 2" xfId="20805"/>
    <cellStyle name="Comma 2 5 3 4 8" xfId="20806"/>
    <cellStyle name="Comma 2 5 3 4 8 2" xfId="20807"/>
    <cellStyle name="Comma 2 5 3 4 9" xfId="20808"/>
    <cellStyle name="Comma 2 5 3 4 9 2" xfId="20809"/>
    <cellStyle name="Comma 2 5 3 40" xfId="20810"/>
    <cellStyle name="Comma 2 5 3 40 2" xfId="20811"/>
    <cellStyle name="Comma 2 5 3 41" xfId="20812"/>
    <cellStyle name="Comma 2 5 3 41 2" xfId="20813"/>
    <cellStyle name="Comma 2 5 3 42" xfId="20814"/>
    <cellStyle name="Comma 2 5 3 42 2" xfId="20815"/>
    <cellStyle name="Comma 2 5 3 43" xfId="20816"/>
    <cellStyle name="Comma 2 5 3 43 2" xfId="20817"/>
    <cellStyle name="Comma 2 5 3 44" xfId="20818"/>
    <cellStyle name="Comma 2 5 3 44 2" xfId="20819"/>
    <cellStyle name="Comma 2 5 3 45" xfId="20820"/>
    <cellStyle name="Comma 2 5 3 45 2" xfId="20821"/>
    <cellStyle name="Comma 2 5 3 46" xfId="20822"/>
    <cellStyle name="Comma 2 5 3 46 2" xfId="20823"/>
    <cellStyle name="Comma 2 5 3 47" xfId="20824"/>
    <cellStyle name="Comma 2 5 3 47 2" xfId="20825"/>
    <cellStyle name="Comma 2 5 3 48" xfId="20826"/>
    <cellStyle name="Comma 2 5 3 48 2" xfId="20827"/>
    <cellStyle name="Comma 2 5 3 49" xfId="20828"/>
    <cellStyle name="Comma 2 5 3 49 2" xfId="20829"/>
    <cellStyle name="Comma 2 5 3 5" xfId="20830"/>
    <cellStyle name="Comma 2 5 3 5 10" xfId="20831"/>
    <cellStyle name="Comma 2 5 3 5 10 2" xfId="20832"/>
    <cellStyle name="Comma 2 5 3 5 11" xfId="20833"/>
    <cellStyle name="Comma 2 5 3 5 11 2" xfId="20834"/>
    <cellStyle name="Comma 2 5 3 5 12" xfId="20835"/>
    <cellStyle name="Comma 2 5 3 5 2" xfId="20836"/>
    <cellStyle name="Comma 2 5 3 5 2 2" xfId="20837"/>
    <cellStyle name="Comma 2 5 3 5 3" xfId="20838"/>
    <cellStyle name="Comma 2 5 3 5 3 2" xfId="20839"/>
    <cellStyle name="Comma 2 5 3 5 4" xfId="20840"/>
    <cellStyle name="Comma 2 5 3 5 4 2" xfId="20841"/>
    <cellStyle name="Comma 2 5 3 5 5" xfId="20842"/>
    <cellStyle name="Comma 2 5 3 5 5 2" xfId="20843"/>
    <cellStyle name="Comma 2 5 3 5 6" xfId="20844"/>
    <cellStyle name="Comma 2 5 3 5 6 2" xfId="20845"/>
    <cellStyle name="Comma 2 5 3 5 7" xfId="20846"/>
    <cellStyle name="Comma 2 5 3 5 7 2" xfId="20847"/>
    <cellStyle name="Comma 2 5 3 5 8" xfId="20848"/>
    <cellStyle name="Comma 2 5 3 5 8 2" xfId="20849"/>
    <cellStyle name="Comma 2 5 3 5 9" xfId="20850"/>
    <cellStyle name="Comma 2 5 3 5 9 2" xfId="20851"/>
    <cellStyle name="Comma 2 5 3 50" xfId="20852"/>
    <cellStyle name="Comma 2 5 3 50 2" xfId="20853"/>
    <cellStyle name="Comma 2 5 3 51" xfId="20854"/>
    <cellStyle name="Comma 2 5 3 51 2" xfId="20855"/>
    <cellStyle name="Comma 2 5 3 52" xfId="20856"/>
    <cellStyle name="Comma 2 5 3 6" xfId="20857"/>
    <cellStyle name="Comma 2 5 3 6 10" xfId="20858"/>
    <cellStyle name="Comma 2 5 3 6 10 2" xfId="20859"/>
    <cellStyle name="Comma 2 5 3 6 11" xfId="20860"/>
    <cellStyle name="Comma 2 5 3 6 11 2" xfId="20861"/>
    <cellStyle name="Comma 2 5 3 6 12" xfId="20862"/>
    <cellStyle name="Comma 2 5 3 6 2" xfId="20863"/>
    <cellStyle name="Comma 2 5 3 6 2 2" xfId="20864"/>
    <cellStyle name="Comma 2 5 3 6 3" xfId="20865"/>
    <cellStyle name="Comma 2 5 3 6 3 2" xfId="20866"/>
    <cellStyle name="Comma 2 5 3 6 4" xfId="20867"/>
    <cellStyle name="Comma 2 5 3 6 4 2" xfId="20868"/>
    <cellStyle name="Comma 2 5 3 6 5" xfId="20869"/>
    <cellStyle name="Comma 2 5 3 6 5 2" xfId="20870"/>
    <cellStyle name="Comma 2 5 3 6 6" xfId="20871"/>
    <cellStyle name="Comma 2 5 3 6 6 2" xfId="20872"/>
    <cellStyle name="Comma 2 5 3 6 7" xfId="20873"/>
    <cellStyle name="Comma 2 5 3 6 7 2" xfId="20874"/>
    <cellStyle name="Comma 2 5 3 6 8" xfId="20875"/>
    <cellStyle name="Comma 2 5 3 6 8 2" xfId="20876"/>
    <cellStyle name="Comma 2 5 3 6 9" xfId="20877"/>
    <cellStyle name="Comma 2 5 3 6 9 2" xfId="20878"/>
    <cellStyle name="Comma 2 5 3 7" xfId="20879"/>
    <cellStyle name="Comma 2 5 3 7 10" xfId="20880"/>
    <cellStyle name="Comma 2 5 3 7 10 2" xfId="20881"/>
    <cellStyle name="Comma 2 5 3 7 11" xfId="20882"/>
    <cellStyle name="Comma 2 5 3 7 11 2" xfId="20883"/>
    <cellStyle name="Comma 2 5 3 7 12" xfId="20884"/>
    <cellStyle name="Comma 2 5 3 7 2" xfId="20885"/>
    <cellStyle name="Comma 2 5 3 7 2 2" xfId="20886"/>
    <cellStyle name="Comma 2 5 3 7 3" xfId="20887"/>
    <cellStyle name="Comma 2 5 3 7 3 2" xfId="20888"/>
    <cellStyle name="Comma 2 5 3 7 4" xfId="20889"/>
    <cellStyle name="Comma 2 5 3 7 4 2" xfId="20890"/>
    <cellStyle name="Comma 2 5 3 7 5" xfId="20891"/>
    <cellStyle name="Comma 2 5 3 7 5 2" xfId="20892"/>
    <cellStyle name="Comma 2 5 3 7 6" xfId="20893"/>
    <cellStyle name="Comma 2 5 3 7 6 2" xfId="20894"/>
    <cellStyle name="Comma 2 5 3 7 7" xfId="20895"/>
    <cellStyle name="Comma 2 5 3 7 7 2" xfId="20896"/>
    <cellStyle name="Comma 2 5 3 7 8" xfId="20897"/>
    <cellStyle name="Comma 2 5 3 7 8 2" xfId="20898"/>
    <cellStyle name="Comma 2 5 3 7 9" xfId="20899"/>
    <cellStyle name="Comma 2 5 3 7 9 2" xfId="20900"/>
    <cellStyle name="Comma 2 5 3 8" xfId="20901"/>
    <cellStyle name="Comma 2 5 3 8 10" xfId="20902"/>
    <cellStyle name="Comma 2 5 3 8 10 2" xfId="20903"/>
    <cellStyle name="Comma 2 5 3 8 11" xfId="20904"/>
    <cellStyle name="Comma 2 5 3 8 11 2" xfId="20905"/>
    <cellStyle name="Comma 2 5 3 8 12" xfId="20906"/>
    <cellStyle name="Comma 2 5 3 8 2" xfId="20907"/>
    <cellStyle name="Comma 2 5 3 8 2 2" xfId="20908"/>
    <cellStyle name="Comma 2 5 3 8 3" xfId="20909"/>
    <cellStyle name="Comma 2 5 3 8 3 2" xfId="20910"/>
    <cellStyle name="Comma 2 5 3 8 4" xfId="20911"/>
    <cellStyle name="Comma 2 5 3 8 4 2" xfId="20912"/>
    <cellStyle name="Comma 2 5 3 8 5" xfId="20913"/>
    <cellStyle name="Comma 2 5 3 8 5 2" xfId="20914"/>
    <cellStyle name="Comma 2 5 3 8 6" xfId="20915"/>
    <cellStyle name="Comma 2 5 3 8 6 2" xfId="20916"/>
    <cellStyle name="Comma 2 5 3 8 7" xfId="20917"/>
    <cellStyle name="Comma 2 5 3 8 7 2" xfId="20918"/>
    <cellStyle name="Comma 2 5 3 8 8" xfId="20919"/>
    <cellStyle name="Comma 2 5 3 8 8 2" xfId="20920"/>
    <cellStyle name="Comma 2 5 3 8 9" xfId="20921"/>
    <cellStyle name="Comma 2 5 3 8 9 2" xfId="20922"/>
    <cellStyle name="Comma 2 5 3 9" xfId="20923"/>
    <cellStyle name="Comma 2 5 3 9 10" xfId="20924"/>
    <cellStyle name="Comma 2 5 3 9 10 2" xfId="20925"/>
    <cellStyle name="Comma 2 5 3 9 11" xfId="20926"/>
    <cellStyle name="Comma 2 5 3 9 11 2" xfId="20927"/>
    <cellStyle name="Comma 2 5 3 9 12" xfId="20928"/>
    <cellStyle name="Comma 2 5 3 9 2" xfId="20929"/>
    <cellStyle name="Comma 2 5 3 9 2 2" xfId="20930"/>
    <cellStyle name="Comma 2 5 3 9 3" xfId="20931"/>
    <cellStyle name="Comma 2 5 3 9 3 2" xfId="20932"/>
    <cellStyle name="Comma 2 5 3 9 4" xfId="20933"/>
    <cellStyle name="Comma 2 5 3 9 4 2" xfId="20934"/>
    <cellStyle name="Comma 2 5 3 9 5" xfId="20935"/>
    <cellStyle name="Comma 2 5 3 9 5 2" xfId="20936"/>
    <cellStyle name="Comma 2 5 3 9 6" xfId="20937"/>
    <cellStyle name="Comma 2 5 3 9 6 2" xfId="20938"/>
    <cellStyle name="Comma 2 5 3 9 7" xfId="20939"/>
    <cellStyle name="Comma 2 5 3 9 7 2" xfId="20940"/>
    <cellStyle name="Comma 2 5 3 9 8" xfId="20941"/>
    <cellStyle name="Comma 2 5 3 9 8 2" xfId="20942"/>
    <cellStyle name="Comma 2 5 3 9 9" xfId="20943"/>
    <cellStyle name="Comma 2 5 3 9 9 2" xfId="20944"/>
    <cellStyle name="Comma 2 5 30" xfId="20945"/>
    <cellStyle name="Comma 2 5 30 10" xfId="20946"/>
    <cellStyle name="Comma 2 5 30 10 2" xfId="20947"/>
    <cellStyle name="Comma 2 5 30 11" xfId="20948"/>
    <cellStyle name="Comma 2 5 30 11 2" xfId="20949"/>
    <cellStyle name="Comma 2 5 30 12" xfId="20950"/>
    <cellStyle name="Comma 2 5 30 2" xfId="20951"/>
    <cellStyle name="Comma 2 5 30 2 2" xfId="20952"/>
    <cellStyle name="Comma 2 5 30 3" xfId="20953"/>
    <cellStyle name="Comma 2 5 30 3 2" xfId="20954"/>
    <cellStyle name="Comma 2 5 30 4" xfId="20955"/>
    <cellStyle name="Comma 2 5 30 4 2" xfId="20956"/>
    <cellStyle name="Comma 2 5 30 5" xfId="20957"/>
    <cellStyle name="Comma 2 5 30 5 2" xfId="20958"/>
    <cellStyle name="Comma 2 5 30 6" xfId="20959"/>
    <cellStyle name="Comma 2 5 30 6 2" xfId="20960"/>
    <cellStyle name="Comma 2 5 30 7" xfId="20961"/>
    <cellStyle name="Comma 2 5 30 7 2" xfId="20962"/>
    <cellStyle name="Comma 2 5 30 8" xfId="20963"/>
    <cellStyle name="Comma 2 5 30 8 2" xfId="20964"/>
    <cellStyle name="Comma 2 5 30 9" xfId="20965"/>
    <cellStyle name="Comma 2 5 30 9 2" xfId="20966"/>
    <cellStyle name="Comma 2 5 31" xfId="20967"/>
    <cellStyle name="Comma 2 5 31 10" xfId="20968"/>
    <cellStyle name="Comma 2 5 31 10 2" xfId="20969"/>
    <cellStyle name="Comma 2 5 31 11" xfId="20970"/>
    <cellStyle name="Comma 2 5 31 11 2" xfId="20971"/>
    <cellStyle name="Comma 2 5 31 12" xfId="20972"/>
    <cellStyle name="Comma 2 5 31 2" xfId="20973"/>
    <cellStyle name="Comma 2 5 31 2 2" xfId="20974"/>
    <cellStyle name="Comma 2 5 31 3" xfId="20975"/>
    <cellStyle name="Comma 2 5 31 3 2" xfId="20976"/>
    <cellStyle name="Comma 2 5 31 4" xfId="20977"/>
    <cellStyle name="Comma 2 5 31 4 2" xfId="20978"/>
    <cellStyle name="Comma 2 5 31 5" xfId="20979"/>
    <cellStyle name="Comma 2 5 31 5 2" xfId="20980"/>
    <cellStyle name="Comma 2 5 31 6" xfId="20981"/>
    <cellStyle name="Comma 2 5 31 6 2" xfId="20982"/>
    <cellStyle name="Comma 2 5 31 7" xfId="20983"/>
    <cellStyle name="Comma 2 5 31 7 2" xfId="20984"/>
    <cellStyle name="Comma 2 5 31 8" xfId="20985"/>
    <cellStyle name="Comma 2 5 31 8 2" xfId="20986"/>
    <cellStyle name="Comma 2 5 31 9" xfId="20987"/>
    <cellStyle name="Comma 2 5 31 9 2" xfId="20988"/>
    <cellStyle name="Comma 2 5 32" xfId="20989"/>
    <cellStyle name="Comma 2 5 32 10" xfId="20990"/>
    <cellStyle name="Comma 2 5 32 10 2" xfId="20991"/>
    <cellStyle name="Comma 2 5 32 11" xfId="20992"/>
    <cellStyle name="Comma 2 5 32 11 2" xfId="20993"/>
    <cellStyle name="Comma 2 5 32 12" xfId="20994"/>
    <cellStyle name="Comma 2 5 32 2" xfId="20995"/>
    <cellStyle name="Comma 2 5 32 2 2" xfId="20996"/>
    <cellStyle name="Comma 2 5 32 3" xfId="20997"/>
    <cellStyle name="Comma 2 5 32 3 2" xfId="20998"/>
    <cellStyle name="Comma 2 5 32 4" xfId="20999"/>
    <cellStyle name="Comma 2 5 32 4 2" xfId="21000"/>
    <cellStyle name="Comma 2 5 32 5" xfId="21001"/>
    <cellStyle name="Comma 2 5 32 5 2" xfId="21002"/>
    <cellStyle name="Comma 2 5 32 6" xfId="21003"/>
    <cellStyle name="Comma 2 5 32 6 2" xfId="21004"/>
    <cellStyle name="Comma 2 5 32 7" xfId="21005"/>
    <cellStyle name="Comma 2 5 32 7 2" xfId="21006"/>
    <cellStyle name="Comma 2 5 32 8" xfId="21007"/>
    <cellStyle name="Comma 2 5 32 8 2" xfId="21008"/>
    <cellStyle name="Comma 2 5 32 9" xfId="21009"/>
    <cellStyle name="Comma 2 5 32 9 2" xfId="21010"/>
    <cellStyle name="Comma 2 5 33" xfId="21011"/>
    <cellStyle name="Comma 2 5 33 10" xfId="21012"/>
    <cellStyle name="Comma 2 5 33 10 2" xfId="21013"/>
    <cellStyle name="Comma 2 5 33 11" xfId="21014"/>
    <cellStyle name="Comma 2 5 33 11 2" xfId="21015"/>
    <cellStyle name="Comma 2 5 33 12" xfId="21016"/>
    <cellStyle name="Comma 2 5 33 2" xfId="21017"/>
    <cellStyle name="Comma 2 5 33 2 2" xfId="21018"/>
    <cellStyle name="Comma 2 5 33 3" xfId="21019"/>
    <cellStyle name="Comma 2 5 33 3 2" xfId="21020"/>
    <cellStyle name="Comma 2 5 33 4" xfId="21021"/>
    <cellStyle name="Comma 2 5 33 4 2" xfId="21022"/>
    <cellStyle name="Comma 2 5 33 5" xfId="21023"/>
    <cellStyle name="Comma 2 5 33 5 2" xfId="21024"/>
    <cellStyle name="Comma 2 5 33 6" xfId="21025"/>
    <cellStyle name="Comma 2 5 33 6 2" xfId="21026"/>
    <cellStyle name="Comma 2 5 33 7" xfId="21027"/>
    <cellStyle name="Comma 2 5 33 7 2" xfId="21028"/>
    <cellStyle name="Comma 2 5 33 8" xfId="21029"/>
    <cellStyle name="Comma 2 5 33 8 2" xfId="21030"/>
    <cellStyle name="Comma 2 5 33 9" xfId="21031"/>
    <cellStyle name="Comma 2 5 33 9 2" xfId="21032"/>
    <cellStyle name="Comma 2 5 34" xfId="21033"/>
    <cellStyle name="Comma 2 5 34 10" xfId="21034"/>
    <cellStyle name="Comma 2 5 34 10 2" xfId="21035"/>
    <cellStyle name="Comma 2 5 34 11" xfId="21036"/>
    <cellStyle name="Comma 2 5 34 11 2" xfId="21037"/>
    <cellStyle name="Comma 2 5 34 12" xfId="21038"/>
    <cellStyle name="Comma 2 5 34 2" xfId="21039"/>
    <cellStyle name="Comma 2 5 34 2 2" xfId="21040"/>
    <cellStyle name="Comma 2 5 34 3" xfId="21041"/>
    <cellStyle name="Comma 2 5 34 3 2" xfId="21042"/>
    <cellStyle name="Comma 2 5 34 4" xfId="21043"/>
    <cellStyle name="Comma 2 5 34 4 2" xfId="21044"/>
    <cellStyle name="Comma 2 5 34 5" xfId="21045"/>
    <cellStyle name="Comma 2 5 34 5 2" xfId="21046"/>
    <cellStyle name="Comma 2 5 34 6" xfId="21047"/>
    <cellStyle name="Comma 2 5 34 6 2" xfId="21048"/>
    <cellStyle name="Comma 2 5 34 7" xfId="21049"/>
    <cellStyle name="Comma 2 5 34 7 2" xfId="21050"/>
    <cellStyle name="Comma 2 5 34 8" xfId="21051"/>
    <cellStyle name="Comma 2 5 34 8 2" xfId="21052"/>
    <cellStyle name="Comma 2 5 34 9" xfId="21053"/>
    <cellStyle name="Comma 2 5 34 9 2" xfId="21054"/>
    <cellStyle name="Comma 2 5 35" xfId="21055"/>
    <cellStyle name="Comma 2 5 35 10" xfId="21056"/>
    <cellStyle name="Comma 2 5 35 10 2" xfId="21057"/>
    <cellStyle name="Comma 2 5 35 11" xfId="21058"/>
    <cellStyle name="Comma 2 5 35 11 2" xfId="21059"/>
    <cellStyle name="Comma 2 5 35 12" xfId="21060"/>
    <cellStyle name="Comma 2 5 35 2" xfId="21061"/>
    <cellStyle name="Comma 2 5 35 2 2" xfId="21062"/>
    <cellStyle name="Comma 2 5 35 3" xfId="21063"/>
    <cellStyle name="Comma 2 5 35 3 2" xfId="21064"/>
    <cellStyle name="Comma 2 5 35 4" xfId="21065"/>
    <cellStyle name="Comma 2 5 35 4 2" xfId="21066"/>
    <cellStyle name="Comma 2 5 35 5" xfId="21067"/>
    <cellStyle name="Comma 2 5 35 5 2" xfId="21068"/>
    <cellStyle name="Comma 2 5 35 6" xfId="21069"/>
    <cellStyle name="Comma 2 5 35 6 2" xfId="21070"/>
    <cellStyle name="Comma 2 5 35 7" xfId="21071"/>
    <cellStyle name="Comma 2 5 35 7 2" xfId="21072"/>
    <cellStyle name="Comma 2 5 35 8" xfId="21073"/>
    <cellStyle name="Comma 2 5 35 8 2" xfId="21074"/>
    <cellStyle name="Comma 2 5 35 9" xfId="21075"/>
    <cellStyle name="Comma 2 5 35 9 2" xfId="21076"/>
    <cellStyle name="Comma 2 5 36" xfId="21077"/>
    <cellStyle name="Comma 2 5 36 10" xfId="21078"/>
    <cellStyle name="Comma 2 5 36 10 2" xfId="21079"/>
    <cellStyle name="Comma 2 5 36 11" xfId="21080"/>
    <cellStyle name="Comma 2 5 36 11 2" xfId="21081"/>
    <cellStyle name="Comma 2 5 36 12" xfId="21082"/>
    <cellStyle name="Comma 2 5 36 2" xfId="21083"/>
    <cellStyle name="Comma 2 5 36 2 2" xfId="21084"/>
    <cellStyle name="Comma 2 5 36 3" xfId="21085"/>
    <cellStyle name="Comma 2 5 36 3 2" xfId="21086"/>
    <cellStyle name="Comma 2 5 36 4" xfId="21087"/>
    <cellStyle name="Comma 2 5 36 4 2" xfId="21088"/>
    <cellStyle name="Comma 2 5 36 5" xfId="21089"/>
    <cellStyle name="Comma 2 5 36 5 2" xfId="21090"/>
    <cellStyle name="Comma 2 5 36 6" xfId="21091"/>
    <cellStyle name="Comma 2 5 36 6 2" xfId="21092"/>
    <cellStyle name="Comma 2 5 36 7" xfId="21093"/>
    <cellStyle name="Comma 2 5 36 7 2" xfId="21094"/>
    <cellStyle name="Comma 2 5 36 8" xfId="21095"/>
    <cellStyle name="Comma 2 5 36 8 2" xfId="21096"/>
    <cellStyle name="Comma 2 5 36 9" xfId="21097"/>
    <cellStyle name="Comma 2 5 36 9 2" xfId="21098"/>
    <cellStyle name="Comma 2 5 37" xfId="21099"/>
    <cellStyle name="Comma 2 5 37 10" xfId="21100"/>
    <cellStyle name="Comma 2 5 37 10 2" xfId="21101"/>
    <cellStyle name="Comma 2 5 37 11" xfId="21102"/>
    <cellStyle name="Comma 2 5 37 11 2" xfId="21103"/>
    <cellStyle name="Comma 2 5 37 12" xfId="21104"/>
    <cellStyle name="Comma 2 5 37 2" xfId="21105"/>
    <cellStyle name="Comma 2 5 37 2 2" xfId="21106"/>
    <cellStyle name="Comma 2 5 37 3" xfId="21107"/>
    <cellStyle name="Comma 2 5 37 3 2" xfId="21108"/>
    <cellStyle name="Comma 2 5 37 4" xfId="21109"/>
    <cellStyle name="Comma 2 5 37 4 2" xfId="21110"/>
    <cellStyle name="Comma 2 5 37 5" xfId="21111"/>
    <cellStyle name="Comma 2 5 37 5 2" xfId="21112"/>
    <cellStyle name="Comma 2 5 37 6" xfId="21113"/>
    <cellStyle name="Comma 2 5 37 6 2" xfId="21114"/>
    <cellStyle name="Comma 2 5 37 7" xfId="21115"/>
    <cellStyle name="Comma 2 5 37 7 2" xfId="21116"/>
    <cellStyle name="Comma 2 5 37 8" xfId="21117"/>
    <cellStyle name="Comma 2 5 37 8 2" xfId="21118"/>
    <cellStyle name="Comma 2 5 37 9" xfId="21119"/>
    <cellStyle name="Comma 2 5 37 9 2" xfId="21120"/>
    <cellStyle name="Comma 2 5 38" xfId="21121"/>
    <cellStyle name="Comma 2 5 38 10" xfId="21122"/>
    <cellStyle name="Comma 2 5 38 10 2" xfId="21123"/>
    <cellStyle name="Comma 2 5 38 11" xfId="21124"/>
    <cellStyle name="Comma 2 5 38 11 2" xfId="21125"/>
    <cellStyle name="Comma 2 5 38 12" xfId="21126"/>
    <cellStyle name="Comma 2 5 38 2" xfId="21127"/>
    <cellStyle name="Comma 2 5 38 2 2" xfId="21128"/>
    <cellStyle name="Comma 2 5 38 3" xfId="21129"/>
    <cellStyle name="Comma 2 5 38 3 2" xfId="21130"/>
    <cellStyle name="Comma 2 5 38 4" xfId="21131"/>
    <cellStyle name="Comma 2 5 38 4 2" xfId="21132"/>
    <cellStyle name="Comma 2 5 38 5" xfId="21133"/>
    <cellStyle name="Comma 2 5 38 5 2" xfId="21134"/>
    <cellStyle name="Comma 2 5 38 6" xfId="21135"/>
    <cellStyle name="Comma 2 5 38 6 2" xfId="21136"/>
    <cellStyle name="Comma 2 5 38 7" xfId="21137"/>
    <cellStyle name="Comma 2 5 38 7 2" xfId="21138"/>
    <cellStyle name="Comma 2 5 38 8" xfId="21139"/>
    <cellStyle name="Comma 2 5 38 8 2" xfId="21140"/>
    <cellStyle name="Comma 2 5 38 9" xfId="21141"/>
    <cellStyle name="Comma 2 5 38 9 2" xfId="21142"/>
    <cellStyle name="Comma 2 5 39" xfId="21143"/>
    <cellStyle name="Comma 2 5 39 10" xfId="21144"/>
    <cellStyle name="Comma 2 5 39 10 2" xfId="21145"/>
    <cellStyle name="Comma 2 5 39 11" xfId="21146"/>
    <cellStyle name="Comma 2 5 39 11 2" xfId="21147"/>
    <cellStyle name="Comma 2 5 39 12" xfId="21148"/>
    <cellStyle name="Comma 2 5 39 2" xfId="21149"/>
    <cellStyle name="Comma 2 5 39 2 2" xfId="21150"/>
    <cellStyle name="Comma 2 5 39 3" xfId="21151"/>
    <cellStyle name="Comma 2 5 39 3 2" xfId="21152"/>
    <cellStyle name="Comma 2 5 39 4" xfId="21153"/>
    <cellStyle name="Comma 2 5 39 4 2" xfId="21154"/>
    <cellStyle name="Comma 2 5 39 5" xfId="21155"/>
    <cellStyle name="Comma 2 5 39 5 2" xfId="21156"/>
    <cellStyle name="Comma 2 5 39 6" xfId="21157"/>
    <cellStyle name="Comma 2 5 39 6 2" xfId="21158"/>
    <cellStyle name="Comma 2 5 39 7" xfId="21159"/>
    <cellStyle name="Comma 2 5 39 7 2" xfId="21160"/>
    <cellStyle name="Comma 2 5 39 8" xfId="21161"/>
    <cellStyle name="Comma 2 5 39 8 2" xfId="21162"/>
    <cellStyle name="Comma 2 5 39 9" xfId="21163"/>
    <cellStyle name="Comma 2 5 39 9 2" xfId="21164"/>
    <cellStyle name="Comma 2 5 4" xfId="21165"/>
    <cellStyle name="Comma 2 5 4 10" xfId="21166"/>
    <cellStyle name="Comma 2 5 4 10 10" xfId="21167"/>
    <cellStyle name="Comma 2 5 4 10 10 2" xfId="21168"/>
    <cellStyle name="Comma 2 5 4 10 11" xfId="21169"/>
    <cellStyle name="Comma 2 5 4 10 11 2" xfId="21170"/>
    <cellStyle name="Comma 2 5 4 10 12" xfId="21171"/>
    <cellStyle name="Comma 2 5 4 10 2" xfId="21172"/>
    <cellStyle name="Comma 2 5 4 10 2 2" xfId="21173"/>
    <cellStyle name="Comma 2 5 4 10 3" xfId="21174"/>
    <cellStyle name="Comma 2 5 4 10 3 2" xfId="21175"/>
    <cellStyle name="Comma 2 5 4 10 4" xfId="21176"/>
    <cellStyle name="Comma 2 5 4 10 4 2" xfId="21177"/>
    <cellStyle name="Comma 2 5 4 10 5" xfId="21178"/>
    <cellStyle name="Comma 2 5 4 10 5 2" xfId="21179"/>
    <cellStyle name="Comma 2 5 4 10 6" xfId="21180"/>
    <cellStyle name="Comma 2 5 4 10 6 2" xfId="21181"/>
    <cellStyle name="Comma 2 5 4 10 7" xfId="21182"/>
    <cellStyle name="Comma 2 5 4 10 7 2" xfId="21183"/>
    <cellStyle name="Comma 2 5 4 10 8" xfId="21184"/>
    <cellStyle name="Comma 2 5 4 10 8 2" xfId="21185"/>
    <cellStyle name="Comma 2 5 4 10 9" xfId="21186"/>
    <cellStyle name="Comma 2 5 4 10 9 2" xfId="21187"/>
    <cellStyle name="Comma 2 5 4 11" xfId="21188"/>
    <cellStyle name="Comma 2 5 4 11 10" xfId="21189"/>
    <cellStyle name="Comma 2 5 4 11 10 2" xfId="21190"/>
    <cellStyle name="Comma 2 5 4 11 11" xfId="21191"/>
    <cellStyle name="Comma 2 5 4 11 11 2" xfId="21192"/>
    <cellStyle name="Comma 2 5 4 11 12" xfId="21193"/>
    <cellStyle name="Comma 2 5 4 11 2" xfId="21194"/>
    <cellStyle name="Comma 2 5 4 11 2 2" xfId="21195"/>
    <cellStyle name="Comma 2 5 4 11 3" xfId="21196"/>
    <cellStyle name="Comma 2 5 4 11 3 2" xfId="21197"/>
    <cellStyle name="Comma 2 5 4 11 4" xfId="21198"/>
    <cellStyle name="Comma 2 5 4 11 4 2" xfId="21199"/>
    <cellStyle name="Comma 2 5 4 11 5" xfId="21200"/>
    <cellStyle name="Comma 2 5 4 11 5 2" xfId="21201"/>
    <cellStyle name="Comma 2 5 4 11 6" xfId="21202"/>
    <cellStyle name="Comma 2 5 4 11 6 2" xfId="21203"/>
    <cellStyle name="Comma 2 5 4 11 7" xfId="21204"/>
    <cellStyle name="Comma 2 5 4 11 7 2" xfId="21205"/>
    <cellStyle name="Comma 2 5 4 11 8" xfId="21206"/>
    <cellStyle name="Comma 2 5 4 11 8 2" xfId="21207"/>
    <cellStyle name="Comma 2 5 4 11 9" xfId="21208"/>
    <cellStyle name="Comma 2 5 4 11 9 2" xfId="21209"/>
    <cellStyle name="Comma 2 5 4 12" xfId="21210"/>
    <cellStyle name="Comma 2 5 4 12 10" xfId="21211"/>
    <cellStyle name="Comma 2 5 4 12 10 2" xfId="21212"/>
    <cellStyle name="Comma 2 5 4 12 11" xfId="21213"/>
    <cellStyle name="Comma 2 5 4 12 11 2" xfId="21214"/>
    <cellStyle name="Comma 2 5 4 12 12" xfId="21215"/>
    <cellStyle name="Comma 2 5 4 12 2" xfId="21216"/>
    <cellStyle name="Comma 2 5 4 12 2 2" xfId="21217"/>
    <cellStyle name="Comma 2 5 4 12 3" xfId="21218"/>
    <cellStyle name="Comma 2 5 4 12 3 2" xfId="21219"/>
    <cellStyle name="Comma 2 5 4 12 4" xfId="21220"/>
    <cellStyle name="Comma 2 5 4 12 4 2" xfId="21221"/>
    <cellStyle name="Comma 2 5 4 12 5" xfId="21222"/>
    <cellStyle name="Comma 2 5 4 12 5 2" xfId="21223"/>
    <cellStyle name="Comma 2 5 4 12 6" xfId="21224"/>
    <cellStyle name="Comma 2 5 4 12 6 2" xfId="21225"/>
    <cellStyle name="Comma 2 5 4 12 7" xfId="21226"/>
    <cellStyle name="Comma 2 5 4 12 7 2" xfId="21227"/>
    <cellStyle name="Comma 2 5 4 12 8" xfId="21228"/>
    <cellStyle name="Comma 2 5 4 12 8 2" xfId="21229"/>
    <cellStyle name="Comma 2 5 4 12 9" xfId="21230"/>
    <cellStyle name="Comma 2 5 4 12 9 2" xfId="21231"/>
    <cellStyle name="Comma 2 5 4 13" xfId="21232"/>
    <cellStyle name="Comma 2 5 4 13 10" xfId="21233"/>
    <cellStyle name="Comma 2 5 4 13 10 2" xfId="21234"/>
    <cellStyle name="Comma 2 5 4 13 11" xfId="21235"/>
    <cellStyle name="Comma 2 5 4 13 11 2" xfId="21236"/>
    <cellStyle name="Comma 2 5 4 13 12" xfId="21237"/>
    <cellStyle name="Comma 2 5 4 13 2" xfId="21238"/>
    <cellStyle name="Comma 2 5 4 13 2 2" xfId="21239"/>
    <cellStyle name="Comma 2 5 4 13 3" xfId="21240"/>
    <cellStyle name="Comma 2 5 4 13 3 2" xfId="21241"/>
    <cellStyle name="Comma 2 5 4 13 4" xfId="21242"/>
    <cellStyle name="Comma 2 5 4 13 4 2" xfId="21243"/>
    <cellStyle name="Comma 2 5 4 13 5" xfId="21244"/>
    <cellStyle name="Comma 2 5 4 13 5 2" xfId="21245"/>
    <cellStyle name="Comma 2 5 4 13 6" xfId="21246"/>
    <cellStyle name="Comma 2 5 4 13 6 2" xfId="21247"/>
    <cellStyle name="Comma 2 5 4 13 7" xfId="21248"/>
    <cellStyle name="Comma 2 5 4 13 7 2" xfId="21249"/>
    <cellStyle name="Comma 2 5 4 13 8" xfId="21250"/>
    <cellStyle name="Comma 2 5 4 13 8 2" xfId="21251"/>
    <cellStyle name="Comma 2 5 4 13 9" xfId="21252"/>
    <cellStyle name="Comma 2 5 4 13 9 2" xfId="21253"/>
    <cellStyle name="Comma 2 5 4 14" xfId="21254"/>
    <cellStyle name="Comma 2 5 4 14 10" xfId="21255"/>
    <cellStyle name="Comma 2 5 4 14 10 2" xfId="21256"/>
    <cellStyle name="Comma 2 5 4 14 11" xfId="21257"/>
    <cellStyle name="Comma 2 5 4 14 11 2" xfId="21258"/>
    <cellStyle name="Comma 2 5 4 14 12" xfId="21259"/>
    <cellStyle name="Comma 2 5 4 14 2" xfId="21260"/>
    <cellStyle name="Comma 2 5 4 14 2 2" xfId="21261"/>
    <cellStyle name="Comma 2 5 4 14 3" xfId="21262"/>
    <cellStyle name="Comma 2 5 4 14 3 2" xfId="21263"/>
    <cellStyle name="Comma 2 5 4 14 4" xfId="21264"/>
    <cellStyle name="Comma 2 5 4 14 4 2" xfId="21265"/>
    <cellStyle name="Comma 2 5 4 14 5" xfId="21266"/>
    <cellStyle name="Comma 2 5 4 14 5 2" xfId="21267"/>
    <cellStyle name="Comma 2 5 4 14 6" xfId="21268"/>
    <cellStyle name="Comma 2 5 4 14 6 2" xfId="21269"/>
    <cellStyle name="Comma 2 5 4 14 7" xfId="21270"/>
    <cellStyle name="Comma 2 5 4 14 7 2" xfId="21271"/>
    <cellStyle name="Comma 2 5 4 14 8" xfId="21272"/>
    <cellStyle name="Comma 2 5 4 14 8 2" xfId="21273"/>
    <cellStyle name="Comma 2 5 4 14 9" xfId="21274"/>
    <cellStyle name="Comma 2 5 4 14 9 2" xfId="21275"/>
    <cellStyle name="Comma 2 5 4 15" xfId="21276"/>
    <cellStyle name="Comma 2 5 4 15 10" xfId="21277"/>
    <cellStyle name="Comma 2 5 4 15 10 2" xfId="21278"/>
    <cellStyle name="Comma 2 5 4 15 11" xfId="21279"/>
    <cellStyle name="Comma 2 5 4 15 11 2" xfId="21280"/>
    <cellStyle name="Comma 2 5 4 15 12" xfId="21281"/>
    <cellStyle name="Comma 2 5 4 15 2" xfId="21282"/>
    <cellStyle name="Comma 2 5 4 15 2 2" xfId="21283"/>
    <cellStyle name="Comma 2 5 4 15 3" xfId="21284"/>
    <cellStyle name="Comma 2 5 4 15 3 2" xfId="21285"/>
    <cellStyle name="Comma 2 5 4 15 4" xfId="21286"/>
    <cellStyle name="Comma 2 5 4 15 4 2" xfId="21287"/>
    <cellStyle name="Comma 2 5 4 15 5" xfId="21288"/>
    <cellStyle name="Comma 2 5 4 15 5 2" xfId="21289"/>
    <cellStyle name="Comma 2 5 4 15 6" xfId="21290"/>
    <cellStyle name="Comma 2 5 4 15 6 2" xfId="21291"/>
    <cellStyle name="Comma 2 5 4 15 7" xfId="21292"/>
    <cellStyle name="Comma 2 5 4 15 7 2" xfId="21293"/>
    <cellStyle name="Comma 2 5 4 15 8" xfId="21294"/>
    <cellStyle name="Comma 2 5 4 15 8 2" xfId="21295"/>
    <cellStyle name="Comma 2 5 4 15 9" xfId="21296"/>
    <cellStyle name="Comma 2 5 4 15 9 2" xfId="21297"/>
    <cellStyle name="Comma 2 5 4 16" xfId="21298"/>
    <cellStyle name="Comma 2 5 4 16 10" xfId="21299"/>
    <cellStyle name="Comma 2 5 4 16 10 2" xfId="21300"/>
    <cellStyle name="Comma 2 5 4 16 11" xfId="21301"/>
    <cellStyle name="Comma 2 5 4 16 11 2" xfId="21302"/>
    <cellStyle name="Comma 2 5 4 16 12" xfId="21303"/>
    <cellStyle name="Comma 2 5 4 16 2" xfId="21304"/>
    <cellStyle name="Comma 2 5 4 16 2 2" xfId="21305"/>
    <cellStyle name="Comma 2 5 4 16 3" xfId="21306"/>
    <cellStyle name="Comma 2 5 4 16 3 2" xfId="21307"/>
    <cellStyle name="Comma 2 5 4 16 4" xfId="21308"/>
    <cellStyle name="Comma 2 5 4 16 4 2" xfId="21309"/>
    <cellStyle name="Comma 2 5 4 16 5" xfId="21310"/>
    <cellStyle name="Comma 2 5 4 16 5 2" xfId="21311"/>
    <cellStyle name="Comma 2 5 4 16 6" xfId="21312"/>
    <cellStyle name="Comma 2 5 4 16 6 2" xfId="21313"/>
    <cellStyle name="Comma 2 5 4 16 7" xfId="21314"/>
    <cellStyle name="Comma 2 5 4 16 7 2" xfId="21315"/>
    <cellStyle name="Comma 2 5 4 16 8" xfId="21316"/>
    <cellStyle name="Comma 2 5 4 16 8 2" xfId="21317"/>
    <cellStyle name="Comma 2 5 4 16 9" xfId="21318"/>
    <cellStyle name="Comma 2 5 4 16 9 2" xfId="21319"/>
    <cellStyle name="Comma 2 5 4 17" xfId="21320"/>
    <cellStyle name="Comma 2 5 4 17 10" xfId="21321"/>
    <cellStyle name="Comma 2 5 4 17 10 2" xfId="21322"/>
    <cellStyle name="Comma 2 5 4 17 11" xfId="21323"/>
    <cellStyle name="Comma 2 5 4 17 11 2" xfId="21324"/>
    <cellStyle name="Comma 2 5 4 17 12" xfId="21325"/>
    <cellStyle name="Comma 2 5 4 17 2" xfId="21326"/>
    <cellStyle name="Comma 2 5 4 17 2 2" xfId="21327"/>
    <cellStyle name="Comma 2 5 4 17 3" xfId="21328"/>
    <cellStyle name="Comma 2 5 4 17 3 2" xfId="21329"/>
    <cellStyle name="Comma 2 5 4 17 4" xfId="21330"/>
    <cellStyle name="Comma 2 5 4 17 4 2" xfId="21331"/>
    <cellStyle name="Comma 2 5 4 17 5" xfId="21332"/>
    <cellStyle name="Comma 2 5 4 17 5 2" xfId="21333"/>
    <cellStyle name="Comma 2 5 4 17 6" xfId="21334"/>
    <cellStyle name="Comma 2 5 4 17 6 2" xfId="21335"/>
    <cellStyle name="Comma 2 5 4 17 7" xfId="21336"/>
    <cellStyle name="Comma 2 5 4 17 7 2" xfId="21337"/>
    <cellStyle name="Comma 2 5 4 17 8" xfId="21338"/>
    <cellStyle name="Comma 2 5 4 17 8 2" xfId="21339"/>
    <cellStyle name="Comma 2 5 4 17 9" xfId="21340"/>
    <cellStyle name="Comma 2 5 4 17 9 2" xfId="21341"/>
    <cellStyle name="Comma 2 5 4 18" xfId="21342"/>
    <cellStyle name="Comma 2 5 4 18 10" xfId="21343"/>
    <cellStyle name="Comma 2 5 4 18 10 2" xfId="21344"/>
    <cellStyle name="Comma 2 5 4 18 11" xfId="21345"/>
    <cellStyle name="Comma 2 5 4 18 11 2" xfId="21346"/>
    <cellStyle name="Comma 2 5 4 18 12" xfId="21347"/>
    <cellStyle name="Comma 2 5 4 18 2" xfId="21348"/>
    <cellStyle name="Comma 2 5 4 18 2 2" xfId="21349"/>
    <cellStyle name="Comma 2 5 4 18 3" xfId="21350"/>
    <cellStyle name="Comma 2 5 4 18 3 2" xfId="21351"/>
    <cellStyle name="Comma 2 5 4 18 4" xfId="21352"/>
    <cellStyle name="Comma 2 5 4 18 4 2" xfId="21353"/>
    <cellStyle name="Comma 2 5 4 18 5" xfId="21354"/>
    <cellStyle name="Comma 2 5 4 18 5 2" xfId="21355"/>
    <cellStyle name="Comma 2 5 4 18 6" xfId="21356"/>
    <cellStyle name="Comma 2 5 4 18 6 2" xfId="21357"/>
    <cellStyle name="Comma 2 5 4 18 7" xfId="21358"/>
    <cellStyle name="Comma 2 5 4 18 7 2" xfId="21359"/>
    <cellStyle name="Comma 2 5 4 18 8" xfId="21360"/>
    <cellStyle name="Comma 2 5 4 18 8 2" xfId="21361"/>
    <cellStyle name="Comma 2 5 4 18 9" xfId="21362"/>
    <cellStyle name="Comma 2 5 4 18 9 2" xfId="21363"/>
    <cellStyle name="Comma 2 5 4 19" xfId="21364"/>
    <cellStyle name="Comma 2 5 4 19 10" xfId="21365"/>
    <cellStyle name="Comma 2 5 4 19 10 2" xfId="21366"/>
    <cellStyle name="Comma 2 5 4 19 11" xfId="21367"/>
    <cellStyle name="Comma 2 5 4 19 11 2" xfId="21368"/>
    <cellStyle name="Comma 2 5 4 19 12" xfId="21369"/>
    <cellStyle name="Comma 2 5 4 19 2" xfId="21370"/>
    <cellStyle name="Comma 2 5 4 19 2 2" xfId="21371"/>
    <cellStyle name="Comma 2 5 4 19 3" xfId="21372"/>
    <cellStyle name="Comma 2 5 4 19 3 2" xfId="21373"/>
    <cellStyle name="Comma 2 5 4 19 4" xfId="21374"/>
    <cellStyle name="Comma 2 5 4 19 4 2" xfId="21375"/>
    <cellStyle name="Comma 2 5 4 19 5" xfId="21376"/>
    <cellStyle name="Comma 2 5 4 19 5 2" xfId="21377"/>
    <cellStyle name="Comma 2 5 4 19 6" xfId="21378"/>
    <cellStyle name="Comma 2 5 4 19 6 2" xfId="21379"/>
    <cellStyle name="Comma 2 5 4 19 7" xfId="21380"/>
    <cellStyle name="Comma 2 5 4 19 7 2" xfId="21381"/>
    <cellStyle name="Comma 2 5 4 19 8" xfId="21382"/>
    <cellStyle name="Comma 2 5 4 19 8 2" xfId="21383"/>
    <cellStyle name="Comma 2 5 4 19 9" xfId="21384"/>
    <cellStyle name="Comma 2 5 4 19 9 2" xfId="21385"/>
    <cellStyle name="Comma 2 5 4 2" xfId="21386"/>
    <cellStyle name="Comma 2 5 4 2 10" xfId="21387"/>
    <cellStyle name="Comma 2 5 4 2 10 2" xfId="21388"/>
    <cellStyle name="Comma 2 5 4 2 11" xfId="21389"/>
    <cellStyle name="Comma 2 5 4 2 11 2" xfId="21390"/>
    <cellStyle name="Comma 2 5 4 2 12" xfId="21391"/>
    <cellStyle name="Comma 2 5 4 2 2" xfId="21392"/>
    <cellStyle name="Comma 2 5 4 2 2 2" xfId="21393"/>
    <cellStyle name="Comma 2 5 4 2 3" xfId="21394"/>
    <cellStyle name="Comma 2 5 4 2 3 2" xfId="21395"/>
    <cellStyle name="Comma 2 5 4 2 4" xfId="21396"/>
    <cellStyle name="Comma 2 5 4 2 4 2" xfId="21397"/>
    <cellStyle name="Comma 2 5 4 2 5" xfId="21398"/>
    <cellStyle name="Comma 2 5 4 2 5 2" xfId="21399"/>
    <cellStyle name="Comma 2 5 4 2 6" xfId="21400"/>
    <cellStyle name="Comma 2 5 4 2 6 2" xfId="21401"/>
    <cellStyle name="Comma 2 5 4 2 7" xfId="21402"/>
    <cellStyle name="Comma 2 5 4 2 7 2" xfId="21403"/>
    <cellStyle name="Comma 2 5 4 2 8" xfId="21404"/>
    <cellStyle name="Comma 2 5 4 2 8 2" xfId="21405"/>
    <cellStyle name="Comma 2 5 4 2 9" xfId="21406"/>
    <cellStyle name="Comma 2 5 4 2 9 2" xfId="21407"/>
    <cellStyle name="Comma 2 5 4 20" xfId="21408"/>
    <cellStyle name="Comma 2 5 4 20 10" xfId="21409"/>
    <cellStyle name="Comma 2 5 4 20 10 2" xfId="21410"/>
    <cellStyle name="Comma 2 5 4 20 11" xfId="21411"/>
    <cellStyle name="Comma 2 5 4 20 11 2" xfId="21412"/>
    <cellStyle name="Comma 2 5 4 20 12" xfId="21413"/>
    <cellStyle name="Comma 2 5 4 20 2" xfId="21414"/>
    <cellStyle name="Comma 2 5 4 20 2 2" xfId="21415"/>
    <cellStyle name="Comma 2 5 4 20 3" xfId="21416"/>
    <cellStyle name="Comma 2 5 4 20 3 2" xfId="21417"/>
    <cellStyle name="Comma 2 5 4 20 4" xfId="21418"/>
    <cellStyle name="Comma 2 5 4 20 4 2" xfId="21419"/>
    <cellStyle name="Comma 2 5 4 20 5" xfId="21420"/>
    <cellStyle name="Comma 2 5 4 20 5 2" xfId="21421"/>
    <cellStyle name="Comma 2 5 4 20 6" xfId="21422"/>
    <cellStyle name="Comma 2 5 4 20 6 2" xfId="21423"/>
    <cellStyle name="Comma 2 5 4 20 7" xfId="21424"/>
    <cellStyle name="Comma 2 5 4 20 7 2" xfId="21425"/>
    <cellStyle name="Comma 2 5 4 20 8" xfId="21426"/>
    <cellStyle name="Comma 2 5 4 20 8 2" xfId="21427"/>
    <cellStyle name="Comma 2 5 4 20 9" xfId="21428"/>
    <cellStyle name="Comma 2 5 4 20 9 2" xfId="21429"/>
    <cellStyle name="Comma 2 5 4 21" xfId="21430"/>
    <cellStyle name="Comma 2 5 4 21 10" xfId="21431"/>
    <cellStyle name="Comma 2 5 4 21 10 2" xfId="21432"/>
    <cellStyle name="Comma 2 5 4 21 11" xfId="21433"/>
    <cellStyle name="Comma 2 5 4 21 11 2" xfId="21434"/>
    <cellStyle name="Comma 2 5 4 21 12" xfId="21435"/>
    <cellStyle name="Comma 2 5 4 21 2" xfId="21436"/>
    <cellStyle name="Comma 2 5 4 21 2 2" xfId="21437"/>
    <cellStyle name="Comma 2 5 4 21 3" xfId="21438"/>
    <cellStyle name="Comma 2 5 4 21 3 2" xfId="21439"/>
    <cellStyle name="Comma 2 5 4 21 4" xfId="21440"/>
    <cellStyle name="Comma 2 5 4 21 4 2" xfId="21441"/>
    <cellStyle name="Comma 2 5 4 21 5" xfId="21442"/>
    <cellStyle name="Comma 2 5 4 21 5 2" xfId="21443"/>
    <cellStyle name="Comma 2 5 4 21 6" xfId="21444"/>
    <cellStyle name="Comma 2 5 4 21 6 2" xfId="21445"/>
    <cellStyle name="Comma 2 5 4 21 7" xfId="21446"/>
    <cellStyle name="Comma 2 5 4 21 7 2" xfId="21447"/>
    <cellStyle name="Comma 2 5 4 21 8" xfId="21448"/>
    <cellStyle name="Comma 2 5 4 21 8 2" xfId="21449"/>
    <cellStyle name="Comma 2 5 4 21 9" xfId="21450"/>
    <cellStyle name="Comma 2 5 4 21 9 2" xfId="21451"/>
    <cellStyle name="Comma 2 5 4 22" xfId="21452"/>
    <cellStyle name="Comma 2 5 4 22 10" xfId="21453"/>
    <cellStyle name="Comma 2 5 4 22 10 2" xfId="21454"/>
    <cellStyle name="Comma 2 5 4 22 11" xfId="21455"/>
    <cellStyle name="Comma 2 5 4 22 11 2" xfId="21456"/>
    <cellStyle name="Comma 2 5 4 22 12" xfId="21457"/>
    <cellStyle name="Comma 2 5 4 22 2" xfId="21458"/>
    <cellStyle name="Comma 2 5 4 22 2 2" xfId="21459"/>
    <cellStyle name="Comma 2 5 4 22 3" xfId="21460"/>
    <cellStyle name="Comma 2 5 4 22 3 2" xfId="21461"/>
    <cellStyle name="Comma 2 5 4 22 4" xfId="21462"/>
    <cellStyle name="Comma 2 5 4 22 4 2" xfId="21463"/>
    <cellStyle name="Comma 2 5 4 22 5" xfId="21464"/>
    <cellStyle name="Comma 2 5 4 22 5 2" xfId="21465"/>
    <cellStyle name="Comma 2 5 4 22 6" xfId="21466"/>
    <cellStyle name="Comma 2 5 4 22 6 2" xfId="21467"/>
    <cellStyle name="Comma 2 5 4 22 7" xfId="21468"/>
    <cellStyle name="Comma 2 5 4 22 7 2" xfId="21469"/>
    <cellStyle name="Comma 2 5 4 22 8" xfId="21470"/>
    <cellStyle name="Comma 2 5 4 22 8 2" xfId="21471"/>
    <cellStyle name="Comma 2 5 4 22 9" xfId="21472"/>
    <cellStyle name="Comma 2 5 4 22 9 2" xfId="21473"/>
    <cellStyle name="Comma 2 5 4 23" xfId="21474"/>
    <cellStyle name="Comma 2 5 4 23 10" xfId="21475"/>
    <cellStyle name="Comma 2 5 4 23 10 2" xfId="21476"/>
    <cellStyle name="Comma 2 5 4 23 11" xfId="21477"/>
    <cellStyle name="Comma 2 5 4 23 11 2" xfId="21478"/>
    <cellStyle name="Comma 2 5 4 23 12" xfId="21479"/>
    <cellStyle name="Comma 2 5 4 23 2" xfId="21480"/>
    <cellStyle name="Comma 2 5 4 23 2 2" xfId="21481"/>
    <cellStyle name="Comma 2 5 4 23 3" xfId="21482"/>
    <cellStyle name="Comma 2 5 4 23 3 2" xfId="21483"/>
    <cellStyle name="Comma 2 5 4 23 4" xfId="21484"/>
    <cellStyle name="Comma 2 5 4 23 4 2" xfId="21485"/>
    <cellStyle name="Comma 2 5 4 23 5" xfId="21486"/>
    <cellStyle name="Comma 2 5 4 23 5 2" xfId="21487"/>
    <cellStyle name="Comma 2 5 4 23 6" xfId="21488"/>
    <cellStyle name="Comma 2 5 4 23 6 2" xfId="21489"/>
    <cellStyle name="Comma 2 5 4 23 7" xfId="21490"/>
    <cellStyle name="Comma 2 5 4 23 7 2" xfId="21491"/>
    <cellStyle name="Comma 2 5 4 23 8" xfId="21492"/>
    <cellStyle name="Comma 2 5 4 23 8 2" xfId="21493"/>
    <cellStyle name="Comma 2 5 4 23 9" xfId="21494"/>
    <cellStyle name="Comma 2 5 4 23 9 2" xfId="21495"/>
    <cellStyle name="Comma 2 5 4 24" xfId="21496"/>
    <cellStyle name="Comma 2 5 4 24 10" xfId="21497"/>
    <cellStyle name="Comma 2 5 4 24 10 2" xfId="21498"/>
    <cellStyle name="Comma 2 5 4 24 11" xfId="21499"/>
    <cellStyle name="Comma 2 5 4 24 11 2" xfId="21500"/>
    <cellStyle name="Comma 2 5 4 24 12" xfId="21501"/>
    <cellStyle name="Comma 2 5 4 24 2" xfId="21502"/>
    <cellStyle name="Comma 2 5 4 24 2 2" xfId="21503"/>
    <cellStyle name="Comma 2 5 4 24 3" xfId="21504"/>
    <cellStyle name="Comma 2 5 4 24 3 2" xfId="21505"/>
    <cellStyle name="Comma 2 5 4 24 4" xfId="21506"/>
    <cellStyle name="Comma 2 5 4 24 4 2" xfId="21507"/>
    <cellStyle name="Comma 2 5 4 24 5" xfId="21508"/>
    <cellStyle name="Comma 2 5 4 24 5 2" xfId="21509"/>
    <cellStyle name="Comma 2 5 4 24 6" xfId="21510"/>
    <cellStyle name="Comma 2 5 4 24 6 2" xfId="21511"/>
    <cellStyle name="Comma 2 5 4 24 7" xfId="21512"/>
    <cellStyle name="Comma 2 5 4 24 7 2" xfId="21513"/>
    <cellStyle name="Comma 2 5 4 24 8" xfId="21514"/>
    <cellStyle name="Comma 2 5 4 24 8 2" xfId="21515"/>
    <cellStyle name="Comma 2 5 4 24 9" xfId="21516"/>
    <cellStyle name="Comma 2 5 4 24 9 2" xfId="21517"/>
    <cellStyle name="Comma 2 5 4 25" xfId="21518"/>
    <cellStyle name="Comma 2 5 4 25 10" xfId="21519"/>
    <cellStyle name="Comma 2 5 4 25 10 2" xfId="21520"/>
    <cellStyle name="Comma 2 5 4 25 11" xfId="21521"/>
    <cellStyle name="Comma 2 5 4 25 11 2" xfId="21522"/>
    <cellStyle name="Comma 2 5 4 25 12" xfId="21523"/>
    <cellStyle name="Comma 2 5 4 25 2" xfId="21524"/>
    <cellStyle name="Comma 2 5 4 25 2 2" xfId="21525"/>
    <cellStyle name="Comma 2 5 4 25 3" xfId="21526"/>
    <cellStyle name="Comma 2 5 4 25 3 2" xfId="21527"/>
    <cellStyle name="Comma 2 5 4 25 4" xfId="21528"/>
    <cellStyle name="Comma 2 5 4 25 4 2" xfId="21529"/>
    <cellStyle name="Comma 2 5 4 25 5" xfId="21530"/>
    <cellStyle name="Comma 2 5 4 25 5 2" xfId="21531"/>
    <cellStyle name="Comma 2 5 4 25 6" xfId="21532"/>
    <cellStyle name="Comma 2 5 4 25 6 2" xfId="21533"/>
    <cellStyle name="Comma 2 5 4 25 7" xfId="21534"/>
    <cellStyle name="Comma 2 5 4 25 7 2" xfId="21535"/>
    <cellStyle name="Comma 2 5 4 25 8" xfId="21536"/>
    <cellStyle name="Comma 2 5 4 25 8 2" xfId="21537"/>
    <cellStyle name="Comma 2 5 4 25 9" xfId="21538"/>
    <cellStyle name="Comma 2 5 4 25 9 2" xfId="21539"/>
    <cellStyle name="Comma 2 5 4 26" xfId="21540"/>
    <cellStyle name="Comma 2 5 4 26 10" xfId="21541"/>
    <cellStyle name="Comma 2 5 4 26 10 2" xfId="21542"/>
    <cellStyle name="Comma 2 5 4 26 11" xfId="21543"/>
    <cellStyle name="Comma 2 5 4 26 11 2" xfId="21544"/>
    <cellStyle name="Comma 2 5 4 26 12" xfId="21545"/>
    <cellStyle name="Comma 2 5 4 26 2" xfId="21546"/>
    <cellStyle name="Comma 2 5 4 26 2 2" xfId="21547"/>
    <cellStyle name="Comma 2 5 4 26 3" xfId="21548"/>
    <cellStyle name="Comma 2 5 4 26 3 2" xfId="21549"/>
    <cellStyle name="Comma 2 5 4 26 4" xfId="21550"/>
    <cellStyle name="Comma 2 5 4 26 4 2" xfId="21551"/>
    <cellStyle name="Comma 2 5 4 26 5" xfId="21552"/>
    <cellStyle name="Comma 2 5 4 26 5 2" xfId="21553"/>
    <cellStyle name="Comma 2 5 4 26 6" xfId="21554"/>
    <cellStyle name="Comma 2 5 4 26 6 2" xfId="21555"/>
    <cellStyle name="Comma 2 5 4 26 7" xfId="21556"/>
    <cellStyle name="Comma 2 5 4 26 7 2" xfId="21557"/>
    <cellStyle name="Comma 2 5 4 26 8" xfId="21558"/>
    <cellStyle name="Comma 2 5 4 26 8 2" xfId="21559"/>
    <cellStyle name="Comma 2 5 4 26 9" xfId="21560"/>
    <cellStyle name="Comma 2 5 4 26 9 2" xfId="21561"/>
    <cellStyle name="Comma 2 5 4 27" xfId="21562"/>
    <cellStyle name="Comma 2 5 4 27 10" xfId="21563"/>
    <cellStyle name="Comma 2 5 4 27 10 2" xfId="21564"/>
    <cellStyle name="Comma 2 5 4 27 11" xfId="21565"/>
    <cellStyle name="Comma 2 5 4 27 11 2" xfId="21566"/>
    <cellStyle name="Comma 2 5 4 27 12" xfId="21567"/>
    <cellStyle name="Comma 2 5 4 27 2" xfId="21568"/>
    <cellStyle name="Comma 2 5 4 27 2 2" xfId="21569"/>
    <cellStyle name="Comma 2 5 4 27 3" xfId="21570"/>
    <cellStyle name="Comma 2 5 4 27 3 2" xfId="21571"/>
    <cellStyle name="Comma 2 5 4 27 4" xfId="21572"/>
    <cellStyle name="Comma 2 5 4 27 4 2" xfId="21573"/>
    <cellStyle name="Comma 2 5 4 27 5" xfId="21574"/>
    <cellStyle name="Comma 2 5 4 27 5 2" xfId="21575"/>
    <cellStyle name="Comma 2 5 4 27 6" xfId="21576"/>
    <cellStyle name="Comma 2 5 4 27 6 2" xfId="21577"/>
    <cellStyle name="Comma 2 5 4 27 7" xfId="21578"/>
    <cellStyle name="Comma 2 5 4 27 7 2" xfId="21579"/>
    <cellStyle name="Comma 2 5 4 27 8" xfId="21580"/>
    <cellStyle name="Comma 2 5 4 27 8 2" xfId="21581"/>
    <cellStyle name="Comma 2 5 4 27 9" xfId="21582"/>
    <cellStyle name="Comma 2 5 4 27 9 2" xfId="21583"/>
    <cellStyle name="Comma 2 5 4 28" xfId="21584"/>
    <cellStyle name="Comma 2 5 4 28 10" xfId="21585"/>
    <cellStyle name="Comma 2 5 4 28 10 2" xfId="21586"/>
    <cellStyle name="Comma 2 5 4 28 11" xfId="21587"/>
    <cellStyle name="Comma 2 5 4 28 11 2" xfId="21588"/>
    <cellStyle name="Comma 2 5 4 28 12" xfId="21589"/>
    <cellStyle name="Comma 2 5 4 28 2" xfId="21590"/>
    <cellStyle name="Comma 2 5 4 28 2 2" xfId="21591"/>
    <cellStyle name="Comma 2 5 4 28 3" xfId="21592"/>
    <cellStyle name="Comma 2 5 4 28 3 2" xfId="21593"/>
    <cellStyle name="Comma 2 5 4 28 4" xfId="21594"/>
    <cellStyle name="Comma 2 5 4 28 4 2" xfId="21595"/>
    <cellStyle name="Comma 2 5 4 28 5" xfId="21596"/>
    <cellStyle name="Comma 2 5 4 28 5 2" xfId="21597"/>
    <cellStyle name="Comma 2 5 4 28 6" xfId="21598"/>
    <cellStyle name="Comma 2 5 4 28 6 2" xfId="21599"/>
    <cellStyle name="Comma 2 5 4 28 7" xfId="21600"/>
    <cellStyle name="Comma 2 5 4 28 7 2" xfId="21601"/>
    <cellStyle name="Comma 2 5 4 28 8" xfId="21602"/>
    <cellStyle name="Comma 2 5 4 28 8 2" xfId="21603"/>
    <cellStyle name="Comma 2 5 4 28 9" xfId="21604"/>
    <cellStyle name="Comma 2 5 4 28 9 2" xfId="21605"/>
    <cellStyle name="Comma 2 5 4 29" xfId="21606"/>
    <cellStyle name="Comma 2 5 4 29 10" xfId="21607"/>
    <cellStyle name="Comma 2 5 4 29 10 2" xfId="21608"/>
    <cellStyle name="Comma 2 5 4 29 11" xfId="21609"/>
    <cellStyle name="Comma 2 5 4 29 11 2" xfId="21610"/>
    <cellStyle name="Comma 2 5 4 29 12" xfId="21611"/>
    <cellStyle name="Comma 2 5 4 29 2" xfId="21612"/>
    <cellStyle name="Comma 2 5 4 29 2 2" xfId="21613"/>
    <cellStyle name="Comma 2 5 4 29 3" xfId="21614"/>
    <cellStyle name="Comma 2 5 4 29 3 2" xfId="21615"/>
    <cellStyle name="Comma 2 5 4 29 4" xfId="21616"/>
    <cellStyle name="Comma 2 5 4 29 4 2" xfId="21617"/>
    <cellStyle name="Comma 2 5 4 29 5" xfId="21618"/>
    <cellStyle name="Comma 2 5 4 29 5 2" xfId="21619"/>
    <cellStyle name="Comma 2 5 4 29 6" xfId="21620"/>
    <cellStyle name="Comma 2 5 4 29 6 2" xfId="21621"/>
    <cellStyle name="Comma 2 5 4 29 7" xfId="21622"/>
    <cellStyle name="Comma 2 5 4 29 7 2" xfId="21623"/>
    <cellStyle name="Comma 2 5 4 29 8" xfId="21624"/>
    <cellStyle name="Comma 2 5 4 29 8 2" xfId="21625"/>
    <cellStyle name="Comma 2 5 4 29 9" xfId="21626"/>
    <cellStyle name="Comma 2 5 4 29 9 2" xfId="21627"/>
    <cellStyle name="Comma 2 5 4 3" xfId="21628"/>
    <cellStyle name="Comma 2 5 4 3 10" xfId="21629"/>
    <cellStyle name="Comma 2 5 4 3 10 2" xfId="21630"/>
    <cellStyle name="Comma 2 5 4 3 11" xfId="21631"/>
    <cellStyle name="Comma 2 5 4 3 11 2" xfId="21632"/>
    <cellStyle name="Comma 2 5 4 3 12" xfId="21633"/>
    <cellStyle name="Comma 2 5 4 3 2" xfId="21634"/>
    <cellStyle name="Comma 2 5 4 3 2 2" xfId="21635"/>
    <cellStyle name="Comma 2 5 4 3 3" xfId="21636"/>
    <cellStyle name="Comma 2 5 4 3 3 2" xfId="21637"/>
    <cellStyle name="Comma 2 5 4 3 4" xfId="21638"/>
    <cellStyle name="Comma 2 5 4 3 4 2" xfId="21639"/>
    <cellStyle name="Comma 2 5 4 3 5" xfId="21640"/>
    <cellStyle name="Comma 2 5 4 3 5 2" xfId="21641"/>
    <cellStyle name="Comma 2 5 4 3 6" xfId="21642"/>
    <cellStyle name="Comma 2 5 4 3 6 2" xfId="21643"/>
    <cellStyle name="Comma 2 5 4 3 7" xfId="21644"/>
    <cellStyle name="Comma 2 5 4 3 7 2" xfId="21645"/>
    <cellStyle name="Comma 2 5 4 3 8" xfId="21646"/>
    <cellStyle name="Comma 2 5 4 3 8 2" xfId="21647"/>
    <cellStyle name="Comma 2 5 4 3 9" xfId="21648"/>
    <cellStyle name="Comma 2 5 4 3 9 2" xfId="21649"/>
    <cellStyle name="Comma 2 5 4 30" xfId="21650"/>
    <cellStyle name="Comma 2 5 4 30 10" xfId="21651"/>
    <cellStyle name="Comma 2 5 4 30 10 2" xfId="21652"/>
    <cellStyle name="Comma 2 5 4 30 11" xfId="21653"/>
    <cellStyle name="Comma 2 5 4 30 11 2" xfId="21654"/>
    <cellStyle name="Comma 2 5 4 30 12" xfId="21655"/>
    <cellStyle name="Comma 2 5 4 30 2" xfId="21656"/>
    <cellStyle name="Comma 2 5 4 30 2 2" xfId="21657"/>
    <cellStyle name="Comma 2 5 4 30 3" xfId="21658"/>
    <cellStyle name="Comma 2 5 4 30 3 2" xfId="21659"/>
    <cellStyle name="Comma 2 5 4 30 4" xfId="21660"/>
    <cellStyle name="Comma 2 5 4 30 4 2" xfId="21661"/>
    <cellStyle name="Comma 2 5 4 30 5" xfId="21662"/>
    <cellStyle name="Comma 2 5 4 30 5 2" xfId="21663"/>
    <cellStyle name="Comma 2 5 4 30 6" xfId="21664"/>
    <cellStyle name="Comma 2 5 4 30 6 2" xfId="21665"/>
    <cellStyle name="Comma 2 5 4 30 7" xfId="21666"/>
    <cellStyle name="Comma 2 5 4 30 7 2" xfId="21667"/>
    <cellStyle name="Comma 2 5 4 30 8" xfId="21668"/>
    <cellStyle name="Comma 2 5 4 30 8 2" xfId="21669"/>
    <cellStyle name="Comma 2 5 4 30 9" xfId="21670"/>
    <cellStyle name="Comma 2 5 4 30 9 2" xfId="21671"/>
    <cellStyle name="Comma 2 5 4 31" xfId="21672"/>
    <cellStyle name="Comma 2 5 4 31 10" xfId="21673"/>
    <cellStyle name="Comma 2 5 4 31 10 2" xfId="21674"/>
    <cellStyle name="Comma 2 5 4 31 11" xfId="21675"/>
    <cellStyle name="Comma 2 5 4 31 11 2" xfId="21676"/>
    <cellStyle name="Comma 2 5 4 31 12" xfId="21677"/>
    <cellStyle name="Comma 2 5 4 31 2" xfId="21678"/>
    <cellStyle name="Comma 2 5 4 31 2 2" xfId="21679"/>
    <cellStyle name="Comma 2 5 4 31 3" xfId="21680"/>
    <cellStyle name="Comma 2 5 4 31 3 2" xfId="21681"/>
    <cellStyle name="Comma 2 5 4 31 4" xfId="21682"/>
    <cellStyle name="Comma 2 5 4 31 4 2" xfId="21683"/>
    <cellStyle name="Comma 2 5 4 31 5" xfId="21684"/>
    <cellStyle name="Comma 2 5 4 31 5 2" xfId="21685"/>
    <cellStyle name="Comma 2 5 4 31 6" xfId="21686"/>
    <cellStyle name="Comma 2 5 4 31 6 2" xfId="21687"/>
    <cellStyle name="Comma 2 5 4 31 7" xfId="21688"/>
    <cellStyle name="Comma 2 5 4 31 7 2" xfId="21689"/>
    <cellStyle name="Comma 2 5 4 31 8" xfId="21690"/>
    <cellStyle name="Comma 2 5 4 31 8 2" xfId="21691"/>
    <cellStyle name="Comma 2 5 4 31 9" xfId="21692"/>
    <cellStyle name="Comma 2 5 4 31 9 2" xfId="21693"/>
    <cellStyle name="Comma 2 5 4 32" xfId="21694"/>
    <cellStyle name="Comma 2 5 4 32 10" xfId="21695"/>
    <cellStyle name="Comma 2 5 4 32 10 2" xfId="21696"/>
    <cellStyle name="Comma 2 5 4 32 11" xfId="21697"/>
    <cellStyle name="Comma 2 5 4 32 11 2" xfId="21698"/>
    <cellStyle name="Comma 2 5 4 32 12" xfId="21699"/>
    <cellStyle name="Comma 2 5 4 32 2" xfId="21700"/>
    <cellStyle name="Comma 2 5 4 32 2 2" xfId="21701"/>
    <cellStyle name="Comma 2 5 4 32 3" xfId="21702"/>
    <cellStyle name="Comma 2 5 4 32 3 2" xfId="21703"/>
    <cellStyle name="Comma 2 5 4 32 4" xfId="21704"/>
    <cellStyle name="Comma 2 5 4 32 4 2" xfId="21705"/>
    <cellStyle name="Comma 2 5 4 32 5" xfId="21706"/>
    <cellStyle name="Comma 2 5 4 32 5 2" xfId="21707"/>
    <cellStyle name="Comma 2 5 4 32 6" xfId="21708"/>
    <cellStyle name="Comma 2 5 4 32 6 2" xfId="21709"/>
    <cellStyle name="Comma 2 5 4 32 7" xfId="21710"/>
    <cellStyle name="Comma 2 5 4 32 7 2" xfId="21711"/>
    <cellStyle name="Comma 2 5 4 32 8" xfId="21712"/>
    <cellStyle name="Comma 2 5 4 32 8 2" xfId="21713"/>
    <cellStyle name="Comma 2 5 4 32 9" xfId="21714"/>
    <cellStyle name="Comma 2 5 4 32 9 2" xfId="21715"/>
    <cellStyle name="Comma 2 5 4 33" xfId="21716"/>
    <cellStyle name="Comma 2 5 4 33 10" xfId="21717"/>
    <cellStyle name="Comma 2 5 4 33 10 2" xfId="21718"/>
    <cellStyle name="Comma 2 5 4 33 11" xfId="21719"/>
    <cellStyle name="Comma 2 5 4 33 11 2" xfId="21720"/>
    <cellStyle name="Comma 2 5 4 33 12" xfId="21721"/>
    <cellStyle name="Comma 2 5 4 33 2" xfId="21722"/>
    <cellStyle name="Comma 2 5 4 33 2 2" xfId="21723"/>
    <cellStyle name="Comma 2 5 4 33 3" xfId="21724"/>
    <cellStyle name="Comma 2 5 4 33 3 2" xfId="21725"/>
    <cellStyle name="Comma 2 5 4 33 4" xfId="21726"/>
    <cellStyle name="Comma 2 5 4 33 4 2" xfId="21727"/>
    <cellStyle name="Comma 2 5 4 33 5" xfId="21728"/>
    <cellStyle name="Comma 2 5 4 33 5 2" xfId="21729"/>
    <cellStyle name="Comma 2 5 4 33 6" xfId="21730"/>
    <cellStyle name="Comma 2 5 4 33 6 2" xfId="21731"/>
    <cellStyle name="Comma 2 5 4 33 7" xfId="21732"/>
    <cellStyle name="Comma 2 5 4 33 7 2" xfId="21733"/>
    <cellStyle name="Comma 2 5 4 33 8" xfId="21734"/>
    <cellStyle name="Comma 2 5 4 33 8 2" xfId="21735"/>
    <cellStyle name="Comma 2 5 4 33 9" xfId="21736"/>
    <cellStyle name="Comma 2 5 4 33 9 2" xfId="21737"/>
    <cellStyle name="Comma 2 5 4 34" xfId="21738"/>
    <cellStyle name="Comma 2 5 4 34 10" xfId="21739"/>
    <cellStyle name="Comma 2 5 4 34 10 2" xfId="21740"/>
    <cellStyle name="Comma 2 5 4 34 11" xfId="21741"/>
    <cellStyle name="Comma 2 5 4 34 11 2" xfId="21742"/>
    <cellStyle name="Comma 2 5 4 34 12" xfId="21743"/>
    <cellStyle name="Comma 2 5 4 34 2" xfId="21744"/>
    <cellStyle name="Comma 2 5 4 34 2 2" xfId="21745"/>
    <cellStyle name="Comma 2 5 4 34 3" xfId="21746"/>
    <cellStyle name="Comma 2 5 4 34 3 2" xfId="21747"/>
    <cellStyle name="Comma 2 5 4 34 4" xfId="21748"/>
    <cellStyle name="Comma 2 5 4 34 4 2" xfId="21749"/>
    <cellStyle name="Comma 2 5 4 34 5" xfId="21750"/>
    <cellStyle name="Comma 2 5 4 34 5 2" xfId="21751"/>
    <cellStyle name="Comma 2 5 4 34 6" xfId="21752"/>
    <cellStyle name="Comma 2 5 4 34 6 2" xfId="21753"/>
    <cellStyle name="Comma 2 5 4 34 7" xfId="21754"/>
    <cellStyle name="Comma 2 5 4 34 7 2" xfId="21755"/>
    <cellStyle name="Comma 2 5 4 34 8" xfId="21756"/>
    <cellStyle name="Comma 2 5 4 34 8 2" xfId="21757"/>
    <cellStyle name="Comma 2 5 4 34 9" xfId="21758"/>
    <cellStyle name="Comma 2 5 4 34 9 2" xfId="21759"/>
    <cellStyle name="Comma 2 5 4 35" xfId="21760"/>
    <cellStyle name="Comma 2 5 4 35 10" xfId="21761"/>
    <cellStyle name="Comma 2 5 4 35 10 2" xfId="21762"/>
    <cellStyle name="Comma 2 5 4 35 11" xfId="21763"/>
    <cellStyle name="Comma 2 5 4 35 11 2" xfId="21764"/>
    <cellStyle name="Comma 2 5 4 35 12" xfId="21765"/>
    <cellStyle name="Comma 2 5 4 35 2" xfId="21766"/>
    <cellStyle name="Comma 2 5 4 35 2 2" xfId="21767"/>
    <cellStyle name="Comma 2 5 4 35 3" xfId="21768"/>
    <cellStyle name="Comma 2 5 4 35 3 2" xfId="21769"/>
    <cellStyle name="Comma 2 5 4 35 4" xfId="21770"/>
    <cellStyle name="Comma 2 5 4 35 4 2" xfId="21771"/>
    <cellStyle name="Comma 2 5 4 35 5" xfId="21772"/>
    <cellStyle name="Comma 2 5 4 35 5 2" xfId="21773"/>
    <cellStyle name="Comma 2 5 4 35 6" xfId="21774"/>
    <cellStyle name="Comma 2 5 4 35 6 2" xfId="21775"/>
    <cellStyle name="Comma 2 5 4 35 7" xfId="21776"/>
    <cellStyle name="Comma 2 5 4 35 7 2" xfId="21777"/>
    <cellStyle name="Comma 2 5 4 35 8" xfId="21778"/>
    <cellStyle name="Comma 2 5 4 35 8 2" xfId="21779"/>
    <cellStyle name="Comma 2 5 4 35 9" xfId="21780"/>
    <cellStyle name="Comma 2 5 4 35 9 2" xfId="21781"/>
    <cellStyle name="Comma 2 5 4 36" xfId="21782"/>
    <cellStyle name="Comma 2 5 4 36 10" xfId="21783"/>
    <cellStyle name="Comma 2 5 4 36 10 2" xfId="21784"/>
    <cellStyle name="Comma 2 5 4 36 11" xfId="21785"/>
    <cellStyle name="Comma 2 5 4 36 11 2" xfId="21786"/>
    <cellStyle name="Comma 2 5 4 36 12" xfId="21787"/>
    <cellStyle name="Comma 2 5 4 36 2" xfId="21788"/>
    <cellStyle name="Comma 2 5 4 36 2 2" xfId="21789"/>
    <cellStyle name="Comma 2 5 4 36 3" xfId="21790"/>
    <cellStyle name="Comma 2 5 4 36 3 2" xfId="21791"/>
    <cellStyle name="Comma 2 5 4 36 4" xfId="21792"/>
    <cellStyle name="Comma 2 5 4 36 4 2" xfId="21793"/>
    <cellStyle name="Comma 2 5 4 36 5" xfId="21794"/>
    <cellStyle name="Comma 2 5 4 36 5 2" xfId="21795"/>
    <cellStyle name="Comma 2 5 4 36 6" xfId="21796"/>
    <cellStyle name="Comma 2 5 4 36 6 2" xfId="21797"/>
    <cellStyle name="Comma 2 5 4 36 7" xfId="21798"/>
    <cellStyle name="Comma 2 5 4 36 7 2" xfId="21799"/>
    <cellStyle name="Comma 2 5 4 36 8" xfId="21800"/>
    <cellStyle name="Comma 2 5 4 36 8 2" xfId="21801"/>
    <cellStyle name="Comma 2 5 4 36 9" xfId="21802"/>
    <cellStyle name="Comma 2 5 4 36 9 2" xfId="21803"/>
    <cellStyle name="Comma 2 5 4 37" xfId="21804"/>
    <cellStyle name="Comma 2 5 4 37 10" xfId="21805"/>
    <cellStyle name="Comma 2 5 4 37 10 2" xfId="21806"/>
    <cellStyle name="Comma 2 5 4 37 11" xfId="21807"/>
    <cellStyle name="Comma 2 5 4 37 11 2" xfId="21808"/>
    <cellStyle name="Comma 2 5 4 37 12" xfId="21809"/>
    <cellStyle name="Comma 2 5 4 37 2" xfId="21810"/>
    <cellStyle name="Comma 2 5 4 37 2 2" xfId="21811"/>
    <cellStyle name="Comma 2 5 4 37 3" xfId="21812"/>
    <cellStyle name="Comma 2 5 4 37 3 2" xfId="21813"/>
    <cellStyle name="Comma 2 5 4 37 4" xfId="21814"/>
    <cellStyle name="Comma 2 5 4 37 4 2" xfId="21815"/>
    <cellStyle name="Comma 2 5 4 37 5" xfId="21816"/>
    <cellStyle name="Comma 2 5 4 37 5 2" xfId="21817"/>
    <cellStyle name="Comma 2 5 4 37 6" xfId="21818"/>
    <cellStyle name="Comma 2 5 4 37 6 2" xfId="21819"/>
    <cellStyle name="Comma 2 5 4 37 7" xfId="21820"/>
    <cellStyle name="Comma 2 5 4 37 7 2" xfId="21821"/>
    <cellStyle name="Comma 2 5 4 37 8" xfId="21822"/>
    <cellStyle name="Comma 2 5 4 37 8 2" xfId="21823"/>
    <cellStyle name="Comma 2 5 4 37 9" xfId="21824"/>
    <cellStyle name="Comma 2 5 4 37 9 2" xfId="21825"/>
    <cellStyle name="Comma 2 5 4 38" xfId="21826"/>
    <cellStyle name="Comma 2 5 4 38 10" xfId="21827"/>
    <cellStyle name="Comma 2 5 4 38 10 2" xfId="21828"/>
    <cellStyle name="Comma 2 5 4 38 11" xfId="21829"/>
    <cellStyle name="Comma 2 5 4 38 11 2" xfId="21830"/>
    <cellStyle name="Comma 2 5 4 38 12" xfId="21831"/>
    <cellStyle name="Comma 2 5 4 38 2" xfId="21832"/>
    <cellStyle name="Comma 2 5 4 38 2 2" xfId="21833"/>
    <cellStyle name="Comma 2 5 4 38 3" xfId="21834"/>
    <cellStyle name="Comma 2 5 4 38 3 2" xfId="21835"/>
    <cellStyle name="Comma 2 5 4 38 4" xfId="21836"/>
    <cellStyle name="Comma 2 5 4 38 4 2" xfId="21837"/>
    <cellStyle name="Comma 2 5 4 38 5" xfId="21838"/>
    <cellStyle name="Comma 2 5 4 38 5 2" xfId="21839"/>
    <cellStyle name="Comma 2 5 4 38 6" xfId="21840"/>
    <cellStyle name="Comma 2 5 4 38 6 2" xfId="21841"/>
    <cellStyle name="Comma 2 5 4 38 7" xfId="21842"/>
    <cellStyle name="Comma 2 5 4 38 7 2" xfId="21843"/>
    <cellStyle name="Comma 2 5 4 38 8" xfId="21844"/>
    <cellStyle name="Comma 2 5 4 38 8 2" xfId="21845"/>
    <cellStyle name="Comma 2 5 4 38 9" xfId="21846"/>
    <cellStyle name="Comma 2 5 4 38 9 2" xfId="21847"/>
    <cellStyle name="Comma 2 5 4 39" xfId="21848"/>
    <cellStyle name="Comma 2 5 4 39 10" xfId="21849"/>
    <cellStyle name="Comma 2 5 4 39 10 2" xfId="21850"/>
    <cellStyle name="Comma 2 5 4 39 11" xfId="21851"/>
    <cellStyle name="Comma 2 5 4 39 11 2" xfId="21852"/>
    <cellStyle name="Comma 2 5 4 39 12" xfId="21853"/>
    <cellStyle name="Comma 2 5 4 39 2" xfId="21854"/>
    <cellStyle name="Comma 2 5 4 39 2 2" xfId="21855"/>
    <cellStyle name="Comma 2 5 4 39 3" xfId="21856"/>
    <cellStyle name="Comma 2 5 4 39 3 2" xfId="21857"/>
    <cellStyle name="Comma 2 5 4 39 4" xfId="21858"/>
    <cellStyle name="Comma 2 5 4 39 4 2" xfId="21859"/>
    <cellStyle name="Comma 2 5 4 39 5" xfId="21860"/>
    <cellStyle name="Comma 2 5 4 39 5 2" xfId="21861"/>
    <cellStyle name="Comma 2 5 4 39 6" xfId="21862"/>
    <cellStyle name="Comma 2 5 4 39 6 2" xfId="21863"/>
    <cellStyle name="Comma 2 5 4 39 7" xfId="21864"/>
    <cellStyle name="Comma 2 5 4 39 7 2" xfId="21865"/>
    <cellStyle name="Comma 2 5 4 39 8" xfId="21866"/>
    <cellStyle name="Comma 2 5 4 39 8 2" xfId="21867"/>
    <cellStyle name="Comma 2 5 4 39 9" xfId="21868"/>
    <cellStyle name="Comma 2 5 4 39 9 2" xfId="21869"/>
    <cellStyle name="Comma 2 5 4 4" xfId="21870"/>
    <cellStyle name="Comma 2 5 4 4 10" xfId="21871"/>
    <cellStyle name="Comma 2 5 4 4 10 2" xfId="21872"/>
    <cellStyle name="Comma 2 5 4 4 11" xfId="21873"/>
    <cellStyle name="Comma 2 5 4 4 11 2" xfId="21874"/>
    <cellStyle name="Comma 2 5 4 4 12" xfId="21875"/>
    <cellStyle name="Comma 2 5 4 4 2" xfId="21876"/>
    <cellStyle name="Comma 2 5 4 4 2 2" xfId="21877"/>
    <cellStyle name="Comma 2 5 4 4 3" xfId="21878"/>
    <cellStyle name="Comma 2 5 4 4 3 2" xfId="21879"/>
    <cellStyle name="Comma 2 5 4 4 4" xfId="21880"/>
    <cellStyle name="Comma 2 5 4 4 4 2" xfId="21881"/>
    <cellStyle name="Comma 2 5 4 4 5" xfId="21882"/>
    <cellStyle name="Comma 2 5 4 4 5 2" xfId="21883"/>
    <cellStyle name="Comma 2 5 4 4 6" xfId="21884"/>
    <cellStyle name="Comma 2 5 4 4 6 2" xfId="21885"/>
    <cellStyle name="Comma 2 5 4 4 7" xfId="21886"/>
    <cellStyle name="Comma 2 5 4 4 7 2" xfId="21887"/>
    <cellStyle name="Comma 2 5 4 4 8" xfId="21888"/>
    <cellStyle name="Comma 2 5 4 4 8 2" xfId="21889"/>
    <cellStyle name="Comma 2 5 4 4 9" xfId="21890"/>
    <cellStyle name="Comma 2 5 4 4 9 2" xfId="21891"/>
    <cellStyle name="Comma 2 5 4 40" xfId="21892"/>
    <cellStyle name="Comma 2 5 4 40 2" xfId="21893"/>
    <cellStyle name="Comma 2 5 4 41" xfId="21894"/>
    <cellStyle name="Comma 2 5 4 41 2" xfId="21895"/>
    <cellStyle name="Comma 2 5 4 42" xfId="21896"/>
    <cellStyle name="Comma 2 5 4 42 2" xfId="21897"/>
    <cellStyle name="Comma 2 5 4 43" xfId="21898"/>
    <cellStyle name="Comma 2 5 4 43 2" xfId="21899"/>
    <cellStyle name="Comma 2 5 4 44" xfId="21900"/>
    <cellStyle name="Comma 2 5 4 44 2" xfId="21901"/>
    <cellStyle name="Comma 2 5 4 45" xfId="21902"/>
    <cellStyle name="Comma 2 5 4 45 2" xfId="21903"/>
    <cellStyle name="Comma 2 5 4 46" xfId="21904"/>
    <cellStyle name="Comma 2 5 4 46 2" xfId="21905"/>
    <cellStyle name="Comma 2 5 4 47" xfId="21906"/>
    <cellStyle name="Comma 2 5 4 47 2" xfId="21907"/>
    <cellStyle name="Comma 2 5 4 48" xfId="21908"/>
    <cellStyle name="Comma 2 5 4 48 2" xfId="21909"/>
    <cellStyle name="Comma 2 5 4 49" xfId="21910"/>
    <cellStyle name="Comma 2 5 4 49 2" xfId="21911"/>
    <cellStyle name="Comma 2 5 4 5" xfId="21912"/>
    <cellStyle name="Comma 2 5 4 5 10" xfId="21913"/>
    <cellStyle name="Comma 2 5 4 5 10 2" xfId="21914"/>
    <cellStyle name="Comma 2 5 4 5 11" xfId="21915"/>
    <cellStyle name="Comma 2 5 4 5 11 2" xfId="21916"/>
    <cellStyle name="Comma 2 5 4 5 12" xfId="21917"/>
    <cellStyle name="Comma 2 5 4 5 2" xfId="21918"/>
    <cellStyle name="Comma 2 5 4 5 2 2" xfId="21919"/>
    <cellStyle name="Comma 2 5 4 5 3" xfId="21920"/>
    <cellStyle name="Comma 2 5 4 5 3 2" xfId="21921"/>
    <cellStyle name="Comma 2 5 4 5 4" xfId="21922"/>
    <cellStyle name="Comma 2 5 4 5 4 2" xfId="21923"/>
    <cellStyle name="Comma 2 5 4 5 5" xfId="21924"/>
    <cellStyle name="Comma 2 5 4 5 5 2" xfId="21925"/>
    <cellStyle name="Comma 2 5 4 5 6" xfId="21926"/>
    <cellStyle name="Comma 2 5 4 5 6 2" xfId="21927"/>
    <cellStyle name="Comma 2 5 4 5 7" xfId="21928"/>
    <cellStyle name="Comma 2 5 4 5 7 2" xfId="21929"/>
    <cellStyle name="Comma 2 5 4 5 8" xfId="21930"/>
    <cellStyle name="Comma 2 5 4 5 8 2" xfId="21931"/>
    <cellStyle name="Comma 2 5 4 5 9" xfId="21932"/>
    <cellStyle name="Comma 2 5 4 5 9 2" xfId="21933"/>
    <cellStyle name="Comma 2 5 4 50" xfId="21934"/>
    <cellStyle name="Comma 2 5 4 50 2" xfId="21935"/>
    <cellStyle name="Comma 2 5 4 51" xfId="21936"/>
    <cellStyle name="Comma 2 5 4 51 2" xfId="21937"/>
    <cellStyle name="Comma 2 5 4 52" xfId="21938"/>
    <cellStyle name="Comma 2 5 4 6" xfId="21939"/>
    <cellStyle name="Comma 2 5 4 6 10" xfId="21940"/>
    <cellStyle name="Comma 2 5 4 6 10 2" xfId="21941"/>
    <cellStyle name="Comma 2 5 4 6 11" xfId="21942"/>
    <cellStyle name="Comma 2 5 4 6 11 2" xfId="21943"/>
    <cellStyle name="Comma 2 5 4 6 12" xfId="21944"/>
    <cellStyle name="Comma 2 5 4 6 2" xfId="21945"/>
    <cellStyle name="Comma 2 5 4 6 2 2" xfId="21946"/>
    <cellStyle name="Comma 2 5 4 6 3" xfId="21947"/>
    <cellStyle name="Comma 2 5 4 6 3 2" xfId="21948"/>
    <cellStyle name="Comma 2 5 4 6 4" xfId="21949"/>
    <cellStyle name="Comma 2 5 4 6 4 2" xfId="21950"/>
    <cellStyle name="Comma 2 5 4 6 5" xfId="21951"/>
    <cellStyle name="Comma 2 5 4 6 5 2" xfId="21952"/>
    <cellStyle name="Comma 2 5 4 6 6" xfId="21953"/>
    <cellStyle name="Comma 2 5 4 6 6 2" xfId="21954"/>
    <cellStyle name="Comma 2 5 4 6 7" xfId="21955"/>
    <cellStyle name="Comma 2 5 4 6 7 2" xfId="21956"/>
    <cellStyle name="Comma 2 5 4 6 8" xfId="21957"/>
    <cellStyle name="Comma 2 5 4 6 8 2" xfId="21958"/>
    <cellStyle name="Comma 2 5 4 6 9" xfId="21959"/>
    <cellStyle name="Comma 2 5 4 6 9 2" xfId="21960"/>
    <cellStyle name="Comma 2 5 4 7" xfId="21961"/>
    <cellStyle name="Comma 2 5 4 7 10" xfId="21962"/>
    <cellStyle name="Comma 2 5 4 7 10 2" xfId="21963"/>
    <cellStyle name="Comma 2 5 4 7 11" xfId="21964"/>
    <cellStyle name="Comma 2 5 4 7 11 2" xfId="21965"/>
    <cellStyle name="Comma 2 5 4 7 12" xfId="21966"/>
    <cellStyle name="Comma 2 5 4 7 2" xfId="21967"/>
    <cellStyle name="Comma 2 5 4 7 2 2" xfId="21968"/>
    <cellStyle name="Comma 2 5 4 7 3" xfId="21969"/>
    <cellStyle name="Comma 2 5 4 7 3 2" xfId="21970"/>
    <cellStyle name="Comma 2 5 4 7 4" xfId="21971"/>
    <cellStyle name="Comma 2 5 4 7 4 2" xfId="21972"/>
    <cellStyle name="Comma 2 5 4 7 5" xfId="21973"/>
    <cellStyle name="Comma 2 5 4 7 5 2" xfId="21974"/>
    <cellStyle name="Comma 2 5 4 7 6" xfId="21975"/>
    <cellStyle name="Comma 2 5 4 7 6 2" xfId="21976"/>
    <cellStyle name="Comma 2 5 4 7 7" xfId="21977"/>
    <cellStyle name="Comma 2 5 4 7 7 2" xfId="21978"/>
    <cellStyle name="Comma 2 5 4 7 8" xfId="21979"/>
    <cellStyle name="Comma 2 5 4 7 8 2" xfId="21980"/>
    <cellStyle name="Comma 2 5 4 7 9" xfId="21981"/>
    <cellStyle name="Comma 2 5 4 7 9 2" xfId="21982"/>
    <cellStyle name="Comma 2 5 4 8" xfId="21983"/>
    <cellStyle name="Comma 2 5 4 8 10" xfId="21984"/>
    <cellStyle name="Comma 2 5 4 8 10 2" xfId="21985"/>
    <cellStyle name="Comma 2 5 4 8 11" xfId="21986"/>
    <cellStyle name="Comma 2 5 4 8 11 2" xfId="21987"/>
    <cellStyle name="Comma 2 5 4 8 12" xfId="21988"/>
    <cellStyle name="Comma 2 5 4 8 2" xfId="21989"/>
    <cellStyle name="Comma 2 5 4 8 2 2" xfId="21990"/>
    <cellStyle name="Comma 2 5 4 8 3" xfId="21991"/>
    <cellStyle name="Comma 2 5 4 8 3 2" xfId="21992"/>
    <cellStyle name="Comma 2 5 4 8 4" xfId="21993"/>
    <cellStyle name="Comma 2 5 4 8 4 2" xfId="21994"/>
    <cellStyle name="Comma 2 5 4 8 5" xfId="21995"/>
    <cellStyle name="Comma 2 5 4 8 5 2" xfId="21996"/>
    <cellStyle name="Comma 2 5 4 8 6" xfId="21997"/>
    <cellStyle name="Comma 2 5 4 8 6 2" xfId="21998"/>
    <cellStyle name="Comma 2 5 4 8 7" xfId="21999"/>
    <cellStyle name="Comma 2 5 4 8 7 2" xfId="22000"/>
    <cellStyle name="Comma 2 5 4 8 8" xfId="22001"/>
    <cellStyle name="Comma 2 5 4 8 8 2" xfId="22002"/>
    <cellStyle name="Comma 2 5 4 8 9" xfId="22003"/>
    <cellStyle name="Comma 2 5 4 8 9 2" xfId="22004"/>
    <cellStyle name="Comma 2 5 4 9" xfId="22005"/>
    <cellStyle name="Comma 2 5 4 9 10" xfId="22006"/>
    <cellStyle name="Comma 2 5 4 9 10 2" xfId="22007"/>
    <cellStyle name="Comma 2 5 4 9 11" xfId="22008"/>
    <cellStyle name="Comma 2 5 4 9 11 2" xfId="22009"/>
    <cellStyle name="Comma 2 5 4 9 12" xfId="22010"/>
    <cellStyle name="Comma 2 5 4 9 2" xfId="22011"/>
    <cellStyle name="Comma 2 5 4 9 2 2" xfId="22012"/>
    <cellStyle name="Comma 2 5 4 9 3" xfId="22013"/>
    <cellStyle name="Comma 2 5 4 9 3 2" xfId="22014"/>
    <cellStyle name="Comma 2 5 4 9 4" xfId="22015"/>
    <cellStyle name="Comma 2 5 4 9 4 2" xfId="22016"/>
    <cellStyle name="Comma 2 5 4 9 5" xfId="22017"/>
    <cellStyle name="Comma 2 5 4 9 5 2" xfId="22018"/>
    <cellStyle name="Comma 2 5 4 9 6" xfId="22019"/>
    <cellStyle name="Comma 2 5 4 9 6 2" xfId="22020"/>
    <cellStyle name="Comma 2 5 4 9 7" xfId="22021"/>
    <cellStyle name="Comma 2 5 4 9 7 2" xfId="22022"/>
    <cellStyle name="Comma 2 5 4 9 8" xfId="22023"/>
    <cellStyle name="Comma 2 5 4 9 8 2" xfId="22024"/>
    <cellStyle name="Comma 2 5 4 9 9" xfId="22025"/>
    <cellStyle name="Comma 2 5 4 9 9 2" xfId="22026"/>
    <cellStyle name="Comma 2 5 40" xfId="22027"/>
    <cellStyle name="Comma 2 5 40 10" xfId="22028"/>
    <cellStyle name="Comma 2 5 40 10 2" xfId="22029"/>
    <cellStyle name="Comma 2 5 40 11" xfId="22030"/>
    <cellStyle name="Comma 2 5 40 11 2" xfId="22031"/>
    <cellStyle name="Comma 2 5 40 12" xfId="22032"/>
    <cellStyle name="Comma 2 5 40 2" xfId="22033"/>
    <cellStyle name="Comma 2 5 40 2 2" xfId="22034"/>
    <cellStyle name="Comma 2 5 40 3" xfId="22035"/>
    <cellStyle name="Comma 2 5 40 3 2" xfId="22036"/>
    <cellStyle name="Comma 2 5 40 4" xfId="22037"/>
    <cellStyle name="Comma 2 5 40 4 2" xfId="22038"/>
    <cellStyle name="Comma 2 5 40 5" xfId="22039"/>
    <cellStyle name="Comma 2 5 40 5 2" xfId="22040"/>
    <cellStyle name="Comma 2 5 40 6" xfId="22041"/>
    <cellStyle name="Comma 2 5 40 6 2" xfId="22042"/>
    <cellStyle name="Comma 2 5 40 7" xfId="22043"/>
    <cellStyle name="Comma 2 5 40 7 2" xfId="22044"/>
    <cellStyle name="Comma 2 5 40 8" xfId="22045"/>
    <cellStyle name="Comma 2 5 40 8 2" xfId="22046"/>
    <cellStyle name="Comma 2 5 40 9" xfId="22047"/>
    <cellStyle name="Comma 2 5 40 9 2" xfId="22048"/>
    <cellStyle name="Comma 2 5 41" xfId="22049"/>
    <cellStyle name="Comma 2 5 41 10" xfId="22050"/>
    <cellStyle name="Comma 2 5 41 10 2" xfId="22051"/>
    <cellStyle name="Comma 2 5 41 11" xfId="22052"/>
    <cellStyle name="Comma 2 5 41 11 2" xfId="22053"/>
    <cellStyle name="Comma 2 5 41 12" xfId="22054"/>
    <cellStyle name="Comma 2 5 41 2" xfId="22055"/>
    <cellStyle name="Comma 2 5 41 2 2" xfId="22056"/>
    <cellStyle name="Comma 2 5 41 3" xfId="22057"/>
    <cellStyle name="Comma 2 5 41 3 2" xfId="22058"/>
    <cellStyle name="Comma 2 5 41 4" xfId="22059"/>
    <cellStyle name="Comma 2 5 41 4 2" xfId="22060"/>
    <cellStyle name="Comma 2 5 41 5" xfId="22061"/>
    <cellStyle name="Comma 2 5 41 5 2" xfId="22062"/>
    <cellStyle name="Comma 2 5 41 6" xfId="22063"/>
    <cellStyle name="Comma 2 5 41 6 2" xfId="22064"/>
    <cellStyle name="Comma 2 5 41 7" xfId="22065"/>
    <cellStyle name="Comma 2 5 41 7 2" xfId="22066"/>
    <cellStyle name="Comma 2 5 41 8" xfId="22067"/>
    <cellStyle name="Comma 2 5 41 8 2" xfId="22068"/>
    <cellStyle name="Comma 2 5 41 9" xfId="22069"/>
    <cellStyle name="Comma 2 5 41 9 2" xfId="22070"/>
    <cellStyle name="Comma 2 5 42" xfId="22071"/>
    <cellStyle name="Comma 2 5 42 10" xfId="22072"/>
    <cellStyle name="Comma 2 5 42 10 2" xfId="22073"/>
    <cellStyle name="Comma 2 5 42 11" xfId="22074"/>
    <cellStyle name="Comma 2 5 42 11 2" xfId="22075"/>
    <cellStyle name="Comma 2 5 42 12" xfId="22076"/>
    <cellStyle name="Comma 2 5 42 2" xfId="22077"/>
    <cellStyle name="Comma 2 5 42 2 2" xfId="22078"/>
    <cellStyle name="Comma 2 5 42 3" xfId="22079"/>
    <cellStyle name="Comma 2 5 42 3 2" xfId="22080"/>
    <cellStyle name="Comma 2 5 42 4" xfId="22081"/>
    <cellStyle name="Comma 2 5 42 4 2" xfId="22082"/>
    <cellStyle name="Comma 2 5 42 5" xfId="22083"/>
    <cellStyle name="Comma 2 5 42 5 2" xfId="22084"/>
    <cellStyle name="Comma 2 5 42 6" xfId="22085"/>
    <cellStyle name="Comma 2 5 42 6 2" xfId="22086"/>
    <cellStyle name="Comma 2 5 42 7" xfId="22087"/>
    <cellStyle name="Comma 2 5 42 7 2" xfId="22088"/>
    <cellStyle name="Comma 2 5 42 8" xfId="22089"/>
    <cellStyle name="Comma 2 5 42 8 2" xfId="22090"/>
    <cellStyle name="Comma 2 5 42 9" xfId="22091"/>
    <cellStyle name="Comma 2 5 42 9 2" xfId="22092"/>
    <cellStyle name="Comma 2 5 43" xfId="22093"/>
    <cellStyle name="Comma 2 5 43 10" xfId="22094"/>
    <cellStyle name="Comma 2 5 43 10 2" xfId="22095"/>
    <cellStyle name="Comma 2 5 43 11" xfId="22096"/>
    <cellStyle name="Comma 2 5 43 11 2" xfId="22097"/>
    <cellStyle name="Comma 2 5 43 12" xfId="22098"/>
    <cellStyle name="Comma 2 5 43 2" xfId="22099"/>
    <cellStyle name="Comma 2 5 43 2 2" xfId="22100"/>
    <cellStyle name="Comma 2 5 43 3" xfId="22101"/>
    <cellStyle name="Comma 2 5 43 3 2" xfId="22102"/>
    <cellStyle name="Comma 2 5 43 4" xfId="22103"/>
    <cellStyle name="Comma 2 5 43 4 2" xfId="22104"/>
    <cellStyle name="Comma 2 5 43 5" xfId="22105"/>
    <cellStyle name="Comma 2 5 43 5 2" xfId="22106"/>
    <cellStyle name="Comma 2 5 43 6" xfId="22107"/>
    <cellStyle name="Comma 2 5 43 6 2" xfId="22108"/>
    <cellStyle name="Comma 2 5 43 7" xfId="22109"/>
    <cellStyle name="Comma 2 5 43 7 2" xfId="22110"/>
    <cellStyle name="Comma 2 5 43 8" xfId="22111"/>
    <cellStyle name="Comma 2 5 43 8 2" xfId="22112"/>
    <cellStyle name="Comma 2 5 43 9" xfId="22113"/>
    <cellStyle name="Comma 2 5 43 9 2" xfId="22114"/>
    <cellStyle name="Comma 2 5 44" xfId="22115"/>
    <cellStyle name="Comma 2 5 44 10" xfId="22116"/>
    <cellStyle name="Comma 2 5 44 10 2" xfId="22117"/>
    <cellStyle name="Comma 2 5 44 11" xfId="22118"/>
    <cellStyle name="Comma 2 5 44 11 2" xfId="22119"/>
    <cellStyle name="Comma 2 5 44 12" xfId="22120"/>
    <cellStyle name="Comma 2 5 44 2" xfId="22121"/>
    <cellStyle name="Comma 2 5 44 2 2" xfId="22122"/>
    <cellStyle name="Comma 2 5 44 3" xfId="22123"/>
    <cellStyle name="Comma 2 5 44 3 2" xfId="22124"/>
    <cellStyle name="Comma 2 5 44 4" xfId="22125"/>
    <cellStyle name="Comma 2 5 44 4 2" xfId="22126"/>
    <cellStyle name="Comma 2 5 44 5" xfId="22127"/>
    <cellStyle name="Comma 2 5 44 5 2" xfId="22128"/>
    <cellStyle name="Comma 2 5 44 6" xfId="22129"/>
    <cellStyle name="Comma 2 5 44 6 2" xfId="22130"/>
    <cellStyle name="Comma 2 5 44 7" xfId="22131"/>
    <cellStyle name="Comma 2 5 44 7 2" xfId="22132"/>
    <cellStyle name="Comma 2 5 44 8" xfId="22133"/>
    <cellStyle name="Comma 2 5 44 8 2" xfId="22134"/>
    <cellStyle name="Comma 2 5 44 9" xfId="22135"/>
    <cellStyle name="Comma 2 5 44 9 2" xfId="22136"/>
    <cellStyle name="Comma 2 5 45" xfId="22137"/>
    <cellStyle name="Comma 2 5 45 2" xfId="22138"/>
    <cellStyle name="Comma 2 5 46" xfId="22139"/>
    <cellStyle name="Comma 2 5 46 2" xfId="22140"/>
    <cellStyle name="Comma 2 5 47" xfId="22141"/>
    <cellStyle name="Comma 2 5 47 2" xfId="22142"/>
    <cellStyle name="Comma 2 5 48" xfId="22143"/>
    <cellStyle name="Comma 2 5 48 2" xfId="22144"/>
    <cellStyle name="Comma 2 5 49" xfId="22145"/>
    <cellStyle name="Comma 2 5 49 2" xfId="22146"/>
    <cellStyle name="Comma 2 5 5" xfId="22147"/>
    <cellStyle name="Comma 2 5 5 10" xfId="22148"/>
    <cellStyle name="Comma 2 5 5 10 10" xfId="22149"/>
    <cellStyle name="Comma 2 5 5 10 10 2" xfId="22150"/>
    <cellStyle name="Comma 2 5 5 10 11" xfId="22151"/>
    <cellStyle name="Comma 2 5 5 10 11 2" xfId="22152"/>
    <cellStyle name="Comma 2 5 5 10 12" xfId="22153"/>
    <cellStyle name="Comma 2 5 5 10 2" xfId="22154"/>
    <cellStyle name="Comma 2 5 5 10 2 2" xfId="22155"/>
    <cellStyle name="Comma 2 5 5 10 3" xfId="22156"/>
    <cellStyle name="Comma 2 5 5 10 3 2" xfId="22157"/>
    <cellStyle name="Comma 2 5 5 10 4" xfId="22158"/>
    <cellStyle name="Comma 2 5 5 10 4 2" xfId="22159"/>
    <cellStyle name="Comma 2 5 5 10 5" xfId="22160"/>
    <cellStyle name="Comma 2 5 5 10 5 2" xfId="22161"/>
    <cellStyle name="Comma 2 5 5 10 6" xfId="22162"/>
    <cellStyle name="Comma 2 5 5 10 6 2" xfId="22163"/>
    <cellStyle name="Comma 2 5 5 10 7" xfId="22164"/>
    <cellStyle name="Comma 2 5 5 10 7 2" xfId="22165"/>
    <cellStyle name="Comma 2 5 5 10 8" xfId="22166"/>
    <cellStyle name="Comma 2 5 5 10 8 2" xfId="22167"/>
    <cellStyle name="Comma 2 5 5 10 9" xfId="22168"/>
    <cellStyle name="Comma 2 5 5 10 9 2" xfId="22169"/>
    <cellStyle name="Comma 2 5 5 11" xfId="22170"/>
    <cellStyle name="Comma 2 5 5 11 10" xfId="22171"/>
    <cellStyle name="Comma 2 5 5 11 10 2" xfId="22172"/>
    <cellStyle name="Comma 2 5 5 11 11" xfId="22173"/>
    <cellStyle name="Comma 2 5 5 11 11 2" xfId="22174"/>
    <cellStyle name="Comma 2 5 5 11 12" xfId="22175"/>
    <cellStyle name="Comma 2 5 5 11 2" xfId="22176"/>
    <cellStyle name="Comma 2 5 5 11 2 2" xfId="22177"/>
    <cellStyle name="Comma 2 5 5 11 3" xfId="22178"/>
    <cellStyle name="Comma 2 5 5 11 3 2" xfId="22179"/>
    <cellStyle name="Comma 2 5 5 11 4" xfId="22180"/>
    <cellStyle name="Comma 2 5 5 11 4 2" xfId="22181"/>
    <cellStyle name="Comma 2 5 5 11 5" xfId="22182"/>
    <cellStyle name="Comma 2 5 5 11 5 2" xfId="22183"/>
    <cellStyle name="Comma 2 5 5 11 6" xfId="22184"/>
    <cellStyle name="Comma 2 5 5 11 6 2" xfId="22185"/>
    <cellStyle name="Comma 2 5 5 11 7" xfId="22186"/>
    <cellStyle name="Comma 2 5 5 11 7 2" xfId="22187"/>
    <cellStyle name="Comma 2 5 5 11 8" xfId="22188"/>
    <cellStyle name="Comma 2 5 5 11 8 2" xfId="22189"/>
    <cellStyle name="Comma 2 5 5 11 9" xfId="22190"/>
    <cellStyle name="Comma 2 5 5 11 9 2" xfId="22191"/>
    <cellStyle name="Comma 2 5 5 12" xfId="22192"/>
    <cellStyle name="Comma 2 5 5 12 10" xfId="22193"/>
    <cellStyle name="Comma 2 5 5 12 10 2" xfId="22194"/>
    <cellStyle name="Comma 2 5 5 12 11" xfId="22195"/>
    <cellStyle name="Comma 2 5 5 12 11 2" xfId="22196"/>
    <cellStyle name="Comma 2 5 5 12 12" xfId="22197"/>
    <cellStyle name="Comma 2 5 5 12 2" xfId="22198"/>
    <cellStyle name="Comma 2 5 5 12 2 2" xfId="22199"/>
    <cellStyle name="Comma 2 5 5 12 3" xfId="22200"/>
    <cellStyle name="Comma 2 5 5 12 3 2" xfId="22201"/>
    <cellStyle name="Comma 2 5 5 12 4" xfId="22202"/>
    <cellStyle name="Comma 2 5 5 12 4 2" xfId="22203"/>
    <cellStyle name="Comma 2 5 5 12 5" xfId="22204"/>
    <cellStyle name="Comma 2 5 5 12 5 2" xfId="22205"/>
    <cellStyle name="Comma 2 5 5 12 6" xfId="22206"/>
    <cellStyle name="Comma 2 5 5 12 6 2" xfId="22207"/>
    <cellStyle name="Comma 2 5 5 12 7" xfId="22208"/>
    <cellStyle name="Comma 2 5 5 12 7 2" xfId="22209"/>
    <cellStyle name="Comma 2 5 5 12 8" xfId="22210"/>
    <cellStyle name="Comma 2 5 5 12 8 2" xfId="22211"/>
    <cellStyle name="Comma 2 5 5 12 9" xfId="22212"/>
    <cellStyle name="Comma 2 5 5 12 9 2" xfId="22213"/>
    <cellStyle name="Comma 2 5 5 13" xfId="22214"/>
    <cellStyle name="Comma 2 5 5 13 10" xfId="22215"/>
    <cellStyle name="Comma 2 5 5 13 10 2" xfId="22216"/>
    <cellStyle name="Comma 2 5 5 13 11" xfId="22217"/>
    <cellStyle name="Comma 2 5 5 13 11 2" xfId="22218"/>
    <cellStyle name="Comma 2 5 5 13 12" xfId="22219"/>
    <cellStyle name="Comma 2 5 5 13 2" xfId="22220"/>
    <cellStyle name="Comma 2 5 5 13 2 2" xfId="22221"/>
    <cellStyle name="Comma 2 5 5 13 3" xfId="22222"/>
    <cellStyle name="Comma 2 5 5 13 3 2" xfId="22223"/>
    <cellStyle name="Comma 2 5 5 13 4" xfId="22224"/>
    <cellStyle name="Comma 2 5 5 13 4 2" xfId="22225"/>
    <cellStyle name="Comma 2 5 5 13 5" xfId="22226"/>
    <cellStyle name="Comma 2 5 5 13 5 2" xfId="22227"/>
    <cellStyle name="Comma 2 5 5 13 6" xfId="22228"/>
    <cellStyle name="Comma 2 5 5 13 6 2" xfId="22229"/>
    <cellStyle name="Comma 2 5 5 13 7" xfId="22230"/>
    <cellStyle name="Comma 2 5 5 13 7 2" xfId="22231"/>
    <cellStyle name="Comma 2 5 5 13 8" xfId="22232"/>
    <cellStyle name="Comma 2 5 5 13 8 2" xfId="22233"/>
    <cellStyle name="Comma 2 5 5 13 9" xfId="22234"/>
    <cellStyle name="Comma 2 5 5 13 9 2" xfId="22235"/>
    <cellStyle name="Comma 2 5 5 14" xfId="22236"/>
    <cellStyle name="Comma 2 5 5 14 10" xfId="22237"/>
    <cellStyle name="Comma 2 5 5 14 10 2" xfId="22238"/>
    <cellStyle name="Comma 2 5 5 14 11" xfId="22239"/>
    <cellStyle name="Comma 2 5 5 14 11 2" xfId="22240"/>
    <cellStyle name="Comma 2 5 5 14 12" xfId="22241"/>
    <cellStyle name="Comma 2 5 5 14 2" xfId="22242"/>
    <cellStyle name="Comma 2 5 5 14 2 2" xfId="22243"/>
    <cellStyle name="Comma 2 5 5 14 3" xfId="22244"/>
    <cellStyle name="Comma 2 5 5 14 3 2" xfId="22245"/>
    <cellStyle name="Comma 2 5 5 14 4" xfId="22246"/>
    <cellStyle name="Comma 2 5 5 14 4 2" xfId="22247"/>
    <cellStyle name="Comma 2 5 5 14 5" xfId="22248"/>
    <cellStyle name="Comma 2 5 5 14 5 2" xfId="22249"/>
    <cellStyle name="Comma 2 5 5 14 6" xfId="22250"/>
    <cellStyle name="Comma 2 5 5 14 6 2" xfId="22251"/>
    <cellStyle name="Comma 2 5 5 14 7" xfId="22252"/>
    <cellStyle name="Comma 2 5 5 14 7 2" xfId="22253"/>
    <cellStyle name="Comma 2 5 5 14 8" xfId="22254"/>
    <cellStyle name="Comma 2 5 5 14 8 2" xfId="22255"/>
    <cellStyle name="Comma 2 5 5 14 9" xfId="22256"/>
    <cellStyle name="Comma 2 5 5 14 9 2" xfId="22257"/>
    <cellStyle name="Comma 2 5 5 15" xfId="22258"/>
    <cellStyle name="Comma 2 5 5 15 10" xfId="22259"/>
    <cellStyle name="Comma 2 5 5 15 10 2" xfId="22260"/>
    <cellStyle name="Comma 2 5 5 15 11" xfId="22261"/>
    <cellStyle name="Comma 2 5 5 15 11 2" xfId="22262"/>
    <cellStyle name="Comma 2 5 5 15 12" xfId="22263"/>
    <cellStyle name="Comma 2 5 5 15 2" xfId="22264"/>
    <cellStyle name="Comma 2 5 5 15 2 2" xfId="22265"/>
    <cellStyle name="Comma 2 5 5 15 3" xfId="22266"/>
    <cellStyle name="Comma 2 5 5 15 3 2" xfId="22267"/>
    <cellStyle name="Comma 2 5 5 15 4" xfId="22268"/>
    <cellStyle name="Comma 2 5 5 15 4 2" xfId="22269"/>
    <cellStyle name="Comma 2 5 5 15 5" xfId="22270"/>
    <cellStyle name="Comma 2 5 5 15 5 2" xfId="22271"/>
    <cellStyle name="Comma 2 5 5 15 6" xfId="22272"/>
    <cellStyle name="Comma 2 5 5 15 6 2" xfId="22273"/>
    <cellStyle name="Comma 2 5 5 15 7" xfId="22274"/>
    <cellStyle name="Comma 2 5 5 15 7 2" xfId="22275"/>
    <cellStyle name="Comma 2 5 5 15 8" xfId="22276"/>
    <cellStyle name="Comma 2 5 5 15 8 2" xfId="22277"/>
    <cellStyle name="Comma 2 5 5 15 9" xfId="22278"/>
    <cellStyle name="Comma 2 5 5 15 9 2" xfId="22279"/>
    <cellStyle name="Comma 2 5 5 16" xfId="22280"/>
    <cellStyle name="Comma 2 5 5 16 2" xfId="22281"/>
    <cellStyle name="Comma 2 5 5 17" xfId="22282"/>
    <cellStyle name="Comma 2 5 5 17 2" xfId="22283"/>
    <cellStyle name="Comma 2 5 5 18" xfId="22284"/>
    <cellStyle name="Comma 2 5 5 18 2" xfId="22285"/>
    <cellStyle name="Comma 2 5 5 19" xfId="22286"/>
    <cellStyle name="Comma 2 5 5 19 2" xfId="22287"/>
    <cellStyle name="Comma 2 5 5 2" xfId="22288"/>
    <cellStyle name="Comma 2 5 5 2 10" xfId="22289"/>
    <cellStyle name="Comma 2 5 5 2 10 2" xfId="22290"/>
    <cellStyle name="Comma 2 5 5 2 11" xfId="22291"/>
    <cellStyle name="Comma 2 5 5 2 11 2" xfId="22292"/>
    <cellStyle name="Comma 2 5 5 2 12" xfId="22293"/>
    <cellStyle name="Comma 2 5 5 2 2" xfId="22294"/>
    <cellStyle name="Comma 2 5 5 2 2 2" xfId="22295"/>
    <cellStyle name="Comma 2 5 5 2 3" xfId="22296"/>
    <cellStyle name="Comma 2 5 5 2 3 2" xfId="22297"/>
    <cellStyle name="Comma 2 5 5 2 4" xfId="22298"/>
    <cellStyle name="Comma 2 5 5 2 4 2" xfId="22299"/>
    <cellStyle name="Comma 2 5 5 2 5" xfId="22300"/>
    <cellStyle name="Comma 2 5 5 2 5 2" xfId="22301"/>
    <cellStyle name="Comma 2 5 5 2 6" xfId="22302"/>
    <cellStyle name="Comma 2 5 5 2 6 2" xfId="22303"/>
    <cellStyle name="Comma 2 5 5 2 7" xfId="22304"/>
    <cellStyle name="Comma 2 5 5 2 7 2" xfId="22305"/>
    <cellStyle name="Comma 2 5 5 2 8" xfId="22306"/>
    <cellStyle name="Comma 2 5 5 2 8 2" xfId="22307"/>
    <cellStyle name="Comma 2 5 5 2 9" xfId="22308"/>
    <cellStyle name="Comma 2 5 5 2 9 2" xfId="22309"/>
    <cellStyle name="Comma 2 5 5 20" xfId="22310"/>
    <cellStyle name="Comma 2 5 5 20 2" xfId="22311"/>
    <cellStyle name="Comma 2 5 5 21" xfId="22312"/>
    <cellStyle name="Comma 2 5 5 21 2" xfId="22313"/>
    <cellStyle name="Comma 2 5 5 22" xfId="22314"/>
    <cellStyle name="Comma 2 5 5 22 2" xfId="22315"/>
    <cellStyle name="Comma 2 5 5 23" xfId="22316"/>
    <cellStyle name="Comma 2 5 5 23 2" xfId="22317"/>
    <cellStyle name="Comma 2 5 5 24" xfId="22318"/>
    <cellStyle name="Comma 2 5 5 24 2" xfId="22319"/>
    <cellStyle name="Comma 2 5 5 25" xfId="22320"/>
    <cellStyle name="Comma 2 5 5 25 2" xfId="22321"/>
    <cellStyle name="Comma 2 5 5 26" xfId="22322"/>
    <cellStyle name="Comma 2 5 5 3" xfId="22323"/>
    <cellStyle name="Comma 2 5 5 3 10" xfId="22324"/>
    <cellStyle name="Comma 2 5 5 3 10 2" xfId="22325"/>
    <cellStyle name="Comma 2 5 5 3 11" xfId="22326"/>
    <cellStyle name="Comma 2 5 5 3 11 2" xfId="22327"/>
    <cellStyle name="Comma 2 5 5 3 12" xfId="22328"/>
    <cellStyle name="Comma 2 5 5 3 2" xfId="22329"/>
    <cellStyle name="Comma 2 5 5 3 2 2" xfId="22330"/>
    <cellStyle name="Comma 2 5 5 3 3" xfId="22331"/>
    <cellStyle name="Comma 2 5 5 3 3 2" xfId="22332"/>
    <cellStyle name="Comma 2 5 5 3 4" xfId="22333"/>
    <cellStyle name="Comma 2 5 5 3 4 2" xfId="22334"/>
    <cellStyle name="Comma 2 5 5 3 5" xfId="22335"/>
    <cellStyle name="Comma 2 5 5 3 5 2" xfId="22336"/>
    <cellStyle name="Comma 2 5 5 3 6" xfId="22337"/>
    <cellStyle name="Comma 2 5 5 3 6 2" xfId="22338"/>
    <cellStyle name="Comma 2 5 5 3 7" xfId="22339"/>
    <cellStyle name="Comma 2 5 5 3 7 2" xfId="22340"/>
    <cellStyle name="Comma 2 5 5 3 8" xfId="22341"/>
    <cellStyle name="Comma 2 5 5 3 8 2" xfId="22342"/>
    <cellStyle name="Comma 2 5 5 3 9" xfId="22343"/>
    <cellStyle name="Comma 2 5 5 3 9 2" xfId="22344"/>
    <cellStyle name="Comma 2 5 5 4" xfId="22345"/>
    <cellStyle name="Comma 2 5 5 4 10" xfId="22346"/>
    <cellStyle name="Comma 2 5 5 4 10 2" xfId="22347"/>
    <cellStyle name="Comma 2 5 5 4 11" xfId="22348"/>
    <cellStyle name="Comma 2 5 5 4 11 2" xfId="22349"/>
    <cellStyle name="Comma 2 5 5 4 12" xfId="22350"/>
    <cellStyle name="Comma 2 5 5 4 2" xfId="22351"/>
    <cellStyle name="Comma 2 5 5 4 2 2" xfId="22352"/>
    <cellStyle name="Comma 2 5 5 4 3" xfId="22353"/>
    <cellStyle name="Comma 2 5 5 4 3 2" xfId="22354"/>
    <cellStyle name="Comma 2 5 5 4 4" xfId="22355"/>
    <cellStyle name="Comma 2 5 5 4 4 2" xfId="22356"/>
    <cellStyle name="Comma 2 5 5 4 5" xfId="22357"/>
    <cellStyle name="Comma 2 5 5 4 5 2" xfId="22358"/>
    <cellStyle name="Comma 2 5 5 4 6" xfId="22359"/>
    <cellStyle name="Comma 2 5 5 4 6 2" xfId="22360"/>
    <cellStyle name="Comma 2 5 5 4 7" xfId="22361"/>
    <cellStyle name="Comma 2 5 5 4 7 2" xfId="22362"/>
    <cellStyle name="Comma 2 5 5 4 8" xfId="22363"/>
    <cellStyle name="Comma 2 5 5 4 8 2" xfId="22364"/>
    <cellStyle name="Comma 2 5 5 4 9" xfId="22365"/>
    <cellStyle name="Comma 2 5 5 4 9 2" xfId="22366"/>
    <cellStyle name="Comma 2 5 5 5" xfId="22367"/>
    <cellStyle name="Comma 2 5 5 5 10" xfId="22368"/>
    <cellStyle name="Comma 2 5 5 5 10 2" xfId="22369"/>
    <cellStyle name="Comma 2 5 5 5 11" xfId="22370"/>
    <cellStyle name="Comma 2 5 5 5 11 2" xfId="22371"/>
    <cellStyle name="Comma 2 5 5 5 12" xfId="22372"/>
    <cellStyle name="Comma 2 5 5 5 2" xfId="22373"/>
    <cellStyle name="Comma 2 5 5 5 2 2" xfId="22374"/>
    <cellStyle name="Comma 2 5 5 5 3" xfId="22375"/>
    <cellStyle name="Comma 2 5 5 5 3 2" xfId="22376"/>
    <cellStyle name="Comma 2 5 5 5 4" xfId="22377"/>
    <cellStyle name="Comma 2 5 5 5 4 2" xfId="22378"/>
    <cellStyle name="Comma 2 5 5 5 5" xfId="22379"/>
    <cellStyle name="Comma 2 5 5 5 5 2" xfId="22380"/>
    <cellStyle name="Comma 2 5 5 5 6" xfId="22381"/>
    <cellStyle name="Comma 2 5 5 5 6 2" xfId="22382"/>
    <cellStyle name="Comma 2 5 5 5 7" xfId="22383"/>
    <cellStyle name="Comma 2 5 5 5 7 2" xfId="22384"/>
    <cellStyle name="Comma 2 5 5 5 8" xfId="22385"/>
    <cellStyle name="Comma 2 5 5 5 8 2" xfId="22386"/>
    <cellStyle name="Comma 2 5 5 5 9" xfId="22387"/>
    <cellStyle name="Comma 2 5 5 5 9 2" xfId="22388"/>
    <cellStyle name="Comma 2 5 5 6" xfId="22389"/>
    <cellStyle name="Comma 2 5 5 6 10" xfId="22390"/>
    <cellStyle name="Comma 2 5 5 6 10 2" xfId="22391"/>
    <cellStyle name="Comma 2 5 5 6 11" xfId="22392"/>
    <cellStyle name="Comma 2 5 5 6 11 2" xfId="22393"/>
    <cellStyle name="Comma 2 5 5 6 12" xfId="22394"/>
    <cellStyle name="Comma 2 5 5 6 2" xfId="22395"/>
    <cellStyle name="Comma 2 5 5 6 2 2" xfId="22396"/>
    <cellStyle name="Comma 2 5 5 6 3" xfId="22397"/>
    <cellStyle name="Comma 2 5 5 6 3 2" xfId="22398"/>
    <cellStyle name="Comma 2 5 5 6 4" xfId="22399"/>
    <cellStyle name="Comma 2 5 5 6 4 2" xfId="22400"/>
    <cellStyle name="Comma 2 5 5 6 5" xfId="22401"/>
    <cellStyle name="Comma 2 5 5 6 5 2" xfId="22402"/>
    <cellStyle name="Comma 2 5 5 6 6" xfId="22403"/>
    <cellStyle name="Comma 2 5 5 6 6 2" xfId="22404"/>
    <cellStyle name="Comma 2 5 5 6 7" xfId="22405"/>
    <cellStyle name="Comma 2 5 5 6 7 2" xfId="22406"/>
    <cellStyle name="Comma 2 5 5 6 8" xfId="22407"/>
    <cellStyle name="Comma 2 5 5 6 8 2" xfId="22408"/>
    <cellStyle name="Comma 2 5 5 6 9" xfId="22409"/>
    <cellStyle name="Comma 2 5 5 6 9 2" xfId="22410"/>
    <cellStyle name="Comma 2 5 5 7" xfId="22411"/>
    <cellStyle name="Comma 2 5 5 7 10" xfId="22412"/>
    <cellStyle name="Comma 2 5 5 7 10 2" xfId="22413"/>
    <cellStyle name="Comma 2 5 5 7 11" xfId="22414"/>
    <cellStyle name="Comma 2 5 5 7 11 2" xfId="22415"/>
    <cellStyle name="Comma 2 5 5 7 12" xfId="22416"/>
    <cellStyle name="Comma 2 5 5 7 2" xfId="22417"/>
    <cellStyle name="Comma 2 5 5 7 2 2" xfId="22418"/>
    <cellStyle name="Comma 2 5 5 7 3" xfId="22419"/>
    <cellStyle name="Comma 2 5 5 7 3 2" xfId="22420"/>
    <cellStyle name="Comma 2 5 5 7 4" xfId="22421"/>
    <cellStyle name="Comma 2 5 5 7 4 2" xfId="22422"/>
    <cellStyle name="Comma 2 5 5 7 5" xfId="22423"/>
    <cellStyle name="Comma 2 5 5 7 5 2" xfId="22424"/>
    <cellStyle name="Comma 2 5 5 7 6" xfId="22425"/>
    <cellStyle name="Comma 2 5 5 7 6 2" xfId="22426"/>
    <cellStyle name="Comma 2 5 5 7 7" xfId="22427"/>
    <cellStyle name="Comma 2 5 5 7 7 2" xfId="22428"/>
    <cellStyle name="Comma 2 5 5 7 8" xfId="22429"/>
    <cellStyle name="Comma 2 5 5 7 8 2" xfId="22430"/>
    <cellStyle name="Comma 2 5 5 7 9" xfId="22431"/>
    <cellStyle name="Comma 2 5 5 7 9 2" xfId="22432"/>
    <cellStyle name="Comma 2 5 5 8" xfId="22433"/>
    <cellStyle name="Comma 2 5 5 8 10" xfId="22434"/>
    <cellStyle name="Comma 2 5 5 8 10 2" xfId="22435"/>
    <cellStyle name="Comma 2 5 5 8 11" xfId="22436"/>
    <cellStyle name="Comma 2 5 5 8 11 2" xfId="22437"/>
    <cellStyle name="Comma 2 5 5 8 12" xfId="22438"/>
    <cellStyle name="Comma 2 5 5 8 2" xfId="22439"/>
    <cellStyle name="Comma 2 5 5 8 2 2" xfId="22440"/>
    <cellStyle name="Comma 2 5 5 8 3" xfId="22441"/>
    <cellStyle name="Comma 2 5 5 8 3 2" xfId="22442"/>
    <cellStyle name="Comma 2 5 5 8 4" xfId="22443"/>
    <cellStyle name="Comma 2 5 5 8 4 2" xfId="22444"/>
    <cellStyle name="Comma 2 5 5 8 5" xfId="22445"/>
    <cellStyle name="Comma 2 5 5 8 5 2" xfId="22446"/>
    <cellStyle name="Comma 2 5 5 8 6" xfId="22447"/>
    <cellStyle name="Comma 2 5 5 8 6 2" xfId="22448"/>
    <cellStyle name="Comma 2 5 5 8 7" xfId="22449"/>
    <cellStyle name="Comma 2 5 5 8 7 2" xfId="22450"/>
    <cellStyle name="Comma 2 5 5 8 8" xfId="22451"/>
    <cellStyle name="Comma 2 5 5 8 8 2" xfId="22452"/>
    <cellStyle name="Comma 2 5 5 8 9" xfId="22453"/>
    <cellStyle name="Comma 2 5 5 8 9 2" xfId="22454"/>
    <cellStyle name="Comma 2 5 5 9" xfId="22455"/>
    <cellStyle name="Comma 2 5 5 9 10" xfId="22456"/>
    <cellStyle name="Comma 2 5 5 9 10 2" xfId="22457"/>
    <cellStyle name="Comma 2 5 5 9 11" xfId="22458"/>
    <cellStyle name="Comma 2 5 5 9 11 2" xfId="22459"/>
    <cellStyle name="Comma 2 5 5 9 12" xfId="22460"/>
    <cellStyle name="Comma 2 5 5 9 2" xfId="22461"/>
    <cellStyle name="Comma 2 5 5 9 2 2" xfId="22462"/>
    <cellStyle name="Comma 2 5 5 9 3" xfId="22463"/>
    <cellStyle name="Comma 2 5 5 9 3 2" xfId="22464"/>
    <cellStyle name="Comma 2 5 5 9 4" xfId="22465"/>
    <cellStyle name="Comma 2 5 5 9 4 2" xfId="22466"/>
    <cellStyle name="Comma 2 5 5 9 5" xfId="22467"/>
    <cellStyle name="Comma 2 5 5 9 5 2" xfId="22468"/>
    <cellStyle name="Comma 2 5 5 9 6" xfId="22469"/>
    <cellStyle name="Comma 2 5 5 9 6 2" xfId="22470"/>
    <cellStyle name="Comma 2 5 5 9 7" xfId="22471"/>
    <cellStyle name="Comma 2 5 5 9 7 2" xfId="22472"/>
    <cellStyle name="Comma 2 5 5 9 8" xfId="22473"/>
    <cellStyle name="Comma 2 5 5 9 8 2" xfId="22474"/>
    <cellStyle name="Comma 2 5 5 9 9" xfId="22475"/>
    <cellStyle name="Comma 2 5 5 9 9 2" xfId="22476"/>
    <cellStyle name="Comma 2 5 50" xfId="22477"/>
    <cellStyle name="Comma 2 5 50 2" xfId="22478"/>
    <cellStyle name="Comma 2 5 51" xfId="22479"/>
    <cellStyle name="Comma 2 5 51 2" xfId="22480"/>
    <cellStyle name="Comma 2 5 52" xfId="22481"/>
    <cellStyle name="Comma 2 5 52 2" xfId="22482"/>
    <cellStyle name="Comma 2 5 53" xfId="22483"/>
    <cellStyle name="Comma 2 5 53 2" xfId="22484"/>
    <cellStyle name="Comma 2 5 54" xfId="22485"/>
    <cellStyle name="Comma 2 5 54 2" xfId="22486"/>
    <cellStyle name="Comma 2 5 55" xfId="22487"/>
    <cellStyle name="Comma 2 5 55 2" xfId="22488"/>
    <cellStyle name="Comma 2 5 56" xfId="22489"/>
    <cellStyle name="Comma 2 5 56 2" xfId="22490"/>
    <cellStyle name="Comma 2 5 57" xfId="22491"/>
    <cellStyle name="Comma 2 5 6" xfId="22492"/>
    <cellStyle name="Comma 2 5 6 10" xfId="22493"/>
    <cellStyle name="Comma 2 5 6 10 10" xfId="22494"/>
    <cellStyle name="Comma 2 5 6 10 10 2" xfId="22495"/>
    <cellStyle name="Comma 2 5 6 10 11" xfId="22496"/>
    <cellStyle name="Comma 2 5 6 10 11 2" xfId="22497"/>
    <cellStyle name="Comma 2 5 6 10 12" xfId="22498"/>
    <cellStyle name="Comma 2 5 6 10 2" xfId="22499"/>
    <cellStyle name="Comma 2 5 6 10 2 2" xfId="22500"/>
    <cellStyle name="Comma 2 5 6 10 3" xfId="22501"/>
    <cellStyle name="Comma 2 5 6 10 3 2" xfId="22502"/>
    <cellStyle name="Comma 2 5 6 10 4" xfId="22503"/>
    <cellStyle name="Comma 2 5 6 10 4 2" xfId="22504"/>
    <cellStyle name="Comma 2 5 6 10 5" xfId="22505"/>
    <cellStyle name="Comma 2 5 6 10 5 2" xfId="22506"/>
    <cellStyle name="Comma 2 5 6 10 6" xfId="22507"/>
    <cellStyle name="Comma 2 5 6 10 6 2" xfId="22508"/>
    <cellStyle name="Comma 2 5 6 10 7" xfId="22509"/>
    <cellStyle name="Comma 2 5 6 10 7 2" xfId="22510"/>
    <cellStyle name="Comma 2 5 6 10 8" xfId="22511"/>
    <cellStyle name="Comma 2 5 6 10 8 2" xfId="22512"/>
    <cellStyle name="Comma 2 5 6 10 9" xfId="22513"/>
    <cellStyle name="Comma 2 5 6 10 9 2" xfId="22514"/>
    <cellStyle name="Comma 2 5 6 11" xfId="22515"/>
    <cellStyle name="Comma 2 5 6 11 10" xfId="22516"/>
    <cellStyle name="Comma 2 5 6 11 10 2" xfId="22517"/>
    <cellStyle name="Comma 2 5 6 11 11" xfId="22518"/>
    <cellStyle name="Comma 2 5 6 11 11 2" xfId="22519"/>
    <cellStyle name="Comma 2 5 6 11 12" xfId="22520"/>
    <cellStyle name="Comma 2 5 6 11 2" xfId="22521"/>
    <cellStyle name="Comma 2 5 6 11 2 2" xfId="22522"/>
    <cellStyle name="Comma 2 5 6 11 3" xfId="22523"/>
    <cellStyle name="Comma 2 5 6 11 3 2" xfId="22524"/>
    <cellStyle name="Comma 2 5 6 11 4" xfId="22525"/>
    <cellStyle name="Comma 2 5 6 11 4 2" xfId="22526"/>
    <cellStyle name="Comma 2 5 6 11 5" xfId="22527"/>
    <cellStyle name="Comma 2 5 6 11 5 2" xfId="22528"/>
    <cellStyle name="Comma 2 5 6 11 6" xfId="22529"/>
    <cellStyle name="Comma 2 5 6 11 6 2" xfId="22530"/>
    <cellStyle name="Comma 2 5 6 11 7" xfId="22531"/>
    <cellStyle name="Comma 2 5 6 11 7 2" xfId="22532"/>
    <cellStyle name="Comma 2 5 6 11 8" xfId="22533"/>
    <cellStyle name="Comma 2 5 6 11 8 2" xfId="22534"/>
    <cellStyle name="Comma 2 5 6 11 9" xfId="22535"/>
    <cellStyle name="Comma 2 5 6 11 9 2" xfId="22536"/>
    <cellStyle name="Comma 2 5 6 12" xfId="22537"/>
    <cellStyle name="Comma 2 5 6 12 10" xfId="22538"/>
    <cellStyle name="Comma 2 5 6 12 10 2" xfId="22539"/>
    <cellStyle name="Comma 2 5 6 12 11" xfId="22540"/>
    <cellStyle name="Comma 2 5 6 12 11 2" xfId="22541"/>
    <cellStyle name="Comma 2 5 6 12 12" xfId="22542"/>
    <cellStyle name="Comma 2 5 6 12 2" xfId="22543"/>
    <cellStyle name="Comma 2 5 6 12 2 2" xfId="22544"/>
    <cellStyle name="Comma 2 5 6 12 3" xfId="22545"/>
    <cellStyle name="Comma 2 5 6 12 3 2" xfId="22546"/>
    <cellStyle name="Comma 2 5 6 12 4" xfId="22547"/>
    <cellStyle name="Comma 2 5 6 12 4 2" xfId="22548"/>
    <cellStyle name="Comma 2 5 6 12 5" xfId="22549"/>
    <cellStyle name="Comma 2 5 6 12 5 2" xfId="22550"/>
    <cellStyle name="Comma 2 5 6 12 6" xfId="22551"/>
    <cellStyle name="Comma 2 5 6 12 6 2" xfId="22552"/>
    <cellStyle name="Comma 2 5 6 12 7" xfId="22553"/>
    <cellStyle name="Comma 2 5 6 12 7 2" xfId="22554"/>
    <cellStyle name="Comma 2 5 6 12 8" xfId="22555"/>
    <cellStyle name="Comma 2 5 6 12 8 2" xfId="22556"/>
    <cellStyle name="Comma 2 5 6 12 9" xfId="22557"/>
    <cellStyle name="Comma 2 5 6 12 9 2" xfId="22558"/>
    <cellStyle name="Comma 2 5 6 13" xfId="22559"/>
    <cellStyle name="Comma 2 5 6 13 10" xfId="22560"/>
    <cellStyle name="Comma 2 5 6 13 10 2" xfId="22561"/>
    <cellStyle name="Comma 2 5 6 13 11" xfId="22562"/>
    <cellStyle name="Comma 2 5 6 13 11 2" xfId="22563"/>
    <cellStyle name="Comma 2 5 6 13 12" xfId="22564"/>
    <cellStyle name="Comma 2 5 6 13 2" xfId="22565"/>
    <cellStyle name="Comma 2 5 6 13 2 2" xfId="22566"/>
    <cellStyle name="Comma 2 5 6 13 3" xfId="22567"/>
    <cellStyle name="Comma 2 5 6 13 3 2" xfId="22568"/>
    <cellStyle name="Comma 2 5 6 13 4" xfId="22569"/>
    <cellStyle name="Comma 2 5 6 13 4 2" xfId="22570"/>
    <cellStyle name="Comma 2 5 6 13 5" xfId="22571"/>
    <cellStyle name="Comma 2 5 6 13 5 2" xfId="22572"/>
    <cellStyle name="Comma 2 5 6 13 6" xfId="22573"/>
    <cellStyle name="Comma 2 5 6 13 6 2" xfId="22574"/>
    <cellStyle name="Comma 2 5 6 13 7" xfId="22575"/>
    <cellStyle name="Comma 2 5 6 13 7 2" xfId="22576"/>
    <cellStyle name="Comma 2 5 6 13 8" xfId="22577"/>
    <cellStyle name="Comma 2 5 6 13 8 2" xfId="22578"/>
    <cellStyle name="Comma 2 5 6 13 9" xfId="22579"/>
    <cellStyle name="Comma 2 5 6 13 9 2" xfId="22580"/>
    <cellStyle name="Comma 2 5 6 14" xfId="22581"/>
    <cellStyle name="Comma 2 5 6 14 10" xfId="22582"/>
    <cellStyle name="Comma 2 5 6 14 10 2" xfId="22583"/>
    <cellStyle name="Comma 2 5 6 14 11" xfId="22584"/>
    <cellStyle name="Comma 2 5 6 14 11 2" xfId="22585"/>
    <cellStyle name="Comma 2 5 6 14 12" xfId="22586"/>
    <cellStyle name="Comma 2 5 6 14 2" xfId="22587"/>
    <cellStyle name="Comma 2 5 6 14 2 2" xfId="22588"/>
    <cellStyle name="Comma 2 5 6 14 3" xfId="22589"/>
    <cellStyle name="Comma 2 5 6 14 3 2" xfId="22590"/>
    <cellStyle name="Comma 2 5 6 14 4" xfId="22591"/>
    <cellStyle name="Comma 2 5 6 14 4 2" xfId="22592"/>
    <cellStyle name="Comma 2 5 6 14 5" xfId="22593"/>
    <cellStyle name="Comma 2 5 6 14 5 2" xfId="22594"/>
    <cellStyle name="Comma 2 5 6 14 6" xfId="22595"/>
    <cellStyle name="Comma 2 5 6 14 6 2" xfId="22596"/>
    <cellStyle name="Comma 2 5 6 14 7" xfId="22597"/>
    <cellStyle name="Comma 2 5 6 14 7 2" xfId="22598"/>
    <cellStyle name="Comma 2 5 6 14 8" xfId="22599"/>
    <cellStyle name="Comma 2 5 6 14 8 2" xfId="22600"/>
    <cellStyle name="Comma 2 5 6 14 9" xfId="22601"/>
    <cellStyle name="Comma 2 5 6 14 9 2" xfId="22602"/>
    <cellStyle name="Comma 2 5 6 15" xfId="22603"/>
    <cellStyle name="Comma 2 5 6 15 10" xfId="22604"/>
    <cellStyle name="Comma 2 5 6 15 10 2" xfId="22605"/>
    <cellStyle name="Comma 2 5 6 15 11" xfId="22606"/>
    <cellStyle name="Comma 2 5 6 15 11 2" xfId="22607"/>
    <cellStyle name="Comma 2 5 6 15 12" xfId="22608"/>
    <cellStyle name="Comma 2 5 6 15 2" xfId="22609"/>
    <cellStyle name="Comma 2 5 6 15 2 2" xfId="22610"/>
    <cellStyle name="Comma 2 5 6 15 3" xfId="22611"/>
    <cellStyle name="Comma 2 5 6 15 3 2" xfId="22612"/>
    <cellStyle name="Comma 2 5 6 15 4" xfId="22613"/>
    <cellStyle name="Comma 2 5 6 15 4 2" xfId="22614"/>
    <cellStyle name="Comma 2 5 6 15 5" xfId="22615"/>
    <cellStyle name="Comma 2 5 6 15 5 2" xfId="22616"/>
    <cellStyle name="Comma 2 5 6 15 6" xfId="22617"/>
    <cellStyle name="Comma 2 5 6 15 6 2" xfId="22618"/>
    <cellStyle name="Comma 2 5 6 15 7" xfId="22619"/>
    <cellStyle name="Comma 2 5 6 15 7 2" xfId="22620"/>
    <cellStyle name="Comma 2 5 6 15 8" xfId="22621"/>
    <cellStyle name="Comma 2 5 6 15 8 2" xfId="22622"/>
    <cellStyle name="Comma 2 5 6 15 9" xfId="22623"/>
    <cellStyle name="Comma 2 5 6 15 9 2" xfId="22624"/>
    <cellStyle name="Comma 2 5 6 16" xfId="22625"/>
    <cellStyle name="Comma 2 5 6 16 2" xfId="22626"/>
    <cellStyle name="Comma 2 5 6 17" xfId="22627"/>
    <cellStyle name="Comma 2 5 6 17 2" xfId="22628"/>
    <cellStyle name="Comma 2 5 6 18" xfId="22629"/>
    <cellStyle name="Comma 2 5 6 18 2" xfId="22630"/>
    <cellStyle name="Comma 2 5 6 19" xfId="22631"/>
    <cellStyle name="Comma 2 5 6 19 2" xfId="22632"/>
    <cellStyle name="Comma 2 5 6 2" xfId="22633"/>
    <cellStyle name="Comma 2 5 6 2 10" xfId="22634"/>
    <cellStyle name="Comma 2 5 6 2 10 2" xfId="22635"/>
    <cellStyle name="Comma 2 5 6 2 11" xfId="22636"/>
    <cellStyle name="Comma 2 5 6 2 11 2" xfId="22637"/>
    <cellStyle name="Comma 2 5 6 2 12" xfId="22638"/>
    <cellStyle name="Comma 2 5 6 2 2" xfId="22639"/>
    <cellStyle name="Comma 2 5 6 2 2 2" xfId="22640"/>
    <cellStyle name="Comma 2 5 6 2 3" xfId="22641"/>
    <cellStyle name="Comma 2 5 6 2 3 2" xfId="22642"/>
    <cellStyle name="Comma 2 5 6 2 4" xfId="22643"/>
    <cellStyle name="Comma 2 5 6 2 4 2" xfId="22644"/>
    <cellStyle name="Comma 2 5 6 2 5" xfId="22645"/>
    <cellStyle name="Comma 2 5 6 2 5 2" xfId="22646"/>
    <cellStyle name="Comma 2 5 6 2 6" xfId="22647"/>
    <cellStyle name="Comma 2 5 6 2 6 2" xfId="22648"/>
    <cellStyle name="Comma 2 5 6 2 7" xfId="22649"/>
    <cellStyle name="Comma 2 5 6 2 7 2" xfId="22650"/>
    <cellStyle name="Comma 2 5 6 2 8" xfId="22651"/>
    <cellStyle name="Comma 2 5 6 2 8 2" xfId="22652"/>
    <cellStyle name="Comma 2 5 6 2 9" xfId="22653"/>
    <cellStyle name="Comma 2 5 6 2 9 2" xfId="22654"/>
    <cellStyle name="Comma 2 5 6 20" xfId="22655"/>
    <cellStyle name="Comma 2 5 6 20 2" xfId="22656"/>
    <cellStyle name="Comma 2 5 6 21" xfId="22657"/>
    <cellStyle name="Comma 2 5 6 21 2" xfId="22658"/>
    <cellStyle name="Comma 2 5 6 22" xfId="22659"/>
    <cellStyle name="Comma 2 5 6 22 2" xfId="22660"/>
    <cellStyle name="Comma 2 5 6 23" xfId="22661"/>
    <cellStyle name="Comma 2 5 6 23 2" xfId="22662"/>
    <cellStyle name="Comma 2 5 6 24" xfId="22663"/>
    <cellStyle name="Comma 2 5 6 24 2" xfId="22664"/>
    <cellStyle name="Comma 2 5 6 25" xfId="22665"/>
    <cellStyle name="Comma 2 5 6 25 2" xfId="22666"/>
    <cellStyle name="Comma 2 5 6 26" xfId="22667"/>
    <cellStyle name="Comma 2 5 6 3" xfId="22668"/>
    <cellStyle name="Comma 2 5 6 3 10" xfId="22669"/>
    <cellStyle name="Comma 2 5 6 3 10 2" xfId="22670"/>
    <cellStyle name="Comma 2 5 6 3 11" xfId="22671"/>
    <cellStyle name="Comma 2 5 6 3 11 2" xfId="22672"/>
    <cellStyle name="Comma 2 5 6 3 12" xfId="22673"/>
    <cellStyle name="Comma 2 5 6 3 2" xfId="22674"/>
    <cellStyle name="Comma 2 5 6 3 2 2" xfId="22675"/>
    <cellStyle name="Comma 2 5 6 3 3" xfId="22676"/>
    <cellStyle name="Comma 2 5 6 3 3 2" xfId="22677"/>
    <cellStyle name="Comma 2 5 6 3 4" xfId="22678"/>
    <cellStyle name="Comma 2 5 6 3 4 2" xfId="22679"/>
    <cellStyle name="Comma 2 5 6 3 5" xfId="22680"/>
    <cellStyle name="Comma 2 5 6 3 5 2" xfId="22681"/>
    <cellStyle name="Comma 2 5 6 3 6" xfId="22682"/>
    <cellStyle name="Comma 2 5 6 3 6 2" xfId="22683"/>
    <cellStyle name="Comma 2 5 6 3 7" xfId="22684"/>
    <cellStyle name="Comma 2 5 6 3 7 2" xfId="22685"/>
    <cellStyle name="Comma 2 5 6 3 8" xfId="22686"/>
    <cellStyle name="Comma 2 5 6 3 8 2" xfId="22687"/>
    <cellStyle name="Comma 2 5 6 3 9" xfId="22688"/>
    <cellStyle name="Comma 2 5 6 3 9 2" xfId="22689"/>
    <cellStyle name="Comma 2 5 6 4" xfId="22690"/>
    <cellStyle name="Comma 2 5 6 4 10" xfId="22691"/>
    <cellStyle name="Comma 2 5 6 4 10 2" xfId="22692"/>
    <cellStyle name="Comma 2 5 6 4 11" xfId="22693"/>
    <cellStyle name="Comma 2 5 6 4 11 2" xfId="22694"/>
    <cellStyle name="Comma 2 5 6 4 12" xfId="22695"/>
    <cellStyle name="Comma 2 5 6 4 2" xfId="22696"/>
    <cellStyle name="Comma 2 5 6 4 2 2" xfId="22697"/>
    <cellStyle name="Comma 2 5 6 4 3" xfId="22698"/>
    <cellStyle name="Comma 2 5 6 4 3 2" xfId="22699"/>
    <cellStyle name="Comma 2 5 6 4 4" xfId="22700"/>
    <cellStyle name="Comma 2 5 6 4 4 2" xfId="22701"/>
    <cellStyle name="Comma 2 5 6 4 5" xfId="22702"/>
    <cellStyle name="Comma 2 5 6 4 5 2" xfId="22703"/>
    <cellStyle name="Comma 2 5 6 4 6" xfId="22704"/>
    <cellStyle name="Comma 2 5 6 4 6 2" xfId="22705"/>
    <cellStyle name="Comma 2 5 6 4 7" xfId="22706"/>
    <cellStyle name="Comma 2 5 6 4 7 2" xfId="22707"/>
    <cellStyle name="Comma 2 5 6 4 8" xfId="22708"/>
    <cellStyle name="Comma 2 5 6 4 8 2" xfId="22709"/>
    <cellStyle name="Comma 2 5 6 4 9" xfId="22710"/>
    <cellStyle name="Comma 2 5 6 4 9 2" xfId="22711"/>
    <cellStyle name="Comma 2 5 6 5" xfId="22712"/>
    <cellStyle name="Comma 2 5 6 5 10" xfId="22713"/>
    <cellStyle name="Comma 2 5 6 5 10 2" xfId="22714"/>
    <cellStyle name="Comma 2 5 6 5 11" xfId="22715"/>
    <cellStyle name="Comma 2 5 6 5 11 2" xfId="22716"/>
    <cellStyle name="Comma 2 5 6 5 12" xfId="22717"/>
    <cellStyle name="Comma 2 5 6 5 2" xfId="22718"/>
    <cellStyle name="Comma 2 5 6 5 2 2" xfId="22719"/>
    <cellStyle name="Comma 2 5 6 5 3" xfId="22720"/>
    <cellStyle name="Comma 2 5 6 5 3 2" xfId="22721"/>
    <cellStyle name="Comma 2 5 6 5 4" xfId="22722"/>
    <cellStyle name="Comma 2 5 6 5 4 2" xfId="22723"/>
    <cellStyle name="Comma 2 5 6 5 5" xfId="22724"/>
    <cellStyle name="Comma 2 5 6 5 5 2" xfId="22725"/>
    <cellStyle name="Comma 2 5 6 5 6" xfId="22726"/>
    <cellStyle name="Comma 2 5 6 5 6 2" xfId="22727"/>
    <cellStyle name="Comma 2 5 6 5 7" xfId="22728"/>
    <cellStyle name="Comma 2 5 6 5 7 2" xfId="22729"/>
    <cellStyle name="Comma 2 5 6 5 8" xfId="22730"/>
    <cellStyle name="Comma 2 5 6 5 8 2" xfId="22731"/>
    <cellStyle name="Comma 2 5 6 5 9" xfId="22732"/>
    <cellStyle name="Comma 2 5 6 5 9 2" xfId="22733"/>
    <cellStyle name="Comma 2 5 6 6" xfId="22734"/>
    <cellStyle name="Comma 2 5 6 6 10" xfId="22735"/>
    <cellStyle name="Comma 2 5 6 6 10 2" xfId="22736"/>
    <cellStyle name="Comma 2 5 6 6 11" xfId="22737"/>
    <cellStyle name="Comma 2 5 6 6 11 2" xfId="22738"/>
    <cellStyle name="Comma 2 5 6 6 12" xfId="22739"/>
    <cellStyle name="Comma 2 5 6 6 2" xfId="22740"/>
    <cellStyle name="Comma 2 5 6 6 2 2" xfId="22741"/>
    <cellStyle name="Comma 2 5 6 6 3" xfId="22742"/>
    <cellStyle name="Comma 2 5 6 6 3 2" xfId="22743"/>
    <cellStyle name="Comma 2 5 6 6 4" xfId="22744"/>
    <cellStyle name="Comma 2 5 6 6 4 2" xfId="22745"/>
    <cellStyle name="Comma 2 5 6 6 5" xfId="22746"/>
    <cellStyle name="Comma 2 5 6 6 5 2" xfId="22747"/>
    <cellStyle name="Comma 2 5 6 6 6" xfId="22748"/>
    <cellStyle name="Comma 2 5 6 6 6 2" xfId="22749"/>
    <cellStyle name="Comma 2 5 6 6 7" xfId="22750"/>
    <cellStyle name="Comma 2 5 6 6 7 2" xfId="22751"/>
    <cellStyle name="Comma 2 5 6 6 8" xfId="22752"/>
    <cellStyle name="Comma 2 5 6 6 8 2" xfId="22753"/>
    <cellStyle name="Comma 2 5 6 6 9" xfId="22754"/>
    <cellStyle name="Comma 2 5 6 6 9 2" xfId="22755"/>
    <cellStyle name="Comma 2 5 6 7" xfId="22756"/>
    <cellStyle name="Comma 2 5 6 7 10" xfId="22757"/>
    <cellStyle name="Comma 2 5 6 7 10 2" xfId="22758"/>
    <cellStyle name="Comma 2 5 6 7 11" xfId="22759"/>
    <cellStyle name="Comma 2 5 6 7 11 2" xfId="22760"/>
    <cellStyle name="Comma 2 5 6 7 12" xfId="22761"/>
    <cellStyle name="Comma 2 5 6 7 2" xfId="22762"/>
    <cellStyle name="Comma 2 5 6 7 2 2" xfId="22763"/>
    <cellStyle name="Comma 2 5 6 7 3" xfId="22764"/>
    <cellStyle name="Comma 2 5 6 7 3 2" xfId="22765"/>
    <cellStyle name="Comma 2 5 6 7 4" xfId="22766"/>
    <cellStyle name="Comma 2 5 6 7 4 2" xfId="22767"/>
    <cellStyle name="Comma 2 5 6 7 5" xfId="22768"/>
    <cellStyle name="Comma 2 5 6 7 5 2" xfId="22769"/>
    <cellStyle name="Comma 2 5 6 7 6" xfId="22770"/>
    <cellStyle name="Comma 2 5 6 7 6 2" xfId="22771"/>
    <cellStyle name="Comma 2 5 6 7 7" xfId="22772"/>
    <cellStyle name="Comma 2 5 6 7 7 2" xfId="22773"/>
    <cellStyle name="Comma 2 5 6 7 8" xfId="22774"/>
    <cellStyle name="Comma 2 5 6 7 8 2" xfId="22775"/>
    <cellStyle name="Comma 2 5 6 7 9" xfId="22776"/>
    <cellStyle name="Comma 2 5 6 7 9 2" xfId="22777"/>
    <cellStyle name="Comma 2 5 6 8" xfId="22778"/>
    <cellStyle name="Comma 2 5 6 8 10" xfId="22779"/>
    <cellStyle name="Comma 2 5 6 8 10 2" xfId="22780"/>
    <cellStyle name="Comma 2 5 6 8 11" xfId="22781"/>
    <cellStyle name="Comma 2 5 6 8 11 2" xfId="22782"/>
    <cellStyle name="Comma 2 5 6 8 12" xfId="22783"/>
    <cellStyle name="Comma 2 5 6 8 2" xfId="22784"/>
    <cellStyle name="Comma 2 5 6 8 2 2" xfId="22785"/>
    <cellStyle name="Comma 2 5 6 8 3" xfId="22786"/>
    <cellStyle name="Comma 2 5 6 8 3 2" xfId="22787"/>
    <cellStyle name="Comma 2 5 6 8 4" xfId="22788"/>
    <cellStyle name="Comma 2 5 6 8 4 2" xfId="22789"/>
    <cellStyle name="Comma 2 5 6 8 5" xfId="22790"/>
    <cellStyle name="Comma 2 5 6 8 5 2" xfId="22791"/>
    <cellStyle name="Comma 2 5 6 8 6" xfId="22792"/>
    <cellStyle name="Comma 2 5 6 8 6 2" xfId="22793"/>
    <cellStyle name="Comma 2 5 6 8 7" xfId="22794"/>
    <cellStyle name="Comma 2 5 6 8 7 2" xfId="22795"/>
    <cellStyle name="Comma 2 5 6 8 8" xfId="22796"/>
    <cellStyle name="Comma 2 5 6 8 8 2" xfId="22797"/>
    <cellStyle name="Comma 2 5 6 8 9" xfId="22798"/>
    <cellStyle name="Comma 2 5 6 8 9 2" xfId="22799"/>
    <cellStyle name="Comma 2 5 6 9" xfId="22800"/>
    <cellStyle name="Comma 2 5 6 9 10" xfId="22801"/>
    <cellStyle name="Comma 2 5 6 9 10 2" xfId="22802"/>
    <cellStyle name="Comma 2 5 6 9 11" xfId="22803"/>
    <cellStyle name="Comma 2 5 6 9 11 2" xfId="22804"/>
    <cellStyle name="Comma 2 5 6 9 12" xfId="22805"/>
    <cellStyle name="Comma 2 5 6 9 2" xfId="22806"/>
    <cellStyle name="Comma 2 5 6 9 2 2" xfId="22807"/>
    <cellStyle name="Comma 2 5 6 9 3" xfId="22808"/>
    <cellStyle name="Comma 2 5 6 9 3 2" xfId="22809"/>
    <cellStyle name="Comma 2 5 6 9 4" xfId="22810"/>
    <cellStyle name="Comma 2 5 6 9 4 2" xfId="22811"/>
    <cellStyle name="Comma 2 5 6 9 5" xfId="22812"/>
    <cellStyle name="Comma 2 5 6 9 5 2" xfId="22813"/>
    <cellStyle name="Comma 2 5 6 9 6" xfId="22814"/>
    <cellStyle name="Comma 2 5 6 9 6 2" xfId="22815"/>
    <cellStyle name="Comma 2 5 6 9 7" xfId="22816"/>
    <cellStyle name="Comma 2 5 6 9 7 2" xfId="22817"/>
    <cellStyle name="Comma 2 5 6 9 8" xfId="22818"/>
    <cellStyle name="Comma 2 5 6 9 8 2" xfId="22819"/>
    <cellStyle name="Comma 2 5 6 9 9" xfId="22820"/>
    <cellStyle name="Comma 2 5 6 9 9 2" xfId="22821"/>
    <cellStyle name="Comma 2 5 7" xfId="22822"/>
    <cellStyle name="Comma 2 5 7 10" xfId="22823"/>
    <cellStyle name="Comma 2 5 7 10 2" xfId="22824"/>
    <cellStyle name="Comma 2 5 7 11" xfId="22825"/>
    <cellStyle name="Comma 2 5 7 11 2" xfId="22826"/>
    <cellStyle name="Comma 2 5 7 12" xfId="22827"/>
    <cellStyle name="Comma 2 5 7 2" xfId="22828"/>
    <cellStyle name="Comma 2 5 7 2 2" xfId="22829"/>
    <cellStyle name="Comma 2 5 7 3" xfId="22830"/>
    <cellStyle name="Comma 2 5 7 3 2" xfId="22831"/>
    <cellStyle name="Comma 2 5 7 4" xfId="22832"/>
    <cellStyle name="Comma 2 5 7 4 2" xfId="22833"/>
    <cellStyle name="Comma 2 5 7 5" xfId="22834"/>
    <cellStyle name="Comma 2 5 7 5 2" xfId="22835"/>
    <cellStyle name="Comma 2 5 7 6" xfId="22836"/>
    <cellStyle name="Comma 2 5 7 6 2" xfId="22837"/>
    <cellStyle name="Comma 2 5 7 7" xfId="22838"/>
    <cellStyle name="Comma 2 5 7 7 2" xfId="22839"/>
    <cellStyle name="Comma 2 5 7 8" xfId="22840"/>
    <cellStyle name="Comma 2 5 7 8 2" xfId="22841"/>
    <cellStyle name="Comma 2 5 7 9" xfId="22842"/>
    <cellStyle name="Comma 2 5 7 9 2" xfId="22843"/>
    <cellStyle name="Comma 2 5 8" xfId="22844"/>
    <cellStyle name="Comma 2 5 8 10" xfId="22845"/>
    <cellStyle name="Comma 2 5 8 10 2" xfId="22846"/>
    <cellStyle name="Comma 2 5 8 11" xfId="22847"/>
    <cellStyle name="Comma 2 5 8 11 2" xfId="22848"/>
    <cellStyle name="Comma 2 5 8 12" xfId="22849"/>
    <cellStyle name="Comma 2 5 8 2" xfId="22850"/>
    <cellStyle name="Comma 2 5 8 2 2" xfId="22851"/>
    <cellStyle name="Comma 2 5 8 3" xfId="22852"/>
    <cellStyle name="Comma 2 5 8 3 2" xfId="22853"/>
    <cellStyle name="Comma 2 5 8 4" xfId="22854"/>
    <cellStyle name="Comma 2 5 8 4 2" xfId="22855"/>
    <cellStyle name="Comma 2 5 8 5" xfId="22856"/>
    <cellStyle name="Comma 2 5 8 5 2" xfId="22857"/>
    <cellStyle name="Comma 2 5 8 6" xfId="22858"/>
    <cellStyle name="Comma 2 5 8 6 2" xfId="22859"/>
    <cellStyle name="Comma 2 5 8 7" xfId="22860"/>
    <cellStyle name="Comma 2 5 8 7 2" xfId="22861"/>
    <cellStyle name="Comma 2 5 8 8" xfId="22862"/>
    <cellStyle name="Comma 2 5 8 8 2" xfId="22863"/>
    <cellStyle name="Comma 2 5 8 9" xfId="22864"/>
    <cellStyle name="Comma 2 5 8 9 2" xfId="22865"/>
    <cellStyle name="Comma 2 5 9" xfId="22866"/>
    <cellStyle name="Comma 2 5 9 10" xfId="22867"/>
    <cellStyle name="Comma 2 5 9 10 2" xfId="22868"/>
    <cellStyle name="Comma 2 5 9 11" xfId="22869"/>
    <cellStyle name="Comma 2 5 9 11 2" xfId="22870"/>
    <cellStyle name="Comma 2 5 9 12" xfId="22871"/>
    <cellStyle name="Comma 2 5 9 2" xfId="22872"/>
    <cellStyle name="Comma 2 5 9 2 2" xfId="22873"/>
    <cellStyle name="Comma 2 5 9 3" xfId="22874"/>
    <cellStyle name="Comma 2 5 9 3 2" xfId="22875"/>
    <cellStyle name="Comma 2 5 9 4" xfId="22876"/>
    <cellStyle name="Comma 2 5 9 4 2" xfId="22877"/>
    <cellStyle name="Comma 2 5 9 5" xfId="22878"/>
    <cellStyle name="Comma 2 5 9 5 2" xfId="22879"/>
    <cellStyle name="Comma 2 5 9 6" xfId="22880"/>
    <cellStyle name="Comma 2 5 9 6 2" xfId="22881"/>
    <cellStyle name="Comma 2 5 9 7" xfId="22882"/>
    <cellStyle name="Comma 2 5 9 7 2" xfId="22883"/>
    <cellStyle name="Comma 2 5 9 8" xfId="22884"/>
    <cellStyle name="Comma 2 5 9 8 2" xfId="22885"/>
    <cellStyle name="Comma 2 5 9 9" xfId="22886"/>
    <cellStyle name="Comma 2 5 9 9 2" xfId="22887"/>
    <cellStyle name="Comma 2 6" xfId="22888"/>
    <cellStyle name="Comma 2 6 10" xfId="22889"/>
    <cellStyle name="Comma 2 6 10 10" xfId="22890"/>
    <cellStyle name="Comma 2 6 10 10 2" xfId="22891"/>
    <cellStyle name="Comma 2 6 10 11" xfId="22892"/>
    <cellStyle name="Comma 2 6 10 11 2" xfId="22893"/>
    <cellStyle name="Comma 2 6 10 12" xfId="22894"/>
    <cellStyle name="Comma 2 6 10 2" xfId="22895"/>
    <cellStyle name="Comma 2 6 10 2 2" xfId="22896"/>
    <cellStyle name="Comma 2 6 10 3" xfId="22897"/>
    <cellStyle name="Comma 2 6 10 3 2" xfId="22898"/>
    <cellStyle name="Comma 2 6 10 4" xfId="22899"/>
    <cellStyle name="Comma 2 6 10 4 2" xfId="22900"/>
    <cellStyle name="Comma 2 6 10 5" xfId="22901"/>
    <cellStyle name="Comma 2 6 10 5 2" xfId="22902"/>
    <cellStyle name="Comma 2 6 10 6" xfId="22903"/>
    <cellStyle name="Comma 2 6 10 6 2" xfId="22904"/>
    <cellStyle name="Comma 2 6 10 7" xfId="22905"/>
    <cellStyle name="Comma 2 6 10 7 2" xfId="22906"/>
    <cellStyle name="Comma 2 6 10 8" xfId="22907"/>
    <cellStyle name="Comma 2 6 10 8 2" xfId="22908"/>
    <cellStyle name="Comma 2 6 10 9" xfId="22909"/>
    <cellStyle name="Comma 2 6 10 9 2" xfId="22910"/>
    <cellStyle name="Comma 2 6 11" xfId="22911"/>
    <cellStyle name="Comma 2 6 11 10" xfId="22912"/>
    <cellStyle name="Comma 2 6 11 10 2" xfId="22913"/>
    <cellStyle name="Comma 2 6 11 11" xfId="22914"/>
    <cellStyle name="Comma 2 6 11 11 2" xfId="22915"/>
    <cellStyle name="Comma 2 6 11 12" xfId="22916"/>
    <cellStyle name="Comma 2 6 11 2" xfId="22917"/>
    <cellStyle name="Comma 2 6 11 2 2" xfId="22918"/>
    <cellStyle name="Comma 2 6 11 3" xfId="22919"/>
    <cellStyle name="Comma 2 6 11 3 2" xfId="22920"/>
    <cellStyle name="Comma 2 6 11 4" xfId="22921"/>
    <cellStyle name="Comma 2 6 11 4 2" xfId="22922"/>
    <cellStyle name="Comma 2 6 11 5" xfId="22923"/>
    <cellStyle name="Comma 2 6 11 5 2" xfId="22924"/>
    <cellStyle name="Comma 2 6 11 6" xfId="22925"/>
    <cellStyle name="Comma 2 6 11 6 2" xfId="22926"/>
    <cellStyle name="Comma 2 6 11 7" xfId="22927"/>
    <cellStyle name="Comma 2 6 11 7 2" xfId="22928"/>
    <cellStyle name="Comma 2 6 11 8" xfId="22929"/>
    <cellStyle name="Comma 2 6 11 8 2" xfId="22930"/>
    <cellStyle name="Comma 2 6 11 9" xfId="22931"/>
    <cellStyle name="Comma 2 6 11 9 2" xfId="22932"/>
    <cellStyle name="Comma 2 6 12" xfId="22933"/>
    <cellStyle name="Comma 2 6 12 10" xfId="22934"/>
    <cellStyle name="Comma 2 6 12 10 2" xfId="22935"/>
    <cellStyle name="Comma 2 6 12 11" xfId="22936"/>
    <cellStyle name="Comma 2 6 12 11 2" xfId="22937"/>
    <cellStyle name="Comma 2 6 12 12" xfId="22938"/>
    <cellStyle name="Comma 2 6 12 2" xfId="22939"/>
    <cellStyle name="Comma 2 6 12 2 2" xfId="22940"/>
    <cellStyle name="Comma 2 6 12 3" xfId="22941"/>
    <cellStyle name="Comma 2 6 12 3 2" xfId="22942"/>
    <cellStyle name="Comma 2 6 12 4" xfId="22943"/>
    <cellStyle name="Comma 2 6 12 4 2" xfId="22944"/>
    <cellStyle name="Comma 2 6 12 5" xfId="22945"/>
    <cellStyle name="Comma 2 6 12 5 2" xfId="22946"/>
    <cellStyle name="Comma 2 6 12 6" xfId="22947"/>
    <cellStyle name="Comma 2 6 12 6 2" xfId="22948"/>
    <cellStyle name="Comma 2 6 12 7" xfId="22949"/>
    <cellStyle name="Comma 2 6 12 7 2" xfId="22950"/>
    <cellStyle name="Comma 2 6 12 8" xfId="22951"/>
    <cellStyle name="Comma 2 6 12 8 2" xfId="22952"/>
    <cellStyle name="Comma 2 6 12 9" xfId="22953"/>
    <cellStyle name="Comma 2 6 12 9 2" xfId="22954"/>
    <cellStyle name="Comma 2 6 13" xfId="22955"/>
    <cellStyle name="Comma 2 6 13 10" xfId="22956"/>
    <cellStyle name="Comma 2 6 13 10 2" xfId="22957"/>
    <cellStyle name="Comma 2 6 13 11" xfId="22958"/>
    <cellStyle name="Comma 2 6 13 11 2" xfId="22959"/>
    <cellStyle name="Comma 2 6 13 12" xfId="22960"/>
    <cellStyle name="Comma 2 6 13 2" xfId="22961"/>
    <cellStyle name="Comma 2 6 13 2 2" xfId="22962"/>
    <cellStyle name="Comma 2 6 13 3" xfId="22963"/>
    <cellStyle name="Comma 2 6 13 3 2" xfId="22964"/>
    <cellStyle name="Comma 2 6 13 4" xfId="22965"/>
    <cellStyle name="Comma 2 6 13 4 2" xfId="22966"/>
    <cellStyle name="Comma 2 6 13 5" xfId="22967"/>
    <cellStyle name="Comma 2 6 13 5 2" xfId="22968"/>
    <cellStyle name="Comma 2 6 13 6" xfId="22969"/>
    <cellStyle name="Comma 2 6 13 6 2" xfId="22970"/>
    <cellStyle name="Comma 2 6 13 7" xfId="22971"/>
    <cellStyle name="Comma 2 6 13 7 2" xfId="22972"/>
    <cellStyle name="Comma 2 6 13 8" xfId="22973"/>
    <cellStyle name="Comma 2 6 13 8 2" xfId="22974"/>
    <cellStyle name="Comma 2 6 13 9" xfId="22975"/>
    <cellStyle name="Comma 2 6 13 9 2" xfId="22976"/>
    <cellStyle name="Comma 2 6 14" xfId="22977"/>
    <cellStyle name="Comma 2 6 14 10" xfId="22978"/>
    <cellStyle name="Comma 2 6 14 10 2" xfId="22979"/>
    <cellStyle name="Comma 2 6 14 11" xfId="22980"/>
    <cellStyle name="Comma 2 6 14 11 2" xfId="22981"/>
    <cellStyle name="Comma 2 6 14 12" xfId="22982"/>
    <cellStyle name="Comma 2 6 14 2" xfId="22983"/>
    <cellStyle name="Comma 2 6 14 2 2" xfId="22984"/>
    <cellStyle name="Comma 2 6 14 3" xfId="22985"/>
    <cellStyle name="Comma 2 6 14 3 2" xfId="22986"/>
    <cellStyle name="Comma 2 6 14 4" xfId="22987"/>
    <cellStyle name="Comma 2 6 14 4 2" xfId="22988"/>
    <cellStyle name="Comma 2 6 14 5" xfId="22989"/>
    <cellStyle name="Comma 2 6 14 5 2" xfId="22990"/>
    <cellStyle name="Comma 2 6 14 6" xfId="22991"/>
    <cellStyle name="Comma 2 6 14 6 2" xfId="22992"/>
    <cellStyle name="Comma 2 6 14 7" xfId="22993"/>
    <cellStyle name="Comma 2 6 14 7 2" xfId="22994"/>
    <cellStyle name="Comma 2 6 14 8" xfId="22995"/>
    <cellStyle name="Comma 2 6 14 8 2" xfId="22996"/>
    <cellStyle name="Comma 2 6 14 9" xfId="22997"/>
    <cellStyle name="Comma 2 6 14 9 2" xfId="22998"/>
    <cellStyle name="Comma 2 6 15" xfId="22999"/>
    <cellStyle name="Comma 2 6 15 10" xfId="23000"/>
    <cellStyle name="Comma 2 6 15 10 2" xfId="23001"/>
    <cellStyle name="Comma 2 6 15 11" xfId="23002"/>
    <cellStyle name="Comma 2 6 15 11 2" xfId="23003"/>
    <cellStyle name="Comma 2 6 15 12" xfId="23004"/>
    <cellStyle name="Comma 2 6 15 2" xfId="23005"/>
    <cellStyle name="Comma 2 6 15 2 2" xfId="23006"/>
    <cellStyle name="Comma 2 6 15 3" xfId="23007"/>
    <cellStyle name="Comma 2 6 15 3 2" xfId="23008"/>
    <cellStyle name="Comma 2 6 15 4" xfId="23009"/>
    <cellStyle name="Comma 2 6 15 4 2" xfId="23010"/>
    <cellStyle name="Comma 2 6 15 5" xfId="23011"/>
    <cellStyle name="Comma 2 6 15 5 2" xfId="23012"/>
    <cellStyle name="Comma 2 6 15 6" xfId="23013"/>
    <cellStyle name="Comma 2 6 15 6 2" xfId="23014"/>
    <cellStyle name="Comma 2 6 15 7" xfId="23015"/>
    <cellStyle name="Comma 2 6 15 7 2" xfId="23016"/>
    <cellStyle name="Comma 2 6 15 8" xfId="23017"/>
    <cellStyle name="Comma 2 6 15 8 2" xfId="23018"/>
    <cellStyle name="Comma 2 6 15 9" xfId="23019"/>
    <cellStyle name="Comma 2 6 15 9 2" xfId="23020"/>
    <cellStyle name="Comma 2 6 16" xfId="23021"/>
    <cellStyle name="Comma 2 6 16 10" xfId="23022"/>
    <cellStyle name="Comma 2 6 16 10 2" xfId="23023"/>
    <cellStyle name="Comma 2 6 16 11" xfId="23024"/>
    <cellStyle name="Comma 2 6 16 11 2" xfId="23025"/>
    <cellStyle name="Comma 2 6 16 12" xfId="23026"/>
    <cellStyle name="Comma 2 6 16 2" xfId="23027"/>
    <cellStyle name="Comma 2 6 16 2 2" xfId="23028"/>
    <cellStyle name="Comma 2 6 16 3" xfId="23029"/>
    <cellStyle name="Comma 2 6 16 3 2" xfId="23030"/>
    <cellStyle name="Comma 2 6 16 4" xfId="23031"/>
    <cellStyle name="Comma 2 6 16 4 2" xfId="23032"/>
    <cellStyle name="Comma 2 6 16 5" xfId="23033"/>
    <cellStyle name="Comma 2 6 16 5 2" xfId="23034"/>
    <cellStyle name="Comma 2 6 16 6" xfId="23035"/>
    <cellStyle name="Comma 2 6 16 6 2" xfId="23036"/>
    <cellStyle name="Comma 2 6 16 7" xfId="23037"/>
    <cellStyle name="Comma 2 6 16 7 2" xfId="23038"/>
    <cellStyle name="Comma 2 6 16 8" xfId="23039"/>
    <cellStyle name="Comma 2 6 16 8 2" xfId="23040"/>
    <cellStyle name="Comma 2 6 16 9" xfId="23041"/>
    <cellStyle name="Comma 2 6 16 9 2" xfId="23042"/>
    <cellStyle name="Comma 2 6 17" xfId="23043"/>
    <cellStyle name="Comma 2 6 17 10" xfId="23044"/>
    <cellStyle name="Comma 2 6 17 10 2" xfId="23045"/>
    <cellStyle name="Comma 2 6 17 11" xfId="23046"/>
    <cellStyle name="Comma 2 6 17 11 2" xfId="23047"/>
    <cellStyle name="Comma 2 6 17 12" xfId="23048"/>
    <cellStyle name="Comma 2 6 17 2" xfId="23049"/>
    <cellStyle name="Comma 2 6 17 2 2" xfId="23050"/>
    <cellStyle name="Comma 2 6 17 3" xfId="23051"/>
    <cellStyle name="Comma 2 6 17 3 2" xfId="23052"/>
    <cellStyle name="Comma 2 6 17 4" xfId="23053"/>
    <cellStyle name="Comma 2 6 17 4 2" xfId="23054"/>
    <cellStyle name="Comma 2 6 17 5" xfId="23055"/>
    <cellStyle name="Comma 2 6 17 5 2" xfId="23056"/>
    <cellStyle name="Comma 2 6 17 6" xfId="23057"/>
    <cellStyle name="Comma 2 6 17 6 2" xfId="23058"/>
    <cellStyle name="Comma 2 6 17 7" xfId="23059"/>
    <cellStyle name="Comma 2 6 17 7 2" xfId="23060"/>
    <cellStyle name="Comma 2 6 17 8" xfId="23061"/>
    <cellStyle name="Comma 2 6 17 8 2" xfId="23062"/>
    <cellStyle name="Comma 2 6 17 9" xfId="23063"/>
    <cellStyle name="Comma 2 6 17 9 2" xfId="23064"/>
    <cellStyle name="Comma 2 6 18" xfId="23065"/>
    <cellStyle name="Comma 2 6 18 10" xfId="23066"/>
    <cellStyle name="Comma 2 6 18 10 2" xfId="23067"/>
    <cellStyle name="Comma 2 6 18 11" xfId="23068"/>
    <cellStyle name="Comma 2 6 18 11 2" xfId="23069"/>
    <cellStyle name="Comma 2 6 18 12" xfId="23070"/>
    <cellStyle name="Comma 2 6 18 2" xfId="23071"/>
    <cellStyle name="Comma 2 6 18 2 2" xfId="23072"/>
    <cellStyle name="Comma 2 6 18 3" xfId="23073"/>
    <cellStyle name="Comma 2 6 18 3 2" xfId="23074"/>
    <cellStyle name="Comma 2 6 18 4" xfId="23075"/>
    <cellStyle name="Comma 2 6 18 4 2" xfId="23076"/>
    <cellStyle name="Comma 2 6 18 5" xfId="23077"/>
    <cellStyle name="Comma 2 6 18 5 2" xfId="23078"/>
    <cellStyle name="Comma 2 6 18 6" xfId="23079"/>
    <cellStyle name="Comma 2 6 18 6 2" xfId="23080"/>
    <cellStyle name="Comma 2 6 18 7" xfId="23081"/>
    <cellStyle name="Comma 2 6 18 7 2" xfId="23082"/>
    <cellStyle name="Comma 2 6 18 8" xfId="23083"/>
    <cellStyle name="Comma 2 6 18 8 2" xfId="23084"/>
    <cellStyle name="Comma 2 6 18 9" xfId="23085"/>
    <cellStyle name="Comma 2 6 18 9 2" xfId="23086"/>
    <cellStyle name="Comma 2 6 19" xfId="23087"/>
    <cellStyle name="Comma 2 6 19 10" xfId="23088"/>
    <cellStyle name="Comma 2 6 19 10 2" xfId="23089"/>
    <cellStyle name="Comma 2 6 19 11" xfId="23090"/>
    <cellStyle name="Comma 2 6 19 11 2" xfId="23091"/>
    <cellStyle name="Comma 2 6 19 12" xfId="23092"/>
    <cellStyle name="Comma 2 6 19 2" xfId="23093"/>
    <cellStyle name="Comma 2 6 19 2 2" xfId="23094"/>
    <cellStyle name="Comma 2 6 19 3" xfId="23095"/>
    <cellStyle name="Comma 2 6 19 3 2" xfId="23096"/>
    <cellStyle name="Comma 2 6 19 4" xfId="23097"/>
    <cellStyle name="Comma 2 6 19 4 2" xfId="23098"/>
    <cellStyle name="Comma 2 6 19 5" xfId="23099"/>
    <cellStyle name="Comma 2 6 19 5 2" xfId="23100"/>
    <cellStyle name="Comma 2 6 19 6" xfId="23101"/>
    <cellStyle name="Comma 2 6 19 6 2" xfId="23102"/>
    <cellStyle name="Comma 2 6 19 7" xfId="23103"/>
    <cellStyle name="Comma 2 6 19 7 2" xfId="23104"/>
    <cellStyle name="Comma 2 6 19 8" xfId="23105"/>
    <cellStyle name="Comma 2 6 19 8 2" xfId="23106"/>
    <cellStyle name="Comma 2 6 19 9" xfId="23107"/>
    <cellStyle name="Comma 2 6 19 9 2" xfId="23108"/>
    <cellStyle name="Comma 2 6 2" xfId="23109"/>
    <cellStyle name="Comma 2 6 2 10" xfId="23110"/>
    <cellStyle name="Comma 2 6 2 10 10" xfId="23111"/>
    <cellStyle name="Comma 2 6 2 10 10 2" xfId="23112"/>
    <cellStyle name="Comma 2 6 2 10 11" xfId="23113"/>
    <cellStyle name="Comma 2 6 2 10 11 2" xfId="23114"/>
    <cellStyle name="Comma 2 6 2 10 12" xfId="23115"/>
    <cellStyle name="Comma 2 6 2 10 2" xfId="23116"/>
    <cellStyle name="Comma 2 6 2 10 2 2" xfId="23117"/>
    <cellStyle name="Comma 2 6 2 10 3" xfId="23118"/>
    <cellStyle name="Comma 2 6 2 10 3 2" xfId="23119"/>
    <cellStyle name="Comma 2 6 2 10 4" xfId="23120"/>
    <cellStyle name="Comma 2 6 2 10 4 2" xfId="23121"/>
    <cellStyle name="Comma 2 6 2 10 5" xfId="23122"/>
    <cellStyle name="Comma 2 6 2 10 5 2" xfId="23123"/>
    <cellStyle name="Comma 2 6 2 10 6" xfId="23124"/>
    <cellStyle name="Comma 2 6 2 10 6 2" xfId="23125"/>
    <cellStyle name="Comma 2 6 2 10 7" xfId="23126"/>
    <cellStyle name="Comma 2 6 2 10 7 2" xfId="23127"/>
    <cellStyle name="Comma 2 6 2 10 8" xfId="23128"/>
    <cellStyle name="Comma 2 6 2 10 8 2" xfId="23129"/>
    <cellStyle name="Comma 2 6 2 10 9" xfId="23130"/>
    <cellStyle name="Comma 2 6 2 10 9 2" xfId="23131"/>
    <cellStyle name="Comma 2 6 2 11" xfId="23132"/>
    <cellStyle name="Comma 2 6 2 11 10" xfId="23133"/>
    <cellStyle name="Comma 2 6 2 11 10 2" xfId="23134"/>
    <cellStyle name="Comma 2 6 2 11 11" xfId="23135"/>
    <cellStyle name="Comma 2 6 2 11 11 2" xfId="23136"/>
    <cellStyle name="Comma 2 6 2 11 12" xfId="23137"/>
    <cellStyle name="Comma 2 6 2 11 2" xfId="23138"/>
    <cellStyle name="Comma 2 6 2 11 2 2" xfId="23139"/>
    <cellStyle name="Comma 2 6 2 11 3" xfId="23140"/>
    <cellStyle name="Comma 2 6 2 11 3 2" xfId="23141"/>
    <cellStyle name="Comma 2 6 2 11 4" xfId="23142"/>
    <cellStyle name="Comma 2 6 2 11 4 2" xfId="23143"/>
    <cellStyle name="Comma 2 6 2 11 5" xfId="23144"/>
    <cellStyle name="Comma 2 6 2 11 5 2" xfId="23145"/>
    <cellStyle name="Comma 2 6 2 11 6" xfId="23146"/>
    <cellStyle name="Comma 2 6 2 11 6 2" xfId="23147"/>
    <cellStyle name="Comma 2 6 2 11 7" xfId="23148"/>
    <cellStyle name="Comma 2 6 2 11 7 2" xfId="23149"/>
    <cellStyle name="Comma 2 6 2 11 8" xfId="23150"/>
    <cellStyle name="Comma 2 6 2 11 8 2" xfId="23151"/>
    <cellStyle name="Comma 2 6 2 11 9" xfId="23152"/>
    <cellStyle name="Comma 2 6 2 11 9 2" xfId="23153"/>
    <cellStyle name="Comma 2 6 2 12" xfId="23154"/>
    <cellStyle name="Comma 2 6 2 12 10" xfId="23155"/>
    <cellStyle name="Comma 2 6 2 12 10 2" xfId="23156"/>
    <cellStyle name="Comma 2 6 2 12 11" xfId="23157"/>
    <cellStyle name="Comma 2 6 2 12 11 2" xfId="23158"/>
    <cellStyle name="Comma 2 6 2 12 12" xfId="23159"/>
    <cellStyle name="Comma 2 6 2 12 2" xfId="23160"/>
    <cellStyle name="Comma 2 6 2 12 2 2" xfId="23161"/>
    <cellStyle name="Comma 2 6 2 12 3" xfId="23162"/>
    <cellStyle name="Comma 2 6 2 12 3 2" xfId="23163"/>
    <cellStyle name="Comma 2 6 2 12 4" xfId="23164"/>
    <cellStyle name="Comma 2 6 2 12 4 2" xfId="23165"/>
    <cellStyle name="Comma 2 6 2 12 5" xfId="23166"/>
    <cellStyle name="Comma 2 6 2 12 5 2" xfId="23167"/>
    <cellStyle name="Comma 2 6 2 12 6" xfId="23168"/>
    <cellStyle name="Comma 2 6 2 12 6 2" xfId="23169"/>
    <cellStyle name="Comma 2 6 2 12 7" xfId="23170"/>
    <cellStyle name="Comma 2 6 2 12 7 2" xfId="23171"/>
    <cellStyle name="Comma 2 6 2 12 8" xfId="23172"/>
    <cellStyle name="Comma 2 6 2 12 8 2" xfId="23173"/>
    <cellStyle name="Comma 2 6 2 12 9" xfId="23174"/>
    <cellStyle name="Comma 2 6 2 12 9 2" xfId="23175"/>
    <cellStyle name="Comma 2 6 2 13" xfId="23176"/>
    <cellStyle name="Comma 2 6 2 13 10" xfId="23177"/>
    <cellStyle name="Comma 2 6 2 13 10 2" xfId="23178"/>
    <cellStyle name="Comma 2 6 2 13 11" xfId="23179"/>
    <cellStyle name="Comma 2 6 2 13 11 2" xfId="23180"/>
    <cellStyle name="Comma 2 6 2 13 12" xfId="23181"/>
    <cellStyle name="Comma 2 6 2 13 2" xfId="23182"/>
    <cellStyle name="Comma 2 6 2 13 2 2" xfId="23183"/>
    <cellStyle name="Comma 2 6 2 13 3" xfId="23184"/>
    <cellStyle name="Comma 2 6 2 13 3 2" xfId="23185"/>
    <cellStyle name="Comma 2 6 2 13 4" xfId="23186"/>
    <cellStyle name="Comma 2 6 2 13 4 2" xfId="23187"/>
    <cellStyle name="Comma 2 6 2 13 5" xfId="23188"/>
    <cellStyle name="Comma 2 6 2 13 5 2" xfId="23189"/>
    <cellStyle name="Comma 2 6 2 13 6" xfId="23190"/>
    <cellStyle name="Comma 2 6 2 13 6 2" xfId="23191"/>
    <cellStyle name="Comma 2 6 2 13 7" xfId="23192"/>
    <cellStyle name="Comma 2 6 2 13 7 2" xfId="23193"/>
    <cellStyle name="Comma 2 6 2 13 8" xfId="23194"/>
    <cellStyle name="Comma 2 6 2 13 8 2" xfId="23195"/>
    <cellStyle name="Comma 2 6 2 13 9" xfId="23196"/>
    <cellStyle name="Comma 2 6 2 13 9 2" xfId="23197"/>
    <cellStyle name="Comma 2 6 2 14" xfId="23198"/>
    <cellStyle name="Comma 2 6 2 14 10" xfId="23199"/>
    <cellStyle name="Comma 2 6 2 14 10 2" xfId="23200"/>
    <cellStyle name="Comma 2 6 2 14 11" xfId="23201"/>
    <cellStyle name="Comma 2 6 2 14 11 2" xfId="23202"/>
    <cellStyle name="Comma 2 6 2 14 12" xfId="23203"/>
    <cellStyle name="Comma 2 6 2 14 2" xfId="23204"/>
    <cellStyle name="Comma 2 6 2 14 2 2" xfId="23205"/>
    <cellStyle name="Comma 2 6 2 14 3" xfId="23206"/>
    <cellStyle name="Comma 2 6 2 14 3 2" xfId="23207"/>
    <cellStyle name="Comma 2 6 2 14 4" xfId="23208"/>
    <cellStyle name="Comma 2 6 2 14 4 2" xfId="23209"/>
    <cellStyle name="Comma 2 6 2 14 5" xfId="23210"/>
    <cellStyle name="Comma 2 6 2 14 5 2" xfId="23211"/>
    <cellStyle name="Comma 2 6 2 14 6" xfId="23212"/>
    <cellStyle name="Comma 2 6 2 14 6 2" xfId="23213"/>
    <cellStyle name="Comma 2 6 2 14 7" xfId="23214"/>
    <cellStyle name="Comma 2 6 2 14 7 2" xfId="23215"/>
    <cellStyle name="Comma 2 6 2 14 8" xfId="23216"/>
    <cellStyle name="Comma 2 6 2 14 8 2" xfId="23217"/>
    <cellStyle name="Comma 2 6 2 14 9" xfId="23218"/>
    <cellStyle name="Comma 2 6 2 14 9 2" xfId="23219"/>
    <cellStyle name="Comma 2 6 2 15" xfId="23220"/>
    <cellStyle name="Comma 2 6 2 15 10" xfId="23221"/>
    <cellStyle name="Comma 2 6 2 15 10 2" xfId="23222"/>
    <cellStyle name="Comma 2 6 2 15 11" xfId="23223"/>
    <cellStyle name="Comma 2 6 2 15 11 2" xfId="23224"/>
    <cellStyle name="Comma 2 6 2 15 12" xfId="23225"/>
    <cellStyle name="Comma 2 6 2 15 2" xfId="23226"/>
    <cellStyle name="Comma 2 6 2 15 2 2" xfId="23227"/>
    <cellStyle name="Comma 2 6 2 15 3" xfId="23228"/>
    <cellStyle name="Comma 2 6 2 15 3 2" xfId="23229"/>
    <cellStyle name="Comma 2 6 2 15 4" xfId="23230"/>
    <cellStyle name="Comma 2 6 2 15 4 2" xfId="23231"/>
    <cellStyle name="Comma 2 6 2 15 5" xfId="23232"/>
    <cellStyle name="Comma 2 6 2 15 5 2" xfId="23233"/>
    <cellStyle name="Comma 2 6 2 15 6" xfId="23234"/>
    <cellStyle name="Comma 2 6 2 15 6 2" xfId="23235"/>
    <cellStyle name="Comma 2 6 2 15 7" xfId="23236"/>
    <cellStyle name="Comma 2 6 2 15 7 2" xfId="23237"/>
    <cellStyle name="Comma 2 6 2 15 8" xfId="23238"/>
    <cellStyle name="Comma 2 6 2 15 8 2" xfId="23239"/>
    <cellStyle name="Comma 2 6 2 15 9" xfId="23240"/>
    <cellStyle name="Comma 2 6 2 15 9 2" xfId="23241"/>
    <cellStyle name="Comma 2 6 2 16" xfId="23242"/>
    <cellStyle name="Comma 2 6 2 16 10" xfId="23243"/>
    <cellStyle name="Comma 2 6 2 16 10 2" xfId="23244"/>
    <cellStyle name="Comma 2 6 2 16 11" xfId="23245"/>
    <cellStyle name="Comma 2 6 2 16 11 2" xfId="23246"/>
    <cellStyle name="Comma 2 6 2 16 12" xfId="23247"/>
    <cellStyle name="Comma 2 6 2 16 2" xfId="23248"/>
    <cellStyle name="Comma 2 6 2 16 2 2" xfId="23249"/>
    <cellStyle name="Comma 2 6 2 16 3" xfId="23250"/>
    <cellStyle name="Comma 2 6 2 16 3 2" xfId="23251"/>
    <cellStyle name="Comma 2 6 2 16 4" xfId="23252"/>
    <cellStyle name="Comma 2 6 2 16 4 2" xfId="23253"/>
    <cellStyle name="Comma 2 6 2 16 5" xfId="23254"/>
    <cellStyle name="Comma 2 6 2 16 5 2" xfId="23255"/>
    <cellStyle name="Comma 2 6 2 16 6" xfId="23256"/>
    <cellStyle name="Comma 2 6 2 16 6 2" xfId="23257"/>
    <cellStyle name="Comma 2 6 2 16 7" xfId="23258"/>
    <cellStyle name="Comma 2 6 2 16 7 2" xfId="23259"/>
    <cellStyle name="Comma 2 6 2 16 8" xfId="23260"/>
    <cellStyle name="Comma 2 6 2 16 8 2" xfId="23261"/>
    <cellStyle name="Comma 2 6 2 16 9" xfId="23262"/>
    <cellStyle name="Comma 2 6 2 16 9 2" xfId="23263"/>
    <cellStyle name="Comma 2 6 2 17" xfId="23264"/>
    <cellStyle name="Comma 2 6 2 17 10" xfId="23265"/>
    <cellStyle name="Comma 2 6 2 17 10 2" xfId="23266"/>
    <cellStyle name="Comma 2 6 2 17 11" xfId="23267"/>
    <cellStyle name="Comma 2 6 2 17 11 2" xfId="23268"/>
    <cellStyle name="Comma 2 6 2 17 12" xfId="23269"/>
    <cellStyle name="Comma 2 6 2 17 2" xfId="23270"/>
    <cellStyle name="Comma 2 6 2 17 2 2" xfId="23271"/>
    <cellStyle name="Comma 2 6 2 17 3" xfId="23272"/>
    <cellStyle name="Comma 2 6 2 17 3 2" xfId="23273"/>
    <cellStyle name="Comma 2 6 2 17 4" xfId="23274"/>
    <cellStyle name="Comma 2 6 2 17 4 2" xfId="23275"/>
    <cellStyle name="Comma 2 6 2 17 5" xfId="23276"/>
    <cellStyle name="Comma 2 6 2 17 5 2" xfId="23277"/>
    <cellStyle name="Comma 2 6 2 17 6" xfId="23278"/>
    <cellStyle name="Comma 2 6 2 17 6 2" xfId="23279"/>
    <cellStyle name="Comma 2 6 2 17 7" xfId="23280"/>
    <cellStyle name="Comma 2 6 2 17 7 2" xfId="23281"/>
    <cellStyle name="Comma 2 6 2 17 8" xfId="23282"/>
    <cellStyle name="Comma 2 6 2 17 8 2" xfId="23283"/>
    <cellStyle name="Comma 2 6 2 17 9" xfId="23284"/>
    <cellStyle name="Comma 2 6 2 17 9 2" xfId="23285"/>
    <cellStyle name="Comma 2 6 2 18" xfId="23286"/>
    <cellStyle name="Comma 2 6 2 18 10" xfId="23287"/>
    <cellStyle name="Comma 2 6 2 18 10 2" xfId="23288"/>
    <cellStyle name="Comma 2 6 2 18 11" xfId="23289"/>
    <cellStyle name="Comma 2 6 2 18 11 2" xfId="23290"/>
    <cellStyle name="Comma 2 6 2 18 12" xfId="23291"/>
    <cellStyle name="Comma 2 6 2 18 2" xfId="23292"/>
    <cellStyle name="Comma 2 6 2 18 2 2" xfId="23293"/>
    <cellStyle name="Comma 2 6 2 18 3" xfId="23294"/>
    <cellStyle name="Comma 2 6 2 18 3 2" xfId="23295"/>
    <cellStyle name="Comma 2 6 2 18 4" xfId="23296"/>
    <cellStyle name="Comma 2 6 2 18 4 2" xfId="23297"/>
    <cellStyle name="Comma 2 6 2 18 5" xfId="23298"/>
    <cellStyle name="Comma 2 6 2 18 5 2" xfId="23299"/>
    <cellStyle name="Comma 2 6 2 18 6" xfId="23300"/>
    <cellStyle name="Comma 2 6 2 18 6 2" xfId="23301"/>
    <cellStyle name="Comma 2 6 2 18 7" xfId="23302"/>
    <cellStyle name="Comma 2 6 2 18 7 2" xfId="23303"/>
    <cellStyle name="Comma 2 6 2 18 8" xfId="23304"/>
    <cellStyle name="Comma 2 6 2 18 8 2" xfId="23305"/>
    <cellStyle name="Comma 2 6 2 18 9" xfId="23306"/>
    <cellStyle name="Comma 2 6 2 18 9 2" xfId="23307"/>
    <cellStyle name="Comma 2 6 2 19" xfId="23308"/>
    <cellStyle name="Comma 2 6 2 19 10" xfId="23309"/>
    <cellStyle name="Comma 2 6 2 19 10 2" xfId="23310"/>
    <cellStyle name="Comma 2 6 2 19 11" xfId="23311"/>
    <cellStyle name="Comma 2 6 2 19 11 2" xfId="23312"/>
    <cellStyle name="Comma 2 6 2 19 12" xfId="23313"/>
    <cellStyle name="Comma 2 6 2 19 2" xfId="23314"/>
    <cellStyle name="Comma 2 6 2 19 2 2" xfId="23315"/>
    <cellStyle name="Comma 2 6 2 19 3" xfId="23316"/>
    <cellStyle name="Comma 2 6 2 19 3 2" xfId="23317"/>
    <cellStyle name="Comma 2 6 2 19 4" xfId="23318"/>
    <cellStyle name="Comma 2 6 2 19 4 2" xfId="23319"/>
    <cellStyle name="Comma 2 6 2 19 5" xfId="23320"/>
    <cellStyle name="Comma 2 6 2 19 5 2" xfId="23321"/>
    <cellStyle name="Comma 2 6 2 19 6" xfId="23322"/>
    <cellStyle name="Comma 2 6 2 19 6 2" xfId="23323"/>
    <cellStyle name="Comma 2 6 2 19 7" xfId="23324"/>
    <cellStyle name="Comma 2 6 2 19 7 2" xfId="23325"/>
    <cellStyle name="Comma 2 6 2 19 8" xfId="23326"/>
    <cellStyle name="Comma 2 6 2 19 8 2" xfId="23327"/>
    <cellStyle name="Comma 2 6 2 19 9" xfId="23328"/>
    <cellStyle name="Comma 2 6 2 19 9 2" xfId="23329"/>
    <cellStyle name="Comma 2 6 2 2" xfId="23330"/>
    <cellStyle name="Comma 2 6 2 2 10" xfId="23331"/>
    <cellStyle name="Comma 2 6 2 2 10 2" xfId="23332"/>
    <cellStyle name="Comma 2 6 2 2 11" xfId="23333"/>
    <cellStyle name="Comma 2 6 2 2 11 2" xfId="23334"/>
    <cellStyle name="Comma 2 6 2 2 12" xfId="23335"/>
    <cellStyle name="Comma 2 6 2 2 2" xfId="23336"/>
    <cellStyle name="Comma 2 6 2 2 2 2" xfId="23337"/>
    <cellStyle name="Comma 2 6 2 2 3" xfId="23338"/>
    <cellStyle name="Comma 2 6 2 2 3 2" xfId="23339"/>
    <cellStyle name="Comma 2 6 2 2 4" xfId="23340"/>
    <cellStyle name="Comma 2 6 2 2 4 2" xfId="23341"/>
    <cellStyle name="Comma 2 6 2 2 5" xfId="23342"/>
    <cellStyle name="Comma 2 6 2 2 5 2" xfId="23343"/>
    <cellStyle name="Comma 2 6 2 2 6" xfId="23344"/>
    <cellStyle name="Comma 2 6 2 2 6 2" xfId="23345"/>
    <cellStyle name="Comma 2 6 2 2 7" xfId="23346"/>
    <cellStyle name="Comma 2 6 2 2 7 2" xfId="23347"/>
    <cellStyle name="Comma 2 6 2 2 8" xfId="23348"/>
    <cellStyle name="Comma 2 6 2 2 8 2" xfId="23349"/>
    <cellStyle name="Comma 2 6 2 2 9" xfId="23350"/>
    <cellStyle name="Comma 2 6 2 2 9 2" xfId="23351"/>
    <cellStyle name="Comma 2 6 2 20" xfId="23352"/>
    <cellStyle name="Comma 2 6 2 20 10" xfId="23353"/>
    <cellStyle name="Comma 2 6 2 20 10 2" xfId="23354"/>
    <cellStyle name="Comma 2 6 2 20 11" xfId="23355"/>
    <cellStyle name="Comma 2 6 2 20 11 2" xfId="23356"/>
    <cellStyle name="Comma 2 6 2 20 12" xfId="23357"/>
    <cellStyle name="Comma 2 6 2 20 2" xfId="23358"/>
    <cellStyle name="Comma 2 6 2 20 2 2" xfId="23359"/>
    <cellStyle name="Comma 2 6 2 20 3" xfId="23360"/>
    <cellStyle name="Comma 2 6 2 20 3 2" xfId="23361"/>
    <cellStyle name="Comma 2 6 2 20 4" xfId="23362"/>
    <cellStyle name="Comma 2 6 2 20 4 2" xfId="23363"/>
    <cellStyle name="Comma 2 6 2 20 5" xfId="23364"/>
    <cellStyle name="Comma 2 6 2 20 5 2" xfId="23365"/>
    <cellStyle name="Comma 2 6 2 20 6" xfId="23366"/>
    <cellStyle name="Comma 2 6 2 20 6 2" xfId="23367"/>
    <cellStyle name="Comma 2 6 2 20 7" xfId="23368"/>
    <cellStyle name="Comma 2 6 2 20 7 2" xfId="23369"/>
    <cellStyle name="Comma 2 6 2 20 8" xfId="23370"/>
    <cellStyle name="Comma 2 6 2 20 8 2" xfId="23371"/>
    <cellStyle name="Comma 2 6 2 20 9" xfId="23372"/>
    <cellStyle name="Comma 2 6 2 20 9 2" xfId="23373"/>
    <cellStyle name="Comma 2 6 2 21" xfId="23374"/>
    <cellStyle name="Comma 2 6 2 21 10" xfId="23375"/>
    <cellStyle name="Comma 2 6 2 21 10 2" xfId="23376"/>
    <cellStyle name="Comma 2 6 2 21 11" xfId="23377"/>
    <cellStyle name="Comma 2 6 2 21 11 2" xfId="23378"/>
    <cellStyle name="Comma 2 6 2 21 12" xfId="23379"/>
    <cellStyle name="Comma 2 6 2 21 2" xfId="23380"/>
    <cellStyle name="Comma 2 6 2 21 2 2" xfId="23381"/>
    <cellStyle name="Comma 2 6 2 21 3" xfId="23382"/>
    <cellStyle name="Comma 2 6 2 21 3 2" xfId="23383"/>
    <cellStyle name="Comma 2 6 2 21 4" xfId="23384"/>
    <cellStyle name="Comma 2 6 2 21 4 2" xfId="23385"/>
    <cellStyle name="Comma 2 6 2 21 5" xfId="23386"/>
    <cellStyle name="Comma 2 6 2 21 5 2" xfId="23387"/>
    <cellStyle name="Comma 2 6 2 21 6" xfId="23388"/>
    <cellStyle name="Comma 2 6 2 21 6 2" xfId="23389"/>
    <cellStyle name="Comma 2 6 2 21 7" xfId="23390"/>
    <cellStyle name="Comma 2 6 2 21 7 2" xfId="23391"/>
    <cellStyle name="Comma 2 6 2 21 8" xfId="23392"/>
    <cellStyle name="Comma 2 6 2 21 8 2" xfId="23393"/>
    <cellStyle name="Comma 2 6 2 21 9" xfId="23394"/>
    <cellStyle name="Comma 2 6 2 21 9 2" xfId="23395"/>
    <cellStyle name="Comma 2 6 2 22" xfId="23396"/>
    <cellStyle name="Comma 2 6 2 22 10" xfId="23397"/>
    <cellStyle name="Comma 2 6 2 22 10 2" xfId="23398"/>
    <cellStyle name="Comma 2 6 2 22 11" xfId="23399"/>
    <cellStyle name="Comma 2 6 2 22 11 2" xfId="23400"/>
    <cellStyle name="Comma 2 6 2 22 12" xfId="23401"/>
    <cellStyle name="Comma 2 6 2 22 2" xfId="23402"/>
    <cellStyle name="Comma 2 6 2 22 2 2" xfId="23403"/>
    <cellStyle name="Comma 2 6 2 22 3" xfId="23404"/>
    <cellStyle name="Comma 2 6 2 22 3 2" xfId="23405"/>
    <cellStyle name="Comma 2 6 2 22 4" xfId="23406"/>
    <cellStyle name="Comma 2 6 2 22 4 2" xfId="23407"/>
    <cellStyle name="Comma 2 6 2 22 5" xfId="23408"/>
    <cellStyle name="Comma 2 6 2 22 5 2" xfId="23409"/>
    <cellStyle name="Comma 2 6 2 22 6" xfId="23410"/>
    <cellStyle name="Comma 2 6 2 22 6 2" xfId="23411"/>
    <cellStyle name="Comma 2 6 2 22 7" xfId="23412"/>
    <cellStyle name="Comma 2 6 2 22 7 2" xfId="23413"/>
    <cellStyle name="Comma 2 6 2 22 8" xfId="23414"/>
    <cellStyle name="Comma 2 6 2 22 8 2" xfId="23415"/>
    <cellStyle name="Comma 2 6 2 22 9" xfId="23416"/>
    <cellStyle name="Comma 2 6 2 22 9 2" xfId="23417"/>
    <cellStyle name="Comma 2 6 2 23" xfId="23418"/>
    <cellStyle name="Comma 2 6 2 23 10" xfId="23419"/>
    <cellStyle name="Comma 2 6 2 23 10 2" xfId="23420"/>
    <cellStyle name="Comma 2 6 2 23 11" xfId="23421"/>
    <cellStyle name="Comma 2 6 2 23 11 2" xfId="23422"/>
    <cellStyle name="Comma 2 6 2 23 12" xfId="23423"/>
    <cellStyle name="Comma 2 6 2 23 2" xfId="23424"/>
    <cellStyle name="Comma 2 6 2 23 2 2" xfId="23425"/>
    <cellStyle name="Comma 2 6 2 23 3" xfId="23426"/>
    <cellStyle name="Comma 2 6 2 23 3 2" xfId="23427"/>
    <cellStyle name="Comma 2 6 2 23 4" xfId="23428"/>
    <cellStyle name="Comma 2 6 2 23 4 2" xfId="23429"/>
    <cellStyle name="Comma 2 6 2 23 5" xfId="23430"/>
    <cellStyle name="Comma 2 6 2 23 5 2" xfId="23431"/>
    <cellStyle name="Comma 2 6 2 23 6" xfId="23432"/>
    <cellStyle name="Comma 2 6 2 23 6 2" xfId="23433"/>
    <cellStyle name="Comma 2 6 2 23 7" xfId="23434"/>
    <cellStyle name="Comma 2 6 2 23 7 2" xfId="23435"/>
    <cellStyle name="Comma 2 6 2 23 8" xfId="23436"/>
    <cellStyle name="Comma 2 6 2 23 8 2" xfId="23437"/>
    <cellStyle name="Comma 2 6 2 23 9" xfId="23438"/>
    <cellStyle name="Comma 2 6 2 23 9 2" xfId="23439"/>
    <cellStyle name="Comma 2 6 2 24" xfId="23440"/>
    <cellStyle name="Comma 2 6 2 24 10" xfId="23441"/>
    <cellStyle name="Comma 2 6 2 24 10 2" xfId="23442"/>
    <cellStyle name="Comma 2 6 2 24 11" xfId="23443"/>
    <cellStyle name="Comma 2 6 2 24 11 2" xfId="23444"/>
    <cellStyle name="Comma 2 6 2 24 12" xfId="23445"/>
    <cellStyle name="Comma 2 6 2 24 2" xfId="23446"/>
    <cellStyle name="Comma 2 6 2 24 2 2" xfId="23447"/>
    <cellStyle name="Comma 2 6 2 24 3" xfId="23448"/>
    <cellStyle name="Comma 2 6 2 24 3 2" xfId="23449"/>
    <cellStyle name="Comma 2 6 2 24 4" xfId="23450"/>
    <cellStyle name="Comma 2 6 2 24 4 2" xfId="23451"/>
    <cellStyle name="Comma 2 6 2 24 5" xfId="23452"/>
    <cellStyle name="Comma 2 6 2 24 5 2" xfId="23453"/>
    <cellStyle name="Comma 2 6 2 24 6" xfId="23454"/>
    <cellStyle name="Comma 2 6 2 24 6 2" xfId="23455"/>
    <cellStyle name="Comma 2 6 2 24 7" xfId="23456"/>
    <cellStyle name="Comma 2 6 2 24 7 2" xfId="23457"/>
    <cellStyle name="Comma 2 6 2 24 8" xfId="23458"/>
    <cellStyle name="Comma 2 6 2 24 8 2" xfId="23459"/>
    <cellStyle name="Comma 2 6 2 24 9" xfId="23460"/>
    <cellStyle name="Comma 2 6 2 24 9 2" xfId="23461"/>
    <cellStyle name="Comma 2 6 2 25" xfId="23462"/>
    <cellStyle name="Comma 2 6 2 25 10" xfId="23463"/>
    <cellStyle name="Comma 2 6 2 25 10 2" xfId="23464"/>
    <cellStyle name="Comma 2 6 2 25 11" xfId="23465"/>
    <cellStyle name="Comma 2 6 2 25 11 2" xfId="23466"/>
    <cellStyle name="Comma 2 6 2 25 12" xfId="23467"/>
    <cellStyle name="Comma 2 6 2 25 2" xfId="23468"/>
    <cellStyle name="Comma 2 6 2 25 2 2" xfId="23469"/>
    <cellStyle name="Comma 2 6 2 25 3" xfId="23470"/>
    <cellStyle name="Comma 2 6 2 25 3 2" xfId="23471"/>
    <cellStyle name="Comma 2 6 2 25 4" xfId="23472"/>
    <cellStyle name="Comma 2 6 2 25 4 2" xfId="23473"/>
    <cellStyle name="Comma 2 6 2 25 5" xfId="23474"/>
    <cellStyle name="Comma 2 6 2 25 5 2" xfId="23475"/>
    <cellStyle name="Comma 2 6 2 25 6" xfId="23476"/>
    <cellStyle name="Comma 2 6 2 25 6 2" xfId="23477"/>
    <cellStyle name="Comma 2 6 2 25 7" xfId="23478"/>
    <cellStyle name="Comma 2 6 2 25 7 2" xfId="23479"/>
    <cellStyle name="Comma 2 6 2 25 8" xfId="23480"/>
    <cellStyle name="Comma 2 6 2 25 8 2" xfId="23481"/>
    <cellStyle name="Comma 2 6 2 25 9" xfId="23482"/>
    <cellStyle name="Comma 2 6 2 25 9 2" xfId="23483"/>
    <cellStyle name="Comma 2 6 2 26" xfId="23484"/>
    <cellStyle name="Comma 2 6 2 26 10" xfId="23485"/>
    <cellStyle name="Comma 2 6 2 26 10 2" xfId="23486"/>
    <cellStyle name="Comma 2 6 2 26 11" xfId="23487"/>
    <cellStyle name="Comma 2 6 2 26 11 2" xfId="23488"/>
    <cellStyle name="Comma 2 6 2 26 12" xfId="23489"/>
    <cellStyle name="Comma 2 6 2 26 2" xfId="23490"/>
    <cellStyle name="Comma 2 6 2 26 2 2" xfId="23491"/>
    <cellStyle name="Comma 2 6 2 26 3" xfId="23492"/>
    <cellStyle name="Comma 2 6 2 26 3 2" xfId="23493"/>
    <cellStyle name="Comma 2 6 2 26 4" xfId="23494"/>
    <cellStyle name="Comma 2 6 2 26 4 2" xfId="23495"/>
    <cellStyle name="Comma 2 6 2 26 5" xfId="23496"/>
    <cellStyle name="Comma 2 6 2 26 5 2" xfId="23497"/>
    <cellStyle name="Comma 2 6 2 26 6" xfId="23498"/>
    <cellStyle name="Comma 2 6 2 26 6 2" xfId="23499"/>
    <cellStyle name="Comma 2 6 2 26 7" xfId="23500"/>
    <cellStyle name="Comma 2 6 2 26 7 2" xfId="23501"/>
    <cellStyle name="Comma 2 6 2 26 8" xfId="23502"/>
    <cellStyle name="Comma 2 6 2 26 8 2" xfId="23503"/>
    <cellStyle name="Comma 2 6 2 26 9" xfId="23504"/>
    <cellStyle name="Comma 2 6 2 26 9 2" xfId="23505"/>
    <cellStyle name="Comma 2 6 2 27" xfId="23506"/>
    <cellStyle name="Comma 2 6 2 27 10" xfId="23507"/>
    <cellStyle name="Comma 2 6 2 27 10 2" xfId="23508"/>
    <cellStyle name="Comma 2 6 2 27 11" xfId="23509"/>
    <cellStyle name="Comma 2 6 2 27 11 2" xfId="23510"/>
    <cellStyle name="Comma 2 6 2 27 12" xfId="23511"/>
    <cellStyle name="Comma 2 6 2 27 2" xfId="23512"/>
    <cellStyle name="Comma 2 6 2 27 2 2" xfId="23513"/>
    <cellStyle name="Comma 2 6 2 27 3" xfId="23514"/>
    <cellStyle name="Comma 2 6 2 27 3 2" xfId="23515"/>
    <cellStyle name="Comma 2 6 2 27 4" xfId="23516"/>
    <cellStyle name="Comma 2 6 2 27 4 2" xfId="23517"/>
    <cellStyle name="Comma 2 6 2 27 5" xfId="23518"/>
    <cellStyle name="Comma 2 6 2 27 5 2" xfId="23519"/>
    <cellStyle name="Comma 2 6 2 27 6" xfId="23520"/>
    <cellStyle name="Comma 2 6 2 27 6 2" xfId="23521"/>
    <cellStyle name="Comma 2 6 2 27 7" xfId="23522"/>
    <cellStyle name="Comma 2 6 2 27 7 2" xfId="23523"/>
    <cellStyle name="Comma 2 6 2 27 8" xfId="23524"/>
    <cellStyle name="Comma 2 6 2 27 8 2" xfId="23525"/>
    <cellStyle name="Comma 2 6 2 27 9" xfId="23526"/>
    <cellStyle name="Comma 2 6 2 27 9 2" xfId="23527"/>
    <cellStyle name="Comma 2 6 2 28" xfId="23528"/>
    <cellStyle name="Comma 2 6 2 28 10" xfId="23529"/>
    <cellStyle name="Comma 2 6 2 28 10 2" xfId="23530"/>
    <cellStyle name="Comma 2 6 2 28 11" xfId="23531"/>
    <cellStyle name="Comma 2 6 2 28 11 2" xfId="23532"/>
    <cellStyle name="Comma 2 6 2 28 12" xfId="23533"/>
    <cellStyle name="Comma 2 6 2 28 2" xfId="23534"/>
    <cellStyle name="Comma 2 6 2 28 2 2" xfId="23535"/>
    <cellStyle name="Comma 2 6 2 28 3" xfId="23536"/>
    <cellStyle name="Comma 2 6 2 28 3 2" xfId="23537"/>
    <cellStyle name="Comma 2 6 2 28 4" xfId="23538"/>
    <cellStyle name="Comma 2 6 2 28 4 2" xfId="23539"/>
    <cellStyle name="Comma 2 6 2 28 5" xfId="23540"/>
    <cellStyle name="Comma 2 6 2 28 5 2" xfId="23541"/>
    <cellStyle name="Comma 2 6 2 28 6" xfId="23542"/>
    <cellStyle name="Comma 2 6 2 28 6 2" xfId="23543"/>
    <cellStyle name="Comma 2 6 2 28 7" xfId="23544"/>
    <cellStyle name="Comma 2 6 2 28 7 2" xfId="23545"/>
    <cellStyle name="Comma 2 6 2 28 8" xfId="23546"/>
    <cellStyle name="Comma 2 6 2 28 8 2" xfId="23547"/>
    <cellStyle name="Comma 2 6 2 28 9" xfId="23548"/>
    <cellStyle name="Comma 2 6 2 28 9 2" xfId="23549"/>
    <cellStyle name="Comma 2 6 2 29" xfId="23550"/>
    <cellStyle name="Comma 2 6 2 29 10" xfId="23551"/>
    <cellStyle name="Comma 2 6 2 29 10 2" xfId="23552"/>
    <cellStyle name="Comma 2 6 2 29 11" xfId="23553"/>
    <cellStyle name="Comma 2 6 2 29 11 2" xfId="23554"/>
    <cellStyle name="Comma 2 6 2 29 12" xfId="23555"/>
    <cellStyle name="Comma 2 6 2 29 2" xfId="23556"/>
    <cellStyle name="Comma 2 6 2 29 2 2" xfId="23557"/>
    <cellStyle name="Comma 2 6 2 29 3" xfId="23558"/>
    <cellStyle name="Comma 2 6 2 29 3 2" xfId="23559"/>
    <cellStyle name="Comma 2 6 2 29 4" xfId="23560"/>
    <cellStyle name="Comma 2 6 2 29 4 2" xfId="23561"/>
    <cellStyle name="Comma 2 6 2 29 5" xfId="23562"/>
    <cellStyle name="Comma 2 6 2 29 5 2" xfId="23563"/>
    <cellStyle name="Comma 2 6 2 29 6" xfId="23564"/>
    <cellStyle name="Comma 2 6 2 29 6 2" xfId="23565"/>
    <cellStyle name="Comma 2 6 2 29 7" xfId="23566"/>
    <cellStyle name="Comma 2 6 2 29 7 2" xfId="23567"/>
    <cellStyle name="Comma 2 6 2 29 8" xfId="23568"/>
    <cellStyle name="Comma 2 6 2 29 8 2" xfId="23569"/>
    <cellStyle name="Comma 2 6 2 29 9" xfId="23570"/>
    <cellStyle name="Comma 2 6 2 29 9 2" xfId="23571"/>
    <cellStyle name="Comma 2 6 2 3" xfId="23572"/>
    <cellStyle name="Comma 2 6 2 3 10" xfId="23573"/>
    <cellStyle name="Comma 2 6 2 3 10 2" xfId="23574"/>
    <cellStyle name="Comma 2 6 2 3 11" xfId="23575"/>
    <cellStyle name="Comma 2 6 2 3 11 2" xfId="23576"/>
    <cellStyle name="Comma 2 6 2 3 12" xfId="23577"/>
    <cellStyle name="Comma 2 6 2 3 2" xfId="23578"/>
    <cellStyle name="Comma 2 6 2 3 2 2" xfId="23579"/>
    <cellStyle name="Comma 2 6 2 3 3" xfId="23580"/>
    <cellStyle name="Comma 2 6 2 3 3 2" xfId="23581"/>
    <cellStyle name="Comma 2 6 2 3 4" xfId="23582"/>
    <cellStyle name="Comma 2 6 2 3 4 2" xfId="23583"/>
    <cellStyle name="Comma 2 6 2 3 5" xfId="23584"/>
    <cellStyle name="Comma 2 6 2 3 5 2" xfId="23585"/>
    <cellStyle name="Comma 2 6 2 3 6" xfId="23586"/>
    <cellStyle name="Comma 2 6 2 3 6 2" xfId="23587"/>
    <cellStyle name="Comma 2 6 2 3 7" xfId="23588"/>
    <cellStyle name="Comma 2 6 2 3 7 2" xfId="23589"/>
    <cellStyle name="Comma 2 6 2 3 8" xfId="23590"/>
    <cellStyle name="Comma 2 6 2 3 8 2" xfId="23591"/>
    <cellStyle name="Comma 2 6 2 3 9" xfId="23592"/>
    <cellStyle name="Comma 2 6 2 3 9 2" xfId="23593"/>
    <cellStyle name="Comma 2 6 2 30" xfId="23594"/>
    <cellStyle name="Comma 2 6 2 30 10" xfId="23595"/>
    <cellStyle name="Comma 2 6 2 30 10 2" xfId="23596"/>
    <cellStyle name="Comma 2 6 2 30 11" xfId="23597"/>
    <cellStyle name="Comma 2 6 2 30 11 2" xfId="23598"/>
    <cellStyle name="Comma 2 6 2 30 12" xfId="23599"/>
    <cellStyle name="Comma 2 6 2 30 2" xfId="23600"/>
    <cellStyle name="Comma 2 6 2 30 2 2" xfId="23601"/>
    <cellStyle name="Comma 2 6 2 30 3" xfId="23602"/>
    <cellStyle name="Comma 2 6 2 30 3 2" xfId="23603"/>
    <cellStyle name="Comma 2 6 2 30 4" xfId="23604"/>
    <cellStyle name="Comma 2 6 2 30 4 2" xfId="23605"/>
    <cellStyle name="Comma 2 6 2 30 5" xfId="23606"/>
    <cellStyle name="Comma 2 6 2 30 5 2" xfId="23607"/>
    <cellStyle name="Comma 2 6 2 30 6" xfId="23608"/>
    <cellStyle name="Comma 2 6 2 30 6 2" xfId="23609"/>
    <cellStyle name="Comma 2 6 2 30 7" xfId="23610"/>
    <cellStyle name="Comma 2 6 2 30 7 2" xfId="23611"/>
    <cellStyle name="Comma 2 6 2 30 8" xfId="23612"/>
    <cellStyle name="Comma 2 6 2 30 8 2" xfId="23613"/>
    <cellStyle name="Comma 2 6 2 30 9" xfId="23614"/>
    <cellStyle name="Comma 2 6 2 30 9 2" xfId="23615"/>
    <cellStyle name="Comma 2 6 2 31" xfId="23616"/>
    <cellStyle name="Comma 2 6 2 31 10" xfId="23617"/>
    <cellStyle name="Comma 2 6 2 31 10 2" xfId="23618"/>
    <cellStyle name="Comma 2 6 2 31 11" xfId="23619"/>
    <cellStyle name="Comma 2 6 2 31 11 2" xfId="23620"/>
    <cellStyle name="Comma 2 6 2 31 12" xfId="23621"/>
    <cellStyle name="Comma 2 6 2 31 2" xfId="23622"/>
    <cellStyle name="Comma 2 6 2 31 2 2" xfId="23623"/>
    <cellStyle name="Comma 2 6 2 31 3" xfId="23624"/>
    <cellStyle name="Comma 2 6 2 31 3 2" xfId="23625"/>
    <cellStyle name="Comma 2 6 2 31 4" xfId="23626"/>
    <cellStyle name="Comma 2 6 2 31 4 2" xfId="23627"/>
    <cellStyle name="Comma 2 6 2 31 5" xfId="23628"/>
    <cellStyle name="Comma 2 6 2 31 5 2" xfId="23629"/>
    <cellStyle name="Comma 2 6 2 31 6" xfId="23630"/>
    <cellStyle name="Comma 2 6 2 31 6 2" xfId="23631"/>
    <cellStyle name="Comma 2 6 2 31 7" xfId="23632"/>
    <cellStyle name="Comma 2 6 2 31 7 2" xfId="23633"/>
    <cellStyle name="Comma 2 6 2 31 8" xfId="23634"/>
    <cellStyle name="Comma 2 6 2 31 8 2" xfId="23635"/>
    <cellStyle name="Comma 2 6 2 31 9" xfId="23636"/>
    <cellStyle name="Comma 2 6 2 31 9 2" xfId="23637"/>
    <cellStyle name="Comma 2 6 2 32" xfId="23638"/>
    <cellStyle name="Comma 2 6 2 32 10" xfId="23639"/>
    <cellStyle name="Comma 2 6 2 32 10 2" xfId="23640"/>
    <cellStyle name="Comma 2 6 2 32 11" xfId="23641"/>
    <cellStyle name="Comma 2 6 2 32 11 2" xfId="23642"/>
    <cellStyle name="Comma 2 6 2 32 12" xfId="23643"/>
    <cellStyle name="Comma 2 6 2 32 2" xfId="23644"/>
    <cellStyle name="Comma 2 6 2 32 2 2" xfId="23645"/>
    <cellStyle name="Comma 2 6 2 32 3" xfId="23646"/>
    <cellStyle name="Comma 2 6 2 32 3 2" xfId="23647"/>
    <cellStyle name="Comma 2 6 2 32 4" xfId="23648"/>
    <cellStyle name="Comma 2 6 2 32 4 2" xfId="23649"/>
    <cellStyle name="Comma 2 6 2 32 5" xfId="23650"/>
    <cellStyle name="Comma 2 6 2 32 5 2" xfId="23651"/>
    <cellStyle name="Comma 2 6 2 32 6" xfId="23652"/>
    <cellStyle name="Comma 2 6 2 32 6 2" xfId="23653"/>
    <cellStyle name="Comma 2 6 2 32 7" xfId="23654"/>
    <cellStyle name="Comma 2 6 2 32 7 2" xfId="23655"/>
    <cellStyle name="Comma 2 6 2 32 8" xfId="23656"/>
    <cellStyle name="Comma 2 6 2 32 8 2" xfId="23657"/>
    <cellStyle name="Comma 2 6 2 32 9" xfId="23658"/>
    <cellStyle name="Comma 2 6 2 32 9 2" xfId="23659"/>
    <cellStyle name="Comma 2 6 2 33" xfId="23660"/>
    <cellStyle name="Comma 2 6 2 33 10" xfId="23661"/>
    <cellStyle name="Comma 2 6 2 33 10 2" xfId="23662"/>
    <cellStyle name="Comma 2 6 2 33 11" xfId="23663"/>
    <cellStyle name="Comma 2 6 2 33 11 2" xfId="23664"/>
    <cellStyle name="Comma 2 6 2 33 12" xfId="23665"/>
    <cellStyle name="Comma 2 6 2 33 2" xfId="23666"/>
    <cellStyle name="Comma 2 6 2 33 2 2" xfId="23667"/>
    <cellStyle name="Comma 2 6 2 33 3" xfId="23668"/>
    <cellStyle name="Comma 2 6 2 33 3 2" xfId="23669"/>
    <cellStyle name="Comma 2 6 2 33 4" xfId="23670"/>
    <cellStyle name="Comma 2 6 2 33 4 2" xfId="23671"/>
    <cellStyle name="Comma 2 6 2 33 5" xfId="23672"/>
    <cellStyle name="Comma 2 6 2 33 5 2" xfId="23673"/>
    <cellStyle name="Comma 2 6 2 33 6" xfId="23674"/>
    <cellStyle name="Comma 2 6 2 33 6 2" xfId="23675"/>
    <cellStyle name="Comma 2 6 2 33 7" xfId="23676"/>
    <cellStyle name="Comma 2 6 2 33 7 2" xfId="23677"/>
    <cellStyle name="Comma 2 6 2 33 8" xfId="23678"/>
    <cellStyle name="Comma 2 6 2 33 8 2" xfId="23679"/>
    <cellStyle name="Comma 2 6 2 33 9" xfId="23680"/>
    <cellStyle name="Comma 2 6 2 33 9 2" xfId="23681"/>
    <cellStyle name="Comma 2 6 2 34" xfId="23682"/>
    <cellStyle name="Comma 2 6 2 34 10" xfId="23683"/>
    <cellStyle name="Comma 2 6 2 34 10 2" xfId="23684"/>
    <cellStyle name="Comma 2 6 2 34 11" xfId="23685"/>
    <cellStyle name="Comma 2 6 2 34 11 2" xfId="23686"/>
    <cellStyle name="Comma 2 6 2 34 12" xfId="23687"/>
    <cellStyle name="Comma 2 6 2 34 2" xfId="23688"/>
    <cellStyle name="Comma 2 6 2 34 2 2" xfId="23689"/>
    <cellStyle name="Comma 2 6 2 34 3" xfId="23690"/>
    <cellStyle name="Comma 2 6 2 34 3 2" xfId="23691"/>
    <cellStyle name="Comma 2 6 2 34 4" xfId="23692"/>
    <cellStyle name="Comma 2 6 2 34 4 2" xfId="23693"/>
    <cellStyle name="Comma 2 6 2 34 5" xfId="23694"/>
    <cellStyle name="Comma 2 6 2 34 5 2" xfId="23695"/>
    <cellStyle name="Comma 2 6 2 34 6" xfId="23696"/>
    <cellStyle name="Comma 2 6 2 34 6 2" xfId="23697"/>
    <cellStyle name="Comma 2 6 2 34 7" xfId="23698"/>
    <cellStyle name="Comma 2 6 2 34 7 2" xfId="23699"/>
    <cellStyle name="Comma 2 6 2 34 8" xfId="23700"/>
    <cellStyle name="Comma 2 6 2 34 8 2" xfId="23701"/>
    <cellStyle name="Comma 2 6 2 34 9" xfId="23702"/>
    <cellStyle name="Comma 2 6 2 34 9 2" xfId="23703"/>
    <cellStyle name="Comma 2 6 2 35" xfId="23704"/>
    <cellStyle name="Comma 2 6 2 35 10" xfId="23705"/>
    <cellStyle name="Comma 2 6 2 35 10 2" xfId="23706"/>
    <cellStyle name="Comma 2 6 2 35 11" xfId="23707"/>
    <cellStyle name="Comma 2 6 2 35 11 2" xfId="23708"/>
    <cellStyle name="Comma 2 6 2 35 12" xfId="23709"/>
    <cellStyle name="Comma 2 6 2 35 2" xfId="23710"/>
    <cellStyle name="Comma 2 6 2 35 2 2" xfId="23711"/>
    <cellStyle name="Comma 2 6 2 35 3" xfId="23712"/>
    <cellStyle name="Comma 2 6 2 35 3 2" xfId="23713"/>
    <cellStyle name="Comma 2 6 2 35 4" xfId="23714"/>
    <cellStyle name="Comma 2 6 2 35 4 2" xfId="23715"/>
    <cellStyle name="Comma 2 6 2 35 5" xfId="23716"/>
    <cellStyle name="Comma 2 6 2 35 5 2" xfId="23717"/>
    <cellStyle name="Comma 2 6 2 35 6" xfId="23718"/>
    <cellStyle name="Comma 2 6 2 35 6 2" xfId="23719"/>
    <cellStyle name="Comma 2 6 2 35 7" xfId="23720"/>
    <cellStyle name="Comma 2 6 2 35 7 2" xfId="23721"/>
    <cellStyle name="Comma 2 6 2 35 8" xfId="23722"/>
    <cellStyle name="Comma 2 6 2 35 8 2" xfId="23723"/>
    <cellStyle name="Comma 2 6 2 35 9" xfId="23724"/>
    <cellStyle name="Comma 2 6 2 35 9 2" xfId="23725"/>
    <cellStyle name="Comma 2 6 2 36" xfId="23726"/>
    <cellStyle name="Comma 2 6 2 36 10" xfId="23727"/>
    <cellStyle name="Comma 2 6 2 36 10 2" xfId="23728"/>
    <cellStyle name="Comma 2 6 2 36 11" xfId="23729"/>
    <cellStyle name="Comma 2 6 2 36 11 2" xfId="23730"/>
    <cellStyle name="Comma 2 6 2 36 12" xfId="23731"/>
    <cellStyle name="Comma 2 6 2 36 2" xfId="23732"/>
    <cellStyle name="Comma 2 6 2 36 2 2" xfId="23733"/>
    <cellStyle name="Comma 2 6 2 36 3" xfId="23734"/>
    <cellStyle name="Comma 2 6 2 36 3 2" xfId="23735"/>
    <cellStyle name="Comma 2 6 2 36 4" xfId="23736"/>
    <cellStyle name="Comma 2 6 2 36 4 2" xfId="23737"/>
    <cellStyle name="Comma 2 6 2 36 5" xfId="23738"/>
    <cellStyle name="Comma 2 6 2 36 5 2" xfId="23739"/>
    <cellStyle name="Comma 2 6 2 36 6" xfId="23740"/>
    <cellStyle name="Comma 2 6 2 36 6 2" xfId="23741"/>
    <cellStyle name="Comma 2 6 2 36 7" xfId="23742"/>
    <cellStyle name="Comma 2 6 2 36 7 2" xfId="23743"/>
    <cellStyle name="Comma 2 6 2 36 8" xfId="23744"/>
    <cellStyle name="Comma 2 6 2 36 8 2" xfId="23745"/>
    <cellStyle name="Comma 2 6 2 36 9" xfId="23746"/>
    <cellStyle name="Comma 2 6 2 36 9 2" xfId="23747"/>
    <cellStyle name="Comma 2 6 2 37" xfId="23748"/>
    <cellStyle name="Comma 2 6 2 37 10" xfId="23749"/>
    <cellStyle name="Comma 2 6 2 37 10 2" xfId="23750"/>
    <cellStyle name="Comma 2 6 2 37 11" xfId="23751"/>
    <cellStyle name="Comma 2 6 2 37 11 2" xfId="23752"/>
    <cellStyle name="Comma 2 6 2 37 12" xfId="23753"/>
    <cellStyle name="Comma 2 6 2 37 2" xfId="23754"/>
    <cellStyle name="Comma 2 6 2 37 2 2" xfId="23755"/>
    <cellStyle name="Comma 2 6 2 37 3" xfId="23756"/>
    <cellStyle name="Comma 2 6 2 37 3 2" xfId="23757"/>
    <cellStyle name="Comma 2 6 2 37 4" xfId="23758"/>
    <cellStyle name="Comma 2 6 2 37 4 2" xfId="23759"/>
    <cellStyle name="Comma 2 6 2 37 5" xfId="23760"/>
    <cellStyle name="Comma 2 6 2 37 5 2" xfId="23761"/>
    <cellStyle name="Comma 2 6 2 37 6" xfId="23762"/>
    <cellStyle name="Comma 2 6 2 37 6 2" xfId="23763"/>
    <cellStyle name="Comma 2 6 2 37 7" xfId="23764"/>
    <cellStyle name="Comma 2 6 2 37 7 2" xfId="23765"/>
    <cellStyle name="Comma 2 6 2 37 8" xfId="23766"/>
    <cellStyle name="Comma 2 6 2 37 8 2" xfId="23767"/>
    <cellStyle name="Comma 2 6 2 37 9" xfId="23768"/>
    <cellStyle name="Comma 2 6 2 37 9 2" xfId="23769"/>
    <cellStyle name="Comma 2 6 2 38" xfId="23770"/>
    <cellStyle name="Comma 2 6 2 38 10" xfId="23771"/>
    <cellStyle name="Comma 2 6 2 38 10 2" xfId="23772"/>
    <cellStyle name="Comma 2 6 2 38 11" xfId="23773"/>
    <cellStyle name="Comma 2 6 2 38 11 2" xfId="23774"/>
    <cellStyle name="Comma 2 6 2 38 12" xfId="23775"/>
    <cellStyle name="Comma 2 6 2 38 2" xfId="23776"/>
    <cellStyle name="Comma 2 6 2 38 2 2" xfId="23777"/>
    <cellStyle name="Comma 2 6 2 38 3" xfId="23778"/>
    <cellStyle name="Comma 2 6 2 38 3 2" xfId="23779"/>
    <cellStyle name="Comma 2 6 2 38 4" xfId="23780"/>
    <cellStyle name="Comma 2 6 2 38 4 2" xfId="23781"/>
    <cellStyle name="Comma 2 6 2 38 5" xfId="23782"/>
    <cellStyle name="Comma 2 6 2 38 5 2" xfId="23783"/>
    <cellStyle name="Comma 2 6 2 38 6" xfId="23784"/>
    <cellStyle name="Comma 2 6 2 38 6 2" xfId="23785"/>
    <cellStyle name="Comma 2 6 2 38 7" xfId="23786"/>
    <cellStyle name="Comma 2 6 2 38 7 2" xfId="23787"/>
    <cellStyle name="Comma 2 6 2 38 8" xfId="23788"/>
    <cellStyle name="Comma 2 6 2 38 8 2" xfId="23789"/>
    <cellStyle name="Comma 2 6 2 38 9" xfId="23790"/>
    <cellStyle name="Comma 2 6 2 38 9 2" xfId="23791"/>
    <cellStyle name="Comma 2 6 2 39" xfId="23792"/>
    <cellStyle name="Comma 2 6 2 39 10" xfId="23793"/>
    <cellStyle name="Comma 2 6 2 39 10 2" xfId="23794"/>
    <cellStyle name="Comma 2 6 2 39 11" xfId="23795"/>
    <cellStyle name="Comma 2 6 2 39 11 2" xfId="23796"/>
    <cellStyle name="Comma 2 6 2 39 12" xfId="23797"/>
    <cellStyle name="Comma 2 6 2 39 2" xfId="23798"/>
    <cellStyle name="Comma 2 6 2 39 2 2" xfId="23799"/>
    <cellStyle name="Comma 2 6 2 39 3" xfId="23800"/>
    <cellStyle name="Comma 2 6 2 39 3 2" xfId="23801"/>
    <cellStyle name="Comma 2 6 2 39 4" xfId="23802"/>
    <cellStyle name="Comma 2 6 2 39 4 2" xfId="23803"/>
    <cellStyle name="Comma 2 6 2 39 5" xfId="23804"/>
    <cellStyle name="Comma 2 6 2 39 5 2" xfId="23805"/>
    <cellStyle name="Comma 2 6 2 39 6" xfId="23806"/>
    <cellStyle name="Comma 2 6 2 39 6 2" xfId="23807"/>
    <cellStyle name="Comma 2 6 2 39 7" xfId="23808"/>
    <cellStyle name="Comma 2 6 2 39 7 2" xfId="23809"/>
    <cellStyle name="Comma 2 6 2 39 8" xfId="23810"/>
    <cellStyle name="Comma 2 6 2 39 8 2" xfId="23811"/>
    <cellStyle name="Comma 2 6 2 39 9" xfId="23812"/>
    <cellStyle name="Comma 2 6 2 39 9 2" xfId="23813"/>
    <cellStyle name="Comma 2 6 2 4" xfId="23814"/>
    <cellStyle name="Comma 2 6 2 4 10" xfId="23815"/>
    <cellStyle name="Comma 2 6 2 4 10 2" xfId="23816"/>
    <cellStyle name="Comma 2 6 2 4 11" xfId="23817"/>
    <cellStyle name="Comma 2 6 2 4 11 2" xfId="23818"/>
    <cellStyle name="Comma 2 6 2 4 12" xfId="23819"/>
    <cellStyle name="Comma 2 6 2 4 2" xfId="23820"/>
    <cellStyle name="Comma 2 6 2 4 2 2" xfId="23821"/>
    <cellStyle name="Comma 2 6 2 4 3" xfId="23822"/>
    <cellStyle name="Comma 2 6 2 4 3 2" xfId="23823"/>
    <cellStyle name="Comma 2 6 2 4 4" xfId="23824"/>
    <cellStyle name="Comma 2 6 2 4 4 2" xfId="23825"/>
    <cellStyle name="Comma 2 6 2 4 5" xfId="23826"/>
    <cellStyle name="Comma 2 6 2 4 5 2" xfId="23827"/>
    <cellStyle name="Comma 2 6 2 4 6" xfId="23828"/>
    <cellStyle name="Comma 2 6 2 4 6 2" xfId="23829"/>
    <cellStyle name="Comma 2 6 2 4 7" xfId="23830"/>
    <cellStyle name="Comma 2 6 2 4 7 2" xfId="23831"/>
    <cellStyle name="Comma 2 6 2 4 8" xfId="23832"/>
    <cellStyle name="Comma 2 6 2 4 8 2" xfId="23833"/>
    <cellStyle name="Comma 2 6 2 4 9" xfId="23834"/>
    <cellStyle name="Comma 2 6 2 4 9 2" xfId="23835"/>
    <cellStyle name="Comma 2 6 2 40" xfId="23836"/>
    <cellStyle name="Comma 2 6 2 40 2" xfId="23837"/>
    <cellStyle name="Comma 2 6 2 41" xfId="23838"/>
    <cellStyle name="Comma 2 6 2 41 2" xfId="23839"/>
    <cellStyle name="Comma 2 6 2 42" xfId="23840"/>
    <cellStyle name="Comma 2 6 2 42 2" xfId="23841"/>
    <cellStyle name="Comma 2 6 2 43" xfId="23842"/>
    <cellStyle name="Comma 2 6 2 43 2" xfId="23843"/>
    <cellStyle name="Comma 2 6 2 44" xfId="23844"/>
    <cellStyle name="Comma 2 6 2 44 2" xfId="23845"/>
    <cellStyle name="Comma 2 6 2 45" xfId="23846"/>
    <cellStyle name="Comma 2 6 2 45 2" xfId="23847"/>
    <cellStyle name="Comma 2 6 2 46" xfId="23848"/>
    <cellStyle name="Comma 2 6 2 46 2" xfId="23849"/>
    <cellStyle name="Comma 2 6 2 47" xfId="23850"/>
    <cellStyle name="Comma 2 6 2 47 2" xfId="23851"/>
    <cellStyle name="Comma 2 6 2 48" xfId="23852"/>
    <cellStyle name="Comma 2 6 2 48 2" xfId="23853"/>
    <cellStyle name="Comma 2 6 2 49" xfId="23854"/>
    <cellStyle name="Comma 2 6 2 49 2" xfId="23855"/>
    <cellStyle name="Comma 2 6 2 5" xfId="23856"/>
    <cellStyle name="Comma 2 6 2 5 10" xfId="23857"/>
    <cellStyle name="Comma 2 6 2 5 10 2" xfId="23858"/>
    <cellStyle name="Comma 2 6 2 5 11" xfId="23859"/>
    <cellStyle name="Comma 2 6 2 5 11 2" xfId="23860"/>
    <cellStyle name="Comma 2 6 2 5 12" xfId="23861"/>
    <cellStyle name="Comma 2 6 2 5 2" xfId="23862"/>
    <cellStyle name="Comma 2 6 2 5 2 2" xfId="23863"/>
    <cellStyle name="Comma 2 6 2 5 3" xfId="23864"/>
    <cellStyle name="Comma 2 6 2 5 3 2" xfId="23865"/>
    <cellStyle name="Comma 2 6 2 5 4" xfId="23866"/>
    <cellStyle name="Comma 2 6 2 5 4 2" xfId="23867"/>
    <cellStyle name="Comma 2 6 2 5 5" xfId="23868"/>
    <cellStyle name="Comma 2 6 2 5 5 2" xfId="23869"/>
    <cellStyle name="Comma 2 6 2 5 6" xfId="23870"/>
    <cellStyle name="Comma 2 6 2 5 6 2" xfId="23871"/>
    <cellStyle name="Comma 2 6 2 5 7" xfId="23872"/>
    <cellStyle name="Comma 2 6 2 5 7 2" xfId="23873"/>
    <cellStyle name="Comma 2 6 2 5 8" xfId="23874"/>
    <cellStyle name="Comma 2 6 2 5 8 2" xfId="23875"/>
    <cellStyle name="Comma 2 6 2 5 9" xfId="23876"/>
    <cellStyle name="Comma 2 6 2 5 9 2" xfId="23877"/>
    <cellStyle name="Comma 2 6 2 50" xfId="23878"/>
    <cellStyle name="Comma 2 6 2 50 2" xfId="23879"/>
    <cellStyle name="Comma 2 6 2 51" xfId="23880"/>
    <cellStyle name="Comma 2 6 2 51 2" xfId="23881"/>
    <cellStyle name="Comma 2 6 2 52" xfId="23882"/>
    <cellStyle name="Comma 2 6 2 6" xfId="23883"/>
    <cellStyle name="Comma 2 6 2 6 10" xfId="23884"/>
    <cellStyle name="Comma 2 6 2 6 10 2" xfId="23885"/>
    <cellStyle name="Comma 2 6 2 6 11" xfId="23886"/>
    <cellStyle name="Comma 2 6 2 6 11 2" xfId="23887"/>
    <cellStyle name="Comma 2 6 2 6 12" xfId="23888"/>
    <cellStyle name="Comma 2 6 2 6 2" xfId="23889"/>
    <cellStyle name="Comma 2 6 2 6 2 2" xfId="23890"/>
    <cellStyle name="Comma 2 6 2 6 3" xfId="23891"/>
    <cellStyle name="Comma 2 6 2 6 3 2" xfId="23892"/>
    <cellStyle name="Comma 2 6 2 6 4" xfId="23893"/>
    <cellStyle name="Comma 2 6 2 6 4 2" xfId="23894"/>
    <cellStyle name="Comma 2 6 2 6 5" xfId="23895"/>
    <cellStyle name="Comma 2 6 2 6 5 2" xfId="23896"/>
    <cellStyle name="Comma 2 6 2 6 6" xfId="23897"/>
    <cellStyle name="Comma 2 6 2 6 6 2" xfId="23898"/>
    <cellStyle name="Comma 2 6 2 6 7" xfId="23899"/>
    <cellStyle name="Comma 2 6 2 6 7 2" xfId="23900"/>
    <cellStyle name="Comma 2 6 2 6 8" xfId="23901"/>
    <cellStyle name="Comma 2 6 2 6 8 2" xfId="23902"/>
    <cellStyle name="Comma 2 6 2 6 9" xfId="23903"/>
    <cellStyle name="Comma 2 6 2 6 9 2" xfId="23904"/>
    <cellStyle name="Comma 2 6 2 7" xfId="23905"/>
    <cellStyle name="Comma 2 6 2 7 10" xfId="23906"/>
    <cellStyle name="Comma 2 6 2 7 10 2" xfId="23907"/>
    <cellStyle name="Comma 2 6 2 7 11" xfId="23908"/>
    <cellStyle name="Comma 2 6 2 7 11 2" xfId="23909"/>
    <cellStyle name="Comma 2 6 2 7 12" xfId="23910"/>
    <cellStyle name="Comma 2 6 2 7 2" xfId="23911"/>
    <cellStyle name="Comma 2 6 2 7 2 2" xfId="23912"/>
    <cellStyle name="Comma 2 6 2 7 3" xfId="23913"/>
    <cellStyle name="Comma 2 6 2 7 3 2" xfId="23914"/>
    <cellStyle name="Comma 2 6 2 7 4" xfId="23915"/>
    <cellStyle name="Comma 2 6 2 7 4 2" xfId="23916"/>
    <cellStyle name="Comma 2 6 2 7 5" xfId="23917"/>
    <cellStyle name="Comma 2 6 2 7 5 2" xfId="23918"/>
    <cellStyle name="Comma 2 6 2 7 6" xfId="23919"/>
    <cellStyle name="Comma 2 6 2 7 6 2" xfId="23920"/>
    <cellStyle name="Comma 2 6 2 7 7" xfId="23921"/>
    <cellStyle name="Comma 2 6 2 7 7 2" xfId="23922"/>
    <cellStyle name="Comma 2 6 2 7 8" xfId="23923"/>
    <cellStyle name="Comma 2 6 2 7 8 2" xfId="23924"/>
    <cellStyle name="Comma 2 6 2 7 9" xfId="23925"/>
    <cellStyle name="Comma 2 6 2 7 9 2" xfId="23926"/>
    <cellStyle name="Comma 2 6 2 8" xfId="23927"/>
    <cellStyle name="Comma 2 6 2 8 10" xfId="23928"/>
    <cellStyle name="Comma 2 6 2 8 10 2" xfId="23929"/>
    <cellStyle name="Comma 2 6 2 8 11" xfId="23930"/>
    <cellStyle name="Comma 2 6 2 8 11 2" xfId="23931"/>
    <cellStyle name="Comma 2 6 2 8 12" xfId="23932"/>
    <cellStyle name="Comma 2 6 2 8 2" xfId="23933"/>
    <cellStyle name="Comma 2 6 2 8 2 2" xfId="23934"/>
    <cellStyle name="Comma 2 6 2 8 3" xfId="23935"/>
    <cellStyle name="Comma 2 6 2 8 3 2" xfId="23936"/>
    <cellStyle name="Comma 2 6 2 8 4" xfId="23937"/>
    <cellStyle name="Comma 2 6 2 8 4 2" xfId="23938"/>
    <cellStyle name="Comma 2 6 2 8 5" xfId="23939"/>
    <cellStyle name="Comma 2 6 2 8 5 2" xfId="23940"/>
    <cellStyle name="Comma 2 6 2 8 6" xfId="23941"/>
    <cellStyle name="Comma 2 6 2 8 6 2" xfId="23942"/>
    <cellStyle name="Comma 2 6 2 8 7" xfId="23943"/>
    <cellStyle name="Comma 2 6 2 8 7 2" xfId="23944"/>
    <cellStyle name="Comma 2 6 2 8 8" xfId="23945"/>
    <cellStyle name="Comma 2 6 2 8 8 2" xfId="23946"/>
    <cellStyle name="Comma 2 6 2 8 9" xfId="23947"/>
    <cellStyle name="Comma 2 6 2 8 9 2" xfId="23948"/>
    <cellStyle name="Comma 2 6 2 9" xfId="23949"/>
    <cellStyle name="Comma 2 6 2 9 10" xfId="23950"/>
    <cellStyle name="Comma 2 6 2 9 10 2" xfId="23951"/>
    <cellStyle name="Comma 2 6 2 9 11" xfId="23952"/>
    <cellStyle name="Comma 2 6 2 9 11 2" xfId="23953"/>
    <cellStyle name="Comma 2 6 2 9 12" xfId="23954"/>
    <cellStyle name="Comma 2 6 2 9 2" xfId="23955"/>
    <cellStyle name="Comma 2 6 2 9 2 2" xfId="23956"/>
    <cellStyle name="Comma 2 6 2 9 3" xfId="23957"/>
    <cellStyle name="Comma 2 6 2 9 3 2" xfId="23958"/>
    <cellStyle name="Comma 2 6 2 9 4" xfId="23959"/>
    <cellStyle name="Comma 2 6 2 9 4 2" xfId="23960"/>
    <cellStyle name="Comma 2 6 2 9 5" xfId="23961"/>
    <cellStyle name="Comma 2 6 2 9 5 2" xfId="23962"/>
    <cellStyle name="Comma 2 6 2 9 6" xfId="23963"/>
    <cellStyle name="Comma 2 6 2 9 6 2" xfId="23964"/>
    <cellStyle name="Comma 2 6 2 9 7" xfId="23965"/>
    <cellStyle name="Comma 2 6 2 9 7 2" xfId="23966"/>
    <cellStyle name="Comma 2 6 2 9 8" xfId="23967"/>
    <cellStyle name="Comma 2 6 2 9 8 2" xfId="23968"/>
    <cellStyle name="Comma 2 6 2 9 9" xfId="23969"/>
    <cellStyle name="Comma 2 6 2 9 9 2" xfId="23970"/>
    <cellStyle name="Comma 2 6 20" xfId="23971"/>
    <cellStyle name="Comma 2 6 20 10" xfId="23972"/>
    <cellStyle name="Comma 2 6 20 10 2" xfId="23973"/>
    <cellStyle name="Comma 2 6 20 11" xfId="23974"/>
    <cellStyle name="Comma 2 6 20 11 2" xfId="23975"/>
    <cellStyle name="Comma 2 6 20 12" xfId="23976"/>
    <cellStyle name="Comma 2 6 20 2" xfId="23977"/>
    <cellStyle name="Comma 2 6 20 2 2" xfId="23978"/>
    <cellStyle name="Comma 2 6 20 3" xfId="23979"/>
    <cellStyle name="Comma 2 6 20 3 2" xfId="23980"/>
    <cellStyle name="Comma 2 6 20 4" xfId="23981"/>
    <cellStyle name="Comma 2 6 20 4 2" xfId="23982"/>
    <cellStyle name="Comma 2 6 20 5" xfId="23983"/>
    <cellStyle name="Comma 2 6 20 5 2" xfId="23984"/>
    <cellStyle name="Comma 2 6 20 6" xfId="23985"/>
    <cellStyle name="Comma 2 6 20 6 2" xfId="23986"/>
    <cellStyle name="Comma 2 6 20 7" xfId="23987"/>
    <cellStyle name="Comma 2 6 20 7 2" xfId="23988"/>
    <cellStyle name="Comma 2 6 20 8" xfId="23989"/>
    <cellStyle name="Comma 2 6 20 8 2" xfId="23990"/>
    <cellStyle name="Comma 2 6 20 9" xfId="23991"/>
    <cellStyle name="Comma 2 6 20 9 2" xfId="23992"/>
    <cellStyle name="Comma 2 6 21" xfId="23993"/>
    <cellStyle name="Comma 2 6 21 10" xfId="23994"/>
    <cellStyle name="Comma 2 6 21 10 2" xfId="23995"/>
    <cellStyle name="Comma 2 6 21 11" xfId="23996"/>
    <cellStyle name="Comma 2 6 21 11 2" xfId="23997"/>
    <cellStyle name="Comma 2 6 21 12" xfId="23998"/>
    <cellStyle name="Comma 2 6 21 2" xfId="23999"/>
    <cellStyle name="Comma 2 6 21 2 2" xfId="24000"/>
    <cellStyle name="Comma 2 6 21 3" xfId="24001"/>
    <cellStyle name="Comma 2 6 21 3 2" xfId="24002"/>
    <cellStyle name="Comma 2 6 21 4" xfId="24003"/>
    <cellStyle name="Comma 2 6 21 4 2" xfId="24004"/>
    <cellStyle name="Comma 2 6 21 5" xfId="24005"/>
    <cellStyle name="Comma 2 6 21 5 2" xfId="24006"/>
    <cellStyle name="Comma 2 6 21 6" xfId="24007"/>
    <cellStyle name="Comma 2 6 21 6 2" xfId="24008"/>
    <cellStyle name="Comma 2 6 21 7" xfId="24009"/>
    <cellStyle name="Comma 2 6 21 7 2" xfId="24010"/>
    <cellStyle name="Comma 2 6 21 8" xfId="24011"/>
    <cellStyle name="Comma 2 6 21 8 2" xfId="24012"/>
    <cellStyle name="Comma 2 6 21 9" xfId="24013"/>
    <cellStyle name="Comma 2 6 21 9 2" xfId="24014"/>
    <cellStyle name="Comma 2 6 22" xfId="24015"/>
    <cellStyle name="Comma 2 6 22 10" xfId="24016"/>
    <cellStyle name="Comma 2 6 22 10 2" xfId="24017"/>
    <cellStyle name="Comma 2 6 22 11" xfId="24018"/>
    <cellStyle name="Comma 2 6 22 11 2" xfId="24019"/>
    <cellStyle name="Comma 2 6 22 12" xfId="24020"/>
    <cellStyle name="Comma 2 6 22 2" xfId="24021"/>
    <cellStyle name="Comma 2 6 22 2 2" xfId="24022"/>
    <cellStyle name="Comma 2 6 22 3" xfId="24023"/>
    <cellStyle name="Comma 2 6 22 3 2" xfId="24024"/>
    <cellStyle name="Comma 2 6 22 4" xfId="24025"/>
    <cellStyle name="Comma 2 6 22 4 2" xfId="24026"/>
    <cellStyle name="Comma 2 6 22 5" xfId="24027"/>
    <cellStyle name="Comma 2 6 22 5 2" xfId="24028"/>
    <cellStyle name="Comma 2 6 22 6" xfId="24029"/>
    <cellStyle name="Comma 2 6 22 6 2" xfId="24030"/>
    <cellStyle name="Comma 2 6 22 7" xfId="24031"/>
    <cellStyle name="Comma 2 6 22 7 2" xfId="24032"/>
    <cellStyle name="Comma 2 6 22 8" xfId="24033"/>
    <cellStyle name="Comma 2 6 22 8 2" xfId="24034"/>
    <cellStyle name="Comma 2 6 22 9" xfId="24035"/>
    <cellStyle name="Comma 2 6 22 9 2" xfId="24036"/>
    <cellStyle name="Comma 2 6 23" xfId="24037"/>
    <cellStyle name="Comma 2 6 23 10" xfId="24038"/>
    <cellStyle name="Comma 2 6 23 10 2" xfId="24039"/>
    <cellStyle name="Comma 2 6 23 11" xfId="24040"/>
    <cellStyle name="Comma 2 6 23 11 2" xfId="24041"/>
    <cellStyle name="Comma 2 6 23 12" xfId="24042"/>
    <cellStyle name="Comma 2 6 23 2" xfId="24043"/>
    <cellStyle name="Comma 2 6 23 2 2" xfId="24044"/>
    <cellStyle name="Comma 2 6 23 3" xfId="24045"/>
    <cellStyle name="Comma 2 6 23 3 2" xfId="24046"/>
    <cellStyle name="Comma 2 6 23 4" xfId="24047"/>
    <cellStyle name="Comma 2 6 23 4 2" xfId="24048"/>
    <cellStyle name="Comma 2 6 23 5" xfId="24049"/>
    <cellStyle name="Comma 2 6 23 5 2" xfId="24050"/>
    <cellStyle name="Comma 2 6 23 6" xfId="24051"/>
    <cellStyle name="Comma 2 6 23 6 2" xfId="24052"/>
    <cellStyle name="Comma 2 6 23 7" xfId="24053"/>
    <cellStyle name="Comma 2 6 23 7 2" xfId="24054"/>
    <cellStyle name="Comma 2 6 23 8" xfId="24055"/>
    <cellStyle name="Comma 2 6 23 8 2" xfId="24056"/>
    <cellStyle name="Comma 2 6 23 9" xfId="24057"/>
    <cellStyle name="Comma 2 6 23 9 2" xfId="24058"/>
    <cellStyle name="Comma 2 6 24" xfId="24059"/>
    <cellStyle name="Comma 2 6 24 10" xfId="24060"/>
    <cellStyle name="Comma 2 6 24 10 2" xfId="24061"/>
    <cellStyle name="Comma 2 6 24 11" xfId="24062"/>
    <cellStyle name="Comma 2 6 24 11 2" xfId="24063"/>
    <cellStyle name="Comma 2 6 24 12" xfId="24064"/>
    <cellStyle name="Comma 2 6 24 2" xfId="24065"/>
    <cellStyle name="Comma 2 6 24 2 2" xfId="24066"/>
    <cellStyle name="Comma 2 6 24 3" xfId="24067"/>
    <cellStyle name="Comma 2 6 24 3 2" xfId="24068"/>
    <cellStyle name="Comma 2 6 24 4" xfId="24069"/>
    <cellStyle name="Comma 2 6 24 4 2" xfId="24070"/>
    <cellStyle name="Comma 2 6 24 5" xfId="24071"/>
    <cellStyle name="Comma 2 6 24 5 2" xfId="24072"/>
    <cellStyle name="Comma 2 6 24 6" xfId="24073"/>
    <cellStyle name="Comma 2 6 24 6 2" xfId="24074"/>
    <cellStyle name="Comma 2 6 24 7" xfId="24075"/>
    <cellStyle name="Comma 2 6 24 7 2" xfId="24076"/>
    <cellStyle name="Comma 2 6 24 8" xfId="24077"/>
    <cellStyle name="Comma 2 6 24 8 2" xfId="24078"/>
    <cellStyle name="Comma 2 6 24 9" xfId="24079"/>
    <cellStyle name="Comma 2 6 24 9 2" xfId="24080"/>
    <cellStyle name="Comma 2 6 25" xfId="24081"/>
    <cellStyle name="Comma 2 6 25 10" xfId="24082"/>
    <cellStyle name="Comma 2 6 25 10 2" xfId="24083"/>
    <cellStyle name="Comma 2 6 25 11" xfId="24084"/>
    <cellStyle name="Comma 2 6 25 11 2" xfId="24085"/>
    <cellStyle name="Comma 2 6 25 12" xfId="24086"/>
    <cellStyle name="Comma 2 6 25 2" xfId="24087"/>
    <cellStyle name="Comma 2 6 25 2 2" xfId="24088"/>
    <cellStyle name="Comma 2 6 25 3" xfId="24089"/>
    <cellStyle name="Comma 2 6 25 3 2" xfId="24090"/>
    <cellStyle name="Comma 2 6 25 4" xfId="24091"/>
    <cellStyle name="Comma 2 6 25 4 2" xfId="24092"/>
    <cellStyle name="Comma 2 6 25 5" xfId="24093"/>
    <cellStyle name="Comma 2 6 25 5 2" xfId="24094"/>
    <cellStyle name="Comma 2 6 25 6" xfId="24095"/>
    <cellStyle name="Comma 2 6 25 6 2" xfId="24096"/>
    <cellStyle name="Comma 2 6 25 7" xfId="24097"/>
    <cellStyle name="Comma 2 6 25 7 2" xfId="24098"/>
    <cellStyle name="Comma 2 6 25 8" xfId="24099"/>
    <cellStyle name="Comma 2 6 25 8 2" xfId="24100"/>
    <cellStyle name="Comma 2 6 25 9" xfId="24101"/>
    <cellStyle name="Comma 2 6 25 9 2" xfId="24102"/>
    <cellStyle name="Comma 2 6 26" xfId="24103"/>
    <cellStyle name="Comma 2 6 26 10" xfId="24104"/>
    <cellStyle name="Comma 2 6 26 10 2" xfId="24105"/>
    <cellStyle name="Comma 2 6 26 11" xfId="24106"/>
    <cellStyle name="Comma 2 6 26 11 2" xfId="24107"/>
    <cellStyle name="Comma 2 6 26 12" xfId="24108"/>
    <cellStyle name="Comma 2 6 26 2" xfId="24109"/>
    <cellStyle name="Comma 2 6 26 2 2" xfId="24110"/>
    <cellStyle name="Comma 2 6 26 3" xfId="24111"/>
    <cellStyle name="Comma 2 6 26 3 2" xfId="24112"/>
    <cellStyle name="Comma 2 6 26 4" xfId="24113"/>
    <cellStyle name="Comma 2 6 26 4 2" xfId="24114"/>
    <cellStyle name="Comma 2 6 26 5" xfId="24115"/>
    <cellStyle name="Comma 2 6 26 5 2" xfId="24116"/>
    <cellStyle name="Comma 2 6 26 6" xfId="24117"/>
    <cellStyle name="Comma 2 6 26 6 2" xfId="24118"/>
    <cellStyle name="Comma 2 6 26 7" xfId="24119"/>
    <cellStyle name="Comma 2 6 26 7 2" xfId="24120"/>
    <cellStyle name="Comma 2 6 26 8" xfId="24121"/>
    <cellStyle name="Comma 2 6 26 8 2" xfId="24122"/>
    <cellStyle name="Comma 2 6 26 9" xfId="24123"/>
    <cellStyle name="Comma 2 6 26 9 2" xfId="24124"/>
    <cellStyle name="Comma 2 6 27" xfId="24125"/>
    <cellStyle name="Comma 2 6 27 10" xfId="24126"/>
    <cellStyle name="Comma 2 6 27 10 2" xfId="24127"/>
    <cellStyle name="Comma 2 6 27 11" xfId="24128"/>
    <cellStyle name="Comma 2 6 27 11 2" xfId="24129"/>
    <cellStyle name="Comma 2 6 27 12" xfId="24130"/>
    <cellStyle name="Comma 2 6 27 2" xfId="24131"/>
    <cellStyle name="Comma 2 6 27 2 2" xfId="24132"/>
    <cellStyle name="Comma 2 6 27 3" xfId="24133"/>
    <cellStyle name="Comma 2 6 27 3 2" xfId="24134"/>
    <cellStyle name="Comma 2 6 27 4" xfId="24135"/>
    <cellStyle name="Comma 2 6 27 4 2" xfId="24136"/>
    <cellStyle name="Comma 2 6 27 5" xfId="24137"/>
    <cellStyle name="Comma 2 6 27 5 2" xfId="24138"/>
    <cellStyle name="Comma 2 6 27 6" xfId="24139"/>
    <cellStyle name="Comma 2 6 27 6 2" xfId="24140"/>
    <cellStyle name="Comma 2 6 27 7" xfId="24141"/>
    <cellStyle name="Comma 2 6 27 7 2" xfId="24142"/>
    <cellStyle name="Comma 2 6 27 8" xfId="24143"/>
    <cellStyle name="Comma 2 6 27 8 2" xfId="24144"/>
    <cellStyle name="Comma 2 6 27 9" xfId="24145"/>
    <cellStyle name="Comma 2 6 27 9 2" xfId="24146"/>
    <cellStyle name="Comma 2 6 28" xfId="24147"/>
    <cellStyle name="Comma 2 6 28 10" xfId="24148"/>
    <cellStyle name="Comma 2 6 28 10 2" xfId="24149"/>
    <cellStyle name="Comma 2 6 28 11" xfId="24150"/>
    <cellStyle name="Comma 2 6 28 11 2" xfId="24151"/>
    <cellStyle name="Comma 2 6 28 12" xfId="24152"/>
    <cellStyle name="Comma 2 6 28 2" xfId="24153"/>
    <cellStyle name="Comma 2 6 28 2 2" xfId="24154"/>
    <cellStyle name="Comma 2 6 28 3" xfId="24155"/>
    <cellStyle name="Comma 2 6 28 3 2" xfId="24156"/>
    <cellStyle name="Comma 2 6 28 4" xfId="24157"/>
    <cellStyle name="Comma 2 6 28 4 2" xfId="24158"/>
    <cellStyle name="Comma 2 6 28 5" xfId="24159"/>
    <cellStyle name="Comma 2 6 28 5 2" xfId="24160"/>
    <cellStyle name="Comma 2 6 28 6" xfId="24161"/>
    <cellStyle name="Comma 2 6 28 6 2" xfId="24162"/>
    <cellStyle name="Comma 2 6 28 7" xfId="24163"/>
    <cellStyle name="Comma 2 6 28 7 2" xfId="24164"/>
    <cellStyle name="Comma 2 6 28 8" xfId="24165"/>
    <cellStyle name="Comma 2 6 28 8 2" xfId="24166"/>
    <cellStyle name="Comma 2 6 28 9" xfId="24167"/>
    <cellStyle name="Comma 2 6 28 9 2" xfId="24168"/>
    <cellStyle name="Comma 2 6 29" xfId="24169"/>
    <cellStyle name="Comma 2 6 29 10" xfId="24170"/>
    <cellStyle name="Comma 2 6 29 10 2" xfId="24171"/>
    <cellStyle name="Comma 2 6 29 11" xfId="24172"/>
    <cellStyle name="Comma 2 6 29 11 2" xfId="24173"/>
    <cellStyle name="Comma 2 6 29 12" xfId="24174"/>
    <cellStyle name="Comma 2 6 29 2" xfId="24175"/>
    <cellStyle name="Comma 2 6 29 2 2" xfId="24176"/>
    <cellStyle name="Comma 2 6 29 3" xfId="24177"/>
    <cellStyle name="Comma 2 6 29 3 2" xfId="24178"/>
    <cellStyle name="Comma 2 6 29 4" xfId="24179"/>
    <cellStyle name="Comma 2 6 29 4 2" xfId="24180"/>
    <cellStyle name="Comma 2 6 29 5" xfId="24181"/>
    <cellStyle name="Comma 2 6 29 5 2" xfId="24182"/>
    <cellStyle name="Comma 2 6 29 6" xfId="24183"/>
    <cellStyle name="Comma 2 6 29 6 2" xfId="24184"/>
    <cellStyle name="Comma 2 6 29 7" xfId="24185"/>
    <cellStyle name="Comma 2 6 29 7 2" xfId="24186"/>
    <cellStyle name="Comma 2 6 29 8" xfId="24187"/>
    <cellStyle name="Comma 2 6 29 8 2" xfId="24188"/>
    <cellStyle name="Comma 2 6 29 9" xfId="24189"/>
    <cellStyle name="Comma 2 6 29 9 2" xfId="24190"/>
    <cellStyle name="Comma 2 6 3" xfId="24191"/>
    <cellStyle name="Comma 2 6 3 10" xfId="24192"/>
    <cellStyle name="Comma 2 6 3 10 10" xfId="24193"/>
    <cellStyle name="Comma 2 6 3 10 10 2" xfId="24194"/>
    <cellStyle name="Comma 2 6 3 10 11" xfId="24195"/>
    <cellStyle name="Comma 2 6 3 10 11 2" xfId="24196"/>
    <cellStyle name="Comma 2 6 3 10 12" xfId="24197"/>
    <cellStyle name="Comma 2 6 3 10 2" xfId="24198"/>
    <cellStyle name="Comma 2 6 3 10 2 2" xfId="24199"/>
    <cellStyle name="Comma 2 6 3 10 3" xfId="24200"/>
    <cellStyle name="Comma 2 6 3 10 3 2" xfId="24201"/>
    <cellStyle name="Comma 2 6 3 10 4" xfId="24202"/>
    <cellStyle name="Comma 2 6 3 10 4 2" xfId="24203"/>
    <cellStyle name="Comma 2 6 3 10 5" xfId="24204"/>
    <cellStyle name="Comma 2 6 3 10 5 2" xfId="24205"/>
    <cellStyle name="Comma 2 6 3 10 6" xfId="24206"/>
    <cellStyle name="Comma 2 6 3 10 6 2" xfId="24207"/>
    <cellStyle name="Comma 2 6 3 10 7" xfId="24208"/>
    <cellStyle name="Comma 2 6 3 10 7 2" xfId="24209"/>
    <cellStyle name="Comma 2 6 3 10 8" xfId="24210"/>
    <cellStyle name="Comma 2 6 3 10 8 2" xfId="24211"/>
    <cellStyle name="Comma 2 6 3 10 9" xfId="24212"/>
    <cellStyle name="Comma 2 6 3 10 9 2" xfId="24213"/>
    <cellStyle name="Comma 2 6 3 11" xfId="24214"/>
    <cellStyle name="Comma 2 6 3 11 10" xfId="24215"/>
    <cellStyle name="Comma 2 6 3 11 10 2" xfId="24216"/>
    <cellStyle name="Comma 2 6 3 11 11" xfId="24217"/>
    <cellStyle name="Comma 2 6 3 11 11 2" xfId="24218"/>
    <cellStyle name="Comma 2 6 3 11 12" xfId="24219"/>
    <cellStyle name="Comma 2 6 3 11 2" xfId="24220"/>
    <cellStyle name="Comma 2 6 3 11 2 2" xfId="24221"/>
    <cellStyle name="Comma 2 6 3 11 3" xfId="24222"/>
    <cellStyle name="Comma 2 6 3 11 3 2" xfId="24223"/>
    <cellStyle name="Comma 2 6 3 11 4" xfId="24224"/>
    <cellStyle name="Comma 2 6 3 11 4 2" xfId="24225"/>
    <cellStyle name="Comma 2 6 3 11 5" xfId="24226"/>
    <cellStyle name="Comma 2 6 3 11 5 2" xfId="24227"/>
    <cellStyle name="Comma 2 6 3 11 6" xfId="24228"/>
    <cellStyle name="Comma 2 6 3 11 6 2" xfId="24229"/>
    <cellStyle name="Comma 2 6 3 11 7" xfId="24230"/>
    <cellStyle name="Comma 2 6 3 11 7 2" xfId="24231"/>
    <cellStyle name="Comma 2 6 3 11 8" xfId="24232"/>
    <cellStyle name="Comma 2 6 3 11 8 2" xfId="24233"/>
    <cellStyle name="Comma 2 6 3 11 9" xfId="24234"/>
    <cellStyle name="Comma 2 6 3 11 9 2" xfId="24235"/>
    <cellStyle name="Comma 2 6 3 12" xfId="24236"/>
    <cellStyle name="Comma 2 6 3 12 10" xfId="24237"/>
    <cellStyle name="Comma 2 6 3 12 10 2" xfId="24238"/>
    <cellStyle name="Comma 2 6 3 12 11" xfId="24239"/>
    <cellStyle name="Comma 2 6 3 12 11 2" xfId="24240"/>
    <cellStyle name="Comma 2 6 3 12 12" xfId="24241"/>
    <cellStyle name="Comma 2 6 3 12 2" xfId="24242"/>
    <cellStyle name="Comma 2 6 3 12 2 2" xfId="24243"/>
    <cellStyle name="Comma 2 6 3 12 3" xfId="24244"/>
    <cellStyle name="Comma 2 6 3 12 3 2" xfId="24245"/>
    <cellStyle name="Comma 2 6 3 12 4" xfId="24246"/>
    <cellStyle name="Comma 2 6 3 12 4 2" xfId="24247"/>
    <cellStyle name="Comma 2 6 3 12 5" xfId="24248"/>
    <cellStyle name="Comma 2 6 3 12 5 2" xfId="24249"/>
    <cellStyle name="Comma 2 6 3 12 6" xfId="24250"/>
    <cellStyle name="Comma 2 6 3 12 6 2" xfId="24251"/>
    <cellStyle name="Comma 2 6 3 12 7" xfId="24252"/>
    <cellStyle name="Comma 2 6 3 12 7 2" xfId="24253"/>
    <cellStyle name="Comma 2 6 3 12 8" xfId="24254"/>
    <cellStyle name="Comma 2 6 3 12 8 2" xfId="24255"/>
    <cellStyle name="Comma 2 6 3 12 9" xfId="24256"/>
    <cellStyle name="Comma 2 6 3 12 9 2" xfId="24257"/>
    <cellStyle name="Comma 2 6 3 13" xfId="24258"/>
    <cellStyle name="Comma 2 6 3 13 10" xfId="24259"/>
    <cellStyle name="Comma 2 6 3 13 10 2" xfId="24260"/>
    <cellStyle name="Comma 2 6 3 13 11" xfId="24261"/>
    <cellStyle name="Comma 2 6 3 13 11 2" xfId="24262"/>
    <cellStyle name="Comma 2 6 3 13 12" xfId="24263"/>
    <cellStyle name="Comma 2 6 3 13 2" xfId="24264"/>
    <cellStyle name="Comma 2 6 3 13 2 2" xfId="24265"/>
    <cellStyle name="Comma 2 6 3 13 3" xfId="24266"/>
    <cellStyle name="Comma 2 6 3 13 3 2" xfId="24267"/>
    <cellStyle name="Comma 2 6 3 13 4" xfId="24268"/>
    <cellStyle name="Comma 2 6 3 13 4 2" xfId="24269"/>
    <cellStyle name="Comma 2 6 3 13 5" xfId="24270"/>
    <cellStyle name="Comma 2 6 3 13 5 2" xfId="24271"/>
    <cellStyle name="Comma 2 6 3 13 6" xfId="24272"/>
    <cellStyle name="Comma 2 6 3 13 6 2" xfId="24273"/>
    <cellStyle name="Comma 2 6 3 13 7" xfId="24274"/>
    <cellStyle name="Comma 2 6 3 13 7 2" xfId="24275"/>
    <cellStyle name="Comma 2 6 3 13 8" xfId="24276"/>
    <cellStyle name="Comma 2 6 3 13 8 2" xfId="24277"/>
    <cellStyle name="Comma 2 6 3 13 9" xfId="24278"/>
    <cellStyle name="Comma 2 6 3 13 9 2" xfId="24279"/>
    <cellStyle name="Comma 2 6 3 14" xfId="24280"/>
    <cellStyle name="Comma 2 6 3 14 10" xfId="24281"/>
    <cellStyle name="Comma 2 6 3 14 10 2" xfId="24282"/>
    <cellStyle name="Comma 2 6 3 14 11" xfId="24283"/>
    <cellStyle name="Comma 2 6 3 14 11 2" xfId="24284"/>
    <cellStyle name="Comma 2 6 3 14 12" xfId="24285"/>
    <cellStyle name="Comma 2 6 3 14 2" xfId="24286"/>
    <cellStyle name="Comma 2 6 3 14 2 2" xfId="24287"/>
    <cellStyle name="Comma 2 6 3 14 3" xfId="24288"/>
    <cellStyle name="Comma 2 6 3 14 3 2" xfId="24289"/>
    <cellStyle name="Comma 2 6 3 14 4" xfId="24290"/>
    <cellStyle name="Comma 2 6 3 14 4 2" xfId="24291"/>
    <cellStyle name="Comma 2 6 3 14 5" xfId="24292"/>
    <cellStyle name="Comma 2 6 3 14 5 2" xfId="24293"/>
    <cellStyle name="Comma 2 6 3 14 6" xfId="24294"/>
    <cellStyle name="Comma 2 6 3 14 6 2" xfId="24295"/>
    <cellStyle name="Comma 2 6 3 14 7" xfId="24296"/>
    <cellStyle name="Comma 2 6 3 14 7 2" xfId="24297"/>
    <cellStyle name="Comma 2 6 3 14 8" xfId="24298"/>
    <cellStyle name="Comma 2 6 3 14 8 2" xfId="24299"/>
    <cellStyle name="Comma 2 6 3 14 9" xfId="24300"/>
    <cellStyle name="Comma 2 6 3 14 9 2" xfId="24301"/>
    <cellStyle name="Comma 2 6 3 15" xfId="24302"/>
    <cellStyle name="Comma 2 6 3 15 10" xfId="24303"/>
    <cellStyle name="Comma 2 6 3 15 10 2" xfId="24304"/>
    <cellStyle name="Comma 2 6 3 15 11" xfId="24305"/>
    <cellStyle name="Comma 2 6 3 15 11 2" xfId="24306"/>
    <cellStyle name="Comma 2 6 3 15 12" xfId="24307"/>
    <cellStyle name="Comma 2 6 3 15 2" xfId="24308"/>
    <cellStyle name="Comma 2 6 3 15 2 2" xfId="24309"/>
    <cellStyle name="Comma 2 6 3 15 3" xfId="24310"/>
    <cellStyle name="Comma 2 6 3 15 3 2" xfId="24311"/>
    <cellStyle name="Comma 2 6 3 15 4" xfId="24312"/>
    <cellStyle name="Comma 2 6 3 15 4 2" xfId="24313"/>
    <cellStyle name="Comma 2 6 3 15 5" xfId="24314"/>
    <cellStyle name="Comma 2 6 3 15 5 2" xfId="24315"/>
    <cellStyle name="Comma 2 6 3 15 6" xfId="24316"/>
    <cellStyle name="Comma 2 6 3 15 6 2" xfId="24317"/>
    <cellStyle name="Comma 2 6 3 15 7" xfId="24318"/>
    <cellStyle name="Comma 2 6 3 15 7 2" xfId="24319"/>
    <cellStyle name="Comma 2 6 3 15 8" xfId="24320"/>
    <cellStyle name="Comma 2 6 3 15 8 2" xfId="24321"/>
    <cellStyle name="Comma 2 6 3 15 9" xfId="24322"/>
    <cellStyle name="Comma 2 6 3 15 9 2" xfId="24323"/>
    <cellStyle name="Comma 2 6 3 16" xfId="24324"/>
    <cellStyle name="Comma 2 6 3 16 10" xfId="24325"/>
    <cellStyle name="Comma 2 6 3 16 10 2" xfId="24326"/>
    <cellStyle name="Comma 2 6 3 16 11" xfId="24327"/>
    <cellStyle name="Comma 2 6 3 16 11 2" xfId="24328"/>
    <cellStyle name="Comma 2 6 3 16 12" xfId="24329"/>
    <cellStyle name="Comma 2 6 3 16 2" xfId="24330"/>
    <cellStyle name="Comma 2 6 3 16 2 2" xfId="24331"/>
    <cellStyle name="Comma 2 6 3 16 3" xfId="24332"/>
    <cellStyle name="Comma 2 6 3 16 3 2" xfId="24333"/>
    <cellStyle name="Comma 2 6 3 16 4" xfId="24334"/>
    <cellStyle name="Comma 2 6 3 16 4 2" xfId="24335"/>
    <cellStyle name="Comma 2 6 3 16 5" xfId="24336"/>
    <cellStyle name="Comma 2 6 3 16 5 2" xfId="24337"/>
    <cellStyle name="Comma 2 6 3 16 6" xfId="24338"/>
    <cellStyle name="Comma 2 6 3 16 6 2" xfId="24339"/>
    <cellStyle name="Comma 2 6 3 16 7" xfId="24340"/>
    <cellStyle name="Comma 2 6 3 16 7 2" xfId="24341"/>
    <cellStyle name="Comma 2 6 3 16 8" xfId="24342"/>
    <cellStyle name="Comma 2 6 3 16 8 2" xfId="24343"/>
    <cellStyle name="Comma 2 6 3 16 9" xfId="24344"/>
    <cellStyle name="Comma 2 6 3 16 9 2" xfId="24345"/>
    <cellStyle name="Comma 2 6 3 17" xfId="24346"/>
    <cellStyle name="Comma 2 6 3 17 10" xfId="24347"/>
    <cellStyle name="Comma 2 6 3 17 10 2" xfId="24348"/>
    <cellStyle name="Comma 2 6 3 17 11" xfId="24349"/>
    <cellStyle name="Comma 2 6 3 17 11 2" xfId="24350"/>
    <cellStyle name="Comma 2 6 3 17 12" xfId="24351"/>
    <cellStyle name="Comma 2 6 3 17 2" xfId="24352"/>
    <cellStyle name="Comma 2 6 3 17 2 2" xfId="24353"/>
    <cellStyle name="Comma 2 6 3 17 3" xfId="24354"/>
    <cellStyle name="Comma 2 6 3 17 3 2" xfId="24355"/>
    <cellStyle name="Comma 2 6 3 17 4" xfId="24356"/>
    <cellStyle name="Comma 2 6 3 17 4 2" xfId="24357"/>
    <cellStyle name="Comma 2 6 3 17 5" xfId="24358"/>
    <cellStyle name="Comma 2 6 3 17 5 2" xfId="24359"/>
    <cellStyle name="Comma 2 6 3 17 6" xfId="24360"/>
    <cellStyle name="Comma 2 6 3 17 6 2" xfId="24361"/>
    <cellStyle name="Comma 2 6 3 17 7" xfId="24362"/>
    <cellStyle name="Comma 2 6 3 17 7 2" xfId="24363"/>
    <cellStyle name="Comma 2 6 3 17 8" xfId="24364"/>
    <cellStyle name="Comma 2 6 3 17 8 2" xfId="24365"/>
    <cellStyle name="Comma 2 6 3 17 9" xfId="24366"/>
    <cellStyle name="Comma 2 6 3 17 9 2" xfId="24367"/>
    <cellStyle name="Comma 2 6 3 18" xfId="24368"/>
    <cellStyle name="Comma 2 6 3 18 10" xfId="24369"/>
    <cellStyle name="Comma 2 6 3 18 10 2" xfId="24370"/>
    <cellStyle name="Comma 2 6 3 18 11" xfId="24371"/>
    <cellStyle name="Comma 2 6 3 18 11 2" xfId="24372"/>
    <cellStyle name="Comma 2 6 3 18 12" xfId="24373"/>
    <cellStyle name="Comma 2 6 3 18 2" xfId="24374"/>
    <cellStyle name="Comma 2 6 3 18 2 2" xfId="24375"/>
    <cellStyle name="Comma 2 6 3 18 3" xfId="24376"/>
    <cellStyle name="Comma 2 6 3 18 3 2" xfId="24377"/>
    <cellStyle name="Comma 2 6 3 18 4" xfId="24378"/>
    <cellStyle name="Comma 2 6 3 18 4 2" xfId="24379"/>
    <cellStyle name="Comma 2 6 3 18 5" xfId="24380"/>
    <cellStyle name="Comma 2 6 3 18 5 2" xfId="24381"/>
    <cellStyle name="Comma 2 6 3 18 6" xfId="24382"/>
    <cellStyle name="Comma 2 6 3 18 6 2" xfId="24383"/>
    <cellStyle name="Comma 2 6 3 18 7" xfId="24384"/>
    <cellStyle name="Comma 2 6 3 18 7 2" xfId="24385"/>
    <cellStyle name="Comma 2 6 3 18 8" xfId="24386"/>
    <cellStyle name="Comma 2 6 3 18 8 2" xfId="24387"/>
    <cellStyle name="Comma 2 6 3 18 9" xfId="24388"/>
    <cellStyle name="Comma 2 6 3 18 9 2" xfId="24389"/>
    <cellStyle name="Comma 2 6 3 19" xfId="24390"/>
    <cellStyle name="Comma 2 6 3 19 10" xfId="24391"/>
    <cellStyle name="Comma 2 6 3 19 10 2" xfId="24392"/>
    <cellStyle name="Comma 2 6 3 19 11" xfId="24393"/>
    <cellStyle name="Comma 2 6 3 19 11 2" xfId="24394"/>
    <cellStyle name="Comma 2 6 3 19 12" xfId="24395"/>
    <cellStyle name="Comma 2 6 3 19 2" xfId="24396"/>
    <cellStyle name="Comma 2 6 3 19 2 2" xfId="24397"/>
    <cellStyle name="Comma 2 6 3 19 3" xfId="24398"/>
    <cellStyle name="Comma 2 6 3 19 3 2" xfId="24399"/>
    <cellStyle name="Comma 2 6 3 19 4" xfId="24400"/>
    <cellStyle name="Comma 2 6 3 19 4 2" xfId="24401"/>
    <cellStyle name="Comma 2 6 3 19 5" xfId="24402"/>
    <cellStyle name="Comma 2 6 3 19 5 2" xfId="24403"/>
    <cellStyle name="Comma 2 6 3 19 6" xfId="24404"/>
    <cellStyle name="Comma 2 6 3 19 6 2" xfId="24405"/>
    <cellStyle name="Comma 2 6 3 19 7" xfId="24406"/>
    <cellStyle name="Comma 2 6 3 19 7 2" xfId="24407"/>
    <cellStyle name="Comma 2 6 3 19 8" xfId="24408"/>
    <cellStyle name="Comma 2 6 3 19 8 2" xfId="24409"/>
    <cellStyle name="Comma 2 6 3 19 9" xfId="24410"/>
    <cellStyle name="Comma 2 6 3 19 9 2" xfId="24411"/>
    <cellStyle name="Comma 2 6 3 2" xfId="24412"/>
    <cellStyle name="Comma 2 6 3 2 10" xfId="24413"/>
    <cellStyle name="Comma 2 6 3 2 10 2" xfId="24414"/>
    <cellStyle name="Comma 2 6 3 2 11" xfId="24415"/>
    <cellStyle name="Comma 2 6 3 2 11 2" xfId="24416"/>
    <cellStyle name="Comma 2 6 3 2 12" xfId="24417"/>
    <cellStyle name="Comma 2 6 3 2 2" xfId="24418"/>
    <cellStyle name="Comma 2 6 3 2 2 2" xfId="24419"/>
    <cellStyle name="Comma 2 6 3 2 3" xfId="24420"/>
    <cellStyle name="Comma 2 6 3 2 3 2" xfId="24421"/>
    <cellStyle name="Comma 2 6 3 2 4" xfId="24422"/>
    <cellStyle name="Comma 2 6 3 2 4 2" xfId="24423"/>
    <cellStyle name="Comma 2 6 3 2 5" xfId="24424"/>
    <cellStyle name="Comma 2 6 3 2 5 2" xfId="24425"/>
    <cellStyle name="Comma 2 6 3 2 6" xfId="24426"/>
    <cellStyle name="Comma 2 6 3 2 6 2" xfId="24427"/>
    <cellStyle name="Comma 2 6 3 2 7" xfId="24428"/>
    <cellStyle name="Comma 2 6 3 2 7 2" xfId="24429"/>
    <cellStyle name="Comma 2 6 3 2 8" xfId="24430"/>
    <cellStyle name="Comma 2 6 3 2 8 2" xfId="24431"/>
    <cellStyle name="Comma 2 6 3 2 9" xfId="24432"/>
    <cellStyle name="Comma 2 6 3 2 9 2" xfId="24433"/>
    <cellStyle name="Comma 2 6 3 20" xfId="24434"/>
    <cellStyle name="Comma 2 6 3 20 10" xfId="24435"/>
    <cellStyle name="Comma 2 6 3 20 10 2" xfId="24436"/>
    <cellStyle name="Comma 2 6 3 20 11" xfId="24437"/>
    <cellStyle name="Comma 2 6 3 20 11 2" xfId="24438"/>
    <cellStyle name="Comma 2 6 3 20 12" xfId="24439"/>
    <cellStyle name="Comma 2 6 3 20 2" xfId="24440"/>
    <cellStyle name="Comma 2 6 3 20 2 2" xfId="24441"/>
    <cellStyle name="Comma 2 6 3 20 3" xfId="24442"/>
    <cellStyle name="Comma 2 6 3 20 3 2" xfId="24443"/>
    <cellStyle name="Comma 2 6 3 20 4" xfId="24444"/>
    <cellStyle name="Comma 2 6 3 20 4 2" xfId="24445"/>
    <cellStyle name="Comma 2 6 3 20 5" xfId="24446"/>
    <cellStyle name="Comma 2 6 3 20 5 2" xfId="24447"/>
    <cellStyle name="Comma 2 6 3 20 6" xfId="24448"/>
    <cellStyle name="Comma 2 6 3 20 6 2" xfId="24449"/>
    <cellStyle name="Comma 2 6 3 20 7" xfId="24450"/>
    <cellStyle name="Comma 2 6 3 20 7 2" xfId="24451"/>
    <cellStyle name="Comma 2 6 3 20 8" xfId="24452"/>
    <cellStyle name="Comma 2 6 3 20 8 2" xfId="24453"/>
    <cellStyle name="Comma 2 6 3 20 9" xfId="24454"/>
    <cellStyle name="Comma 2 6 3 20 9 2" xfId="24455"/>
    <cellStyle name="Comma 2 6 3 21" xfId="24456"/>
    <cellStyle name="Comma 2 6 3 21 10" xfId="24457"/>
    <cellStyle name="Comma 2 6 3 21 10 2" xfId="24458"/>
    <cellStyle name="Comma 2 6 3 21 11" xfId="24459"/>
    <cellStyle name="Comma 2 6 3 21 11 2" xfId="24460"/>
    <cellStyle name="Comma 2 6 3 21 12" xfId="24461"/>
    <cellStyle name="Comma 2 6 3 21 2" xfId="24462"/>
    <cellStyle name="Comma 2 6 3 21 2 2" xfId="24463"/>
    <cellStyle name="Comma 2 6 3 21 3" xfId="24464"/>
    <cellStyle name="Comma 2 6 3 21 3 2" xfId="24465"/>
    <cellStyle name="Comma 2 6 3 21 4" xfId="24466"/>
    <cellStyle name="Comma 2 6 3 21 4 2" xfId="24467"/>
    <cellStyle name="Comma 2 6 3 21 5" xfId="24468"/>
    <cellStyle name="Comma 2 6 3 21 5 2" xfId="24469"/>
    <cellStyle name="Comma 2 6 3 21 6" xfId="24470"/>
    <cellStyle name="Comma 2 6 3 21 6 2" xfId="24471"/>
    <cellStyle name="Comma 2 6 3 21 7" xfId="24472"/>
    <cellStyle name="Comma 2 6 3 21 7 2" xfId="24473"/>
    <cellStyle name="Comma 2 6 3 21 8" xfId="24474"/>
    <cellStyle name="Comma 2 6 3 21 8 2" xfId="24475"/>
    <cellStyle name="Comma 2 6 3 21 9" xfId="24476"/>
    <cellStyle name="Comma 2 6 3 21 9 2" xfId="24477"/>
    <cellStyle name="Comma 2 6 3 22" xfId="24478"/>
    <cellStyle name="Comma 2 6 3 22 10" xfId="24479"/>
    <cellStyle name="Comma 2 6 3 22 10 2" xfId="24480"/>
    <cellStyle name="Comma 2 6 3 22 11" xfId="24481"/>
    <cellStyle name="Comma 2 6 3 22 11 2" xfId="24482"/>
    <cellStyle name="Comma 2 6 3 22 12" xfId="24483"/>
    <cellStyle name="Comma 2 6 3 22 2" xfId="24484"/>
    <cellStyle name="Comma 2 6 3 22 2 2" xfId="24485"/>
    <cellStyle name="Comma 2 6 3 22 3" xfId="24486"/>
    <cellStyle name="Comma 2 6 3 22 3 2" xfId="24487"/>
    <cellStyle name="Comma 2 6 3 22 4" xfId="24488"/>
    <cellStyle name="Comma 2 6 3 22 4 2" xfId="24489"/>
    <cellStyle name="Comma 2 6 3 22 5" xfId="24490"/>
    <cellStyle name="Comma 2 6 3 22 5 2" xfId="24491"/>
    <cellStyle name="Comma 2 6 3 22 6" xfId="24492"/>
    <cellStyle name="Comma 2 6 3 22 6 2" xfId="24493"/>
    <cellStyle name="Comma 2 6 3 22 7" xfId="24494"/>
    <cellStyle name="Comma 2 6 3 22 7 2" xfId="24495"/>
    <cellStyle name="Comma 2 6 3 22 8" xfId="24496"/>
    <cellStyle name="Comma 2 6 3 22 8 2" xfId="24497"/>
    <cellStyle name="Comma 2 6 3 22 9" xfId="24498"/>
    <cellStyle name="Comma 2 6 3 22 9 2" xfId="24499"/>
    <cellStyle name="Comma 2 6 3 23" xfId="24500"/>
    <cellStyle name="Comma 2 6 3 23 10" xfId="24501"/>
    <cellStyle name="Comma 2 6 3 23 10 2" xfId="24502"/>
    <cellStyle name="Comma 2 6 3 23 11" xfId="24503"/>
    <cellStyle name="Comma 2 6 3 23 11 2" xfId="24504"/>
    <cellStyle name="Comma 2 6 3 23 12" xfId="24505"/>
    <cellStyle name="Comma 2 6 3 23 2" xfId="24506"/>
    <cellStyle name="Comma 2 6 3 23 2 2" xfId="24507"/>
    <cellStyle name="Comma 2 6 3 23 3" xfId="24508"/>
    <cellStyle name="Comma 2 6 3 23 3 2" xfId="24509"/>
    <cellStyle name="Comma 2 6 3 23 4" xfId="24510"/>
    <cellStyle name="Comma 2 6 3 23 4 2" xfId="24511"/>
    <cellStyle name="Comma 2 6 3 23 5" xfId="24512"/>
    <cellStyle name="Comma 2 6 3 23 5 2" xfId="24513"/>
    <cellStyle name="Comma 2 6 3 23 6" xfId="24514"/>
    <cellStyle name="Comma 2 6 3 23 6 2" xfId="24515"/>
    <cellStyle name="Comma 2 6 3 23 7" xfId="24516"/>
    <cellStyle name="Comma 2 6 3 23 7 2" xfId="24517"/>
    <cellStyle name="Comma 2 6 3 23 8" xfId="24518"/>
    <cellStyle name="Comma 2 6 3 23 8 2" xfId="24519"/>
    <cellStyle name="Comma 2 6 3 23 9" xfId="24520"/>
    <cellStyle name="Comma 2 6 3 23 9 2" xfId="24521"/>
    <cellStyle name="Comma 2 6 3 24" xfId="24522"/>
    <cellStyle name="Comma 2 6 3 24 10" xfId="24523"/>
    <cellStyle name="Comma 2 6 3 24 10 2" xfId="24524"/>
    <cellStyle name="Comma 2 6 3 24 11" xfId="24525"/>
    <cellStyle name="Comma 2 6 3 24 11 2" xfId="24526"/>
    <cellStyle name="Comma 2 6 3 24 12" xfId="24527"/>
    <cellStyle name="Comma 2 6 3 24 2" xfId="24528"/>
    <cellStyle name="Comma 2 6 3 24 2 2" xfId="24529"/>
    <cellStyle name="Comma 2 6 3 24 3" xfId="24530"/>
    <cellStyle name="Comma 2 6 3 24 3 2" xfId="24531"/>
    <cellStyle name="Comma 2 6 3 24 4" xfId="24532"/>
    <cellStyle name="Comma 2 6 3 24 4 2" xfId="24533"/>
    <cellStyle name="Comma 2 6 3 24 5" xfId="24534"/>
    <cellStyle name="Comma 2 6 3 24 5 2" xfId="24535"/>
    <cellStyle name="Comma 2 6 3 24 6" xfId="24536"/>
    <cellStyle name="Comma 2 6 3 24 6 2" xfId="24537"/>
    <cellStyle name="Comma 2 6 3 24 7" xfId="24538"/>
    <cellStyle name="Comma 2 6 3 24 7 2" xfId="24539"/>
    <cellStyle name="Comma 2 6 3 24 8" xfId="24540"/>
    <cellStyle name="Comma 2 6 3 24 8 2" xfId="24541"/>
    <cellStyle name="Comma 2 6 3 24 9" xfId="24542"/>
    <cellStyle name="Comma 2 6 3 24 9 2" xfId="24543"/>
    <cellStyle name="Comma 2 6 3 25" xfId="24544"/>
    <cellStyle name="Comma 2 6 3 25 10" xfId="24545"/>
    <cellStyle name="Comma 2 6 3 25 10 2" xfId="24546"/>
    <cellStyle name="Comma 2 6 3 25 11" xfId="24547"/>
    <cellStyle name="Comma 2 6 3 25 11 2" xfId="24548"/>
    <cellStyle name="Comma 2 6 3 25 12" xfId="24549"/>
    <cellStyle name="Comma 2 6 3 25 2" xfId="24550"/>
    <cellStyle name="Comma 2 6 3 25 2 2" xfId="24551"/>
    <cellStyle name="Comma 2 6 3 25 3" xfId="24552"/>
    <cellStyle name="Comma 2 6 3 25 3 2" xfId="24553"/>
    <cellStyle name="Comma 2 6 3 25 4" xfId="24554"/>
    <cellStyle name="Comma 2 6 3 25 4 2" xfId="24555"/>
    <cellStyle name="Comma 2 6 3 25 5" xfId="24556"/>
    <cellStyle name="Comma 2 6 3 25 5 2" xfId="24557"/>
    <cellStyle name="Comma 2 6 3 25 6" xfId="24558"/>
    <cellStyle name="Comma 2 6 3 25 6 2" xfId="24559"/>
    <cellStyle name="Comma 2 6 3 25 7" xfId="24560"/>
    <cellStyle name="Comma 2 6 3 25 7 2" xfId="24561"/>
    <cellStyle name="Comma 2 6 3 25 8" xfId="24562"/>
    <cellStyle name="Comma 2 6 3 25 8 2" xfId="24563"/>
    <cellStyle name="Comma 2 6 3 25 9" xfId="24564"/>
    <cellStyle name="Comma 2 6 3 25 9 2" xfId="24565"/>
    <cellStyle name="Comma 2 6 3 26" xfId="24566"/>
    <cellStyle name="Comma 2 6 3 26 10" xfId="24567"/>
    <cellStyle name="Comma 2 6 3 26 10 2" xfId="24568"/>
    <cellStyle name="Comma 2 6 3 26 11" xfId="24569"/>
    <cellStyle name="Comma 2 6 3 26 11 2" xfId="24570"/>
    <cellStyle name="Comma 2 6 3 26 12" xfId="24571"/>
    <cellStyle name="Comma 2 6 3 26 2" xfId="24572"/>
    <cellStyle name="Comma 2 6 3 26 2 2" xfId="24573"/>
    <cellStyle name="Comma 2 6 3 26 3" xfId="24574"/>
    <cellStyle name="Comma 2 6 3 26 3 2" xfId="24575"/>
    <cellStyle name="Comma 2 6 3 26 4" xfId="24576"/>
    <cellStyle name="Comma 2 6 3 26 4 2" xfId="24577"/>
    <cellStyle name="Comma 2 6 3 26 5" xfId="24578"/>
    <cellStyle name="Comma 2 6 3 26 5 2" xfId="24579"/>
    <cellStyle name="Comma 2 6 3 26 6" xfId="24580"/>
    <cellStyle name="Comma 2 6 3 26 6 2" xfId="24581"/>
    <cellStyle name="Comma 2 6 3 26 7" xfId="24582"/>
    <cellStyle name="Comma 2 6 3 26 7 2" xfId="24583"/>
    <cellStyle name="Comma 2 6 3 26 8" xfId="24584"/>
    <cellStyle name="Comma 2 6 3 26 8 2" xfId="24585"/>
    <cellStyle name="Comma 2 6 3 26 9" xfId="24586"/>
    <cellStyle name="Comma 2 6 3 26 9 2" xfId="24587"/>
    <cellStyle name="Comma 2 6 3 27" xfId="24588"/>
    <cellStyle name="Comma 2 6 3 27 10" xfId="24589"/>
    <cellStyle name="Comma 2 6 3 27 10 2" xfId="24590"/>
    <cellStyle name="Comma 2 6 3 27 11" xfId="24591"/>
    <cellStyle name="Comma 2 6 3 27 11 2" xfId="24592"/>
    <cellStyle name="Comma 2 6 3 27 12" xfId="24593"/>
    <cellStyle name="Comma 2 6 3 27 2" xfId="24594"/>
    <cellStyle name="Comma 2 6 3 27 2 2" xfId="24595"/>
    <cellStyle name="Comma 2 6 3 27 3" xfId="24596"/>
    <cellStyle name="Comma 2 6 3 27 3 2" xfId="24597"/>
    <cellStyle name="Comma 2 6 3 27 4" xfId="24598"/>
    <cellStyle name="Comma 2 6 3 27 4 2" xfId="24599"/>
    <cellStyle name="Comma 2 6 3 27 5" xfId="24600"/>
    <cellStyle name="Comma 2 6 3 27 5 2" xfId="24601"/>
    <cellStyle name="Comma 2 6 3 27 6" xfId="24602"/>
    <cellStyle name="Comma 2 6 3 27 6 2" xfId="24603"/>
    <cellStyle name="Comma 2 6 3 27 7" xfId="24604"/>
    <cellStyle name="Comma 2 6 3 27 7 2" xfId="24605"/>
    <cellStyle name="Comma 2 6 3 27 8" xfId="24606"/>
    <cellStyle name="Comma 2 6 3 27 8 2" xfId="24607"/>
    <cellStyle name="Comma 2 6 3 27 9" xfId="24608"/>
    <cellStyle name="Comma 2 6 3 27 9 2" xfId="24609"/>
    <cellStyle name="Comma 2 6 3 28" xfId="24610"/>
    <cellStyle name="Comma 2 6 3 28 10" xfId="24611"/>
    <cellStyle name="Comma 2 6 3 28 10 2" xfId="24612"/>
    <cellStyle name="Comma 2 6 3 28 11" xfId="24613"/>
    <cellStyle name="Comma 2 6 3 28 11 2" xfId="24614"/>
    <cellStyle name="Comma 2 6 3 28 12" xfId="24615"/>
    <cellStyle name="Comma 2 6 3 28 2" xfId="24616"/>
    <cellStyle name="Comma 2 6 3 28 2 2" xfId="24617"/>
    <cellStyle name="Comma 2 6 3 28 3" xfId="24618"/>
    <cellStyle name="Comma 2 6 3 28 3 2" xfId="24619"/>
    <cellStyle name="Comma 2 6 3 28 4" xfId="24620"/>
    <cellStyle name="Comma 2 6 3 28 4 2" xfId="24621"/>
    <cellStyle name="Comma 2 6 3 28 5" xfId="24622"/>
    <cellStyle name="Comma 2 6 3 28 5 2" xfId="24623"/>
    <cellStyle name="Comma 2 6 3 28 6" xfId="24624"/>
    <cellStyle name="Comma 2 6 3 28 6 2" xfId="24625"/>
    <cellStyle name="Comma 2 6 3 28 7" xfId="24626"/>
    <cellStyle name="Comma 2 6 3 28 7 2" xfId="24627"/>
    <cellStyle name="Comma 2 6 3 28 8" xfId="24628"/>
    <cellStyle name="Comma 2 6 3 28 8 2" xfId="24629"/>
    <cellStyle name="Comma 2 6 3 28 9" xfId="24630"/>
    <cellStyle name="Comma 2 6 3 28 9 2" xfId="24631"/>
    <cellStyle name="Comma 2 6 3 29" xfId="24632"/>
    <cellStyle name="Comma 2 6 3 29 10" xfId="24633"/>
    <cellStyle name="Comma 2 6 3 29 10 2" xfId="24634"/>
    <cellStyle name="Comma 2 6 3 29 11" xfId="24635"/>
    <cellStyle name="Comma 2 6 3 29 11 2" xfId="24636"/>
    <cellStyle name="Comma 2 6 3 29 12" xfId="24637"/>
    <cellStyle name="Comma 2 6 3 29 2" xfId="24638"/>
    <cellStyle name="Comma 2 6 3 29 2 2" xfId="24639"/>
    <cellStyle name="Comma 2 6 3 29 3" xfId="24640"/>
    <cellStyle name="Comma 2 6 3 29 3 2" xfId="24641"/>
    <cellStyle name="Comma 2 6 3 29 4" xfId="24642"/>
    <cellStyle name="Comma 2 6 3 29 4 2" xfId="24643"/>
    <cellStyle name="Comma 2 6 3 29 5" xfId="24644"/>
    <cellStyle name="Comma 2 6 3 29 5 2" xfId="24645"/>
    <cellStyle name="Comma 2 6 3 29 6" xfId="24646"/>
    <cellStyle name="Comma 2 6 3 29 6 2" xfId="24647"/>
    <cellStyle name="Comma 2 6 3 29 7" xfId="24648"/>
    <cellStyle name="Comma 2 6 3 29 7 2" xfId="24649"/>
    <cellStyle name="Comma 2 6 3 29 8" xfId="24650"/>
    <cellStyle name="Comma 2 6 3 29 8 2" xfId="24651"/>
    <cellStyle name="Comma 2 6 3 29 9" xfId="24652"/>
    <cellStyle name="Comma 2 6 3 29 9 2" xfId="24653"/>
    <cellStyle name="Comma 2 6 3 3" xfId="24654"/>
    <cellStyle name="Comma 2 6 3 3 10" xfId="24655"/>
    <cellStyle name="Comma 2 6 3 3 10 2" xfId="24656"/>
    <cellStyle name="Comma 2 6 3 3 11" xfId="24657"/>
    <cellStyle name="Comma 2 6 3 3 11 2" xfId="24658"/>
    <cellStyle name="Comma 2 6 3 3 12" xfId="24659"/>
    <cellStyle name="Comma 2 6 3 3 2" xfId="24660"/>
    <cellStyle name="Comma 2 6 3 3 2 2" xfId="24661"/>
    <cellStyle name="Comma 2 6 3 3 3" xfId="24662"/>
    <cellStyle name="Comma 2 6 3 3 3 2" xfId="24663"/>
    <cellStyle name="Comma 2 6 3 3 4" xfId="24664"/>
    <cellStyle name="Comma 2 6 3 3 4 2" xfId="24665"/>
    <cellStyle name="Comma 2 6 3 3 5" xfId="24666"/>
    <cellStyle name="Comma 2 6 3 3 5 2" xfId="24667"/>
    <cellStyle name="Comma 2 6 3 3 6" xfId="24668"/>
    <cellStyle name="Comma 2 6 3 3 6 2" xfId="24669"/>
    <cellStyle name="Comma 2 6 3 3 7" xfId="24670"/>
    <cellStyle name="Comma 2 6 3 3 7 2" xfId="24671"/>
    <cellStyle name="Comma 2 6 3 3 8" xfId="24672"/>
    <cellStyle name="Comma 2 6 3 3 8 2" xfId="24673"/>
    <cellStyle name="Comma 2 6 3 3 9" xfId="24674"/>
    <cellStyle name="Comma 2 6 3 3 9 2" xfId="24675"/>
    <cellStyle name="Comma 2 6 3 30" xfId="24676"/>
    <cellStyle name="Comma 2 6 3 30 10" xfId="24677"/>
    <cellStyle name="Comma 2 6 3 30 10 2" xfId="24678"/>
    <cellStyle name="Comma 2 6 3 30 11" xfId="24679"/>
    <cellStyle name="Comma 2 6 3 30 11 2" xfId="24680"/>
    <cellStyle name="Comma 2 6 3 30 12" xfId="24681"/>
    <cellStyle name="Comma 2 6 3 30 2" xfId="24682"/>
    <cellStyle name="Comma 2 6 3 30 2 2" xfId="24683"/>
    <cellStyle name="Comma 2 6 3 30 3" xfId="24684"/>
    <cellStyle name="Comma 2 6 3 30 3 2" xfId="24685"/>
    <cellStyle name="Comma 2 6 3 30 4" xfId="24686"/>
    <cellStyle name="Comma 2 6 3 30 4 2" xfId="24687"/>
    <cellStyle name="Comma 2 6 3 30 5" xfId="24688"/>
    <cellStyle name="Comma 2 6 3 30 5 2" xfId="24689"/>
    <cellStyle name="Comma 2 6 3 30 6" xfId="24690"/>
    <cellStyle name="Comma 2 6 3 30 6 2" xfId="24691"/>
    <cellStyle name="Comma 2 6 3 30 7" xfId="24692"/>
    <cellStyle name="Comma 2 6 3 30 7 2" xfId="24693"/>
    <cellStyle name="Comma 2 6 3 30 8" xfId="24694"/>
    <cellStyle name="Comma 2 6 3 30 8 2" xfId="24695"/>
    <cellStyle name="Comma 2 6 3 30 9" xfId="24696"/>
    <cellStyle name="Comma 2 6 3 30 9 2" xfId="24697"/>
    <cellStyle name="Comma 2 6 3 31" xfId="24698"/>
    <cellStyle name="Comma 2 6 3 31 10" xfId="24699"/>
    <cellStyle name="Comma 2 6 3 31 10 2" xfId="24700"/>
    <cellStyle name="Comma 2 6 3 31 11" xfId="24701"/>
    <cellStyle name="Comma 2 6 3 31 11 2" xfId="24702"/>
    <cellStyle name="Comma 2 6 3 31 12" xfId="24703"/>
    <cellStyle name="Comma 2 6 3 31 2" xfId="24704"/>
    <cellStyle name="Comma 2 6 3 31 2 2" xfId="24705"/>
    <cellStyle name="Comma 2 6 3 31 3" xfId="24706"/>
    <cellStyle name="Comma 2 6 3 31 3 2" xfId="24707"/>
    <cellStyle name="Comma 2 6 3 31 4" xfId="24708"/>
    <cellStyle name="Comma 2 6 3 31 4 2" xfId="24709"/>
    <cellStyle name="Comma 2 6 3 31 5" xfId="24710"/>
    <cellStyle name="Comma 2 6 3 31 5 2" xfId="24711"/>
    <cellStyle name="Comma 2 6 3 31 6" xfId="24712"/>
    <cellStyle name="Comma 2 6 3 31 6 2" xfId="24713"/>
    <cellStyle name="Comma 2 6 3 31 7" xfId="24714"/>
    <cellStyle name="Comma 2 6 3 31 7 2" xfId="24715"/>
    <cellStyle name="Comma 2 6 3 31 8" xfId="24716"/>
    <cellStyle name="Comma 2 6 3 31 8 2" xfId="24717"/>
    <cellStyle name="Comma 2 6 3 31 9" xfId="24718"/>
    <cellStyle name="Comma 2 6 3 31 9 2" xfId="24719"/>
    <cellStyle name="Comma 2 6 3 32" xfId="24720"/>
    <cellStyle name="Comma 2 6 3 32 10" xfId="24721"/>
    <cellStyle name="Comma 2 6 3 32 10 2" xfId="24722"/>
    <cellStyle name="Comma 2 6 3 32 11" xfId="24723"/>
    <cellStyle name="Comma 2 6 3 32 11 2" xfId="24724"/>
    <cellStyle name="Comma 2 6 3 32 12" xfId="24725"/>
    <cellStyle name="Comma 2 6 3 32 2" xfId="24726"/>
    <cellStyle name="Comma 2 6 3 32 2 2" xfId="24727"/>
    <cellStyle name="Comma 2 6 3 32 3" xfId="24728"/>
    <cellStyle name="Comma 2 6 3 32 3 2" xfId="24729"/>
    <cellStyle name="Comma 2 6 3 32 4" xfId="24730"/>
    <cellStyle name="Comma 2 6 3 32 4 2" xfId="24731"/>
    <cellStyle name="Comma 2 6 3 32 5" xfId="24732"/>
    <cellStyle name="Comma 2 6 3 32 5 2" xfId="24733"/>
    <cellStyle name="Comma 2 6 3 32 6" xfId="24734"/>
    <cellStyle name="Comma 2 6 3 32 6 2" xfId="24735"/>
    <cellStyle name="Comma 2 6 3 32 7" xfId="24736"/>
    <cellStyle name="Comma 2 6 3 32 7 2" xfId="24737"/>
    <cellStyle name="Comma 2 6 3 32 8" xfId="24738"/>
    <cellStyle name="Comma 2 6 3 32 8 2" xfId="24739"/>
    <cellStyle name="Comma 2 6 3 32 9" xfId="24740"/>
    <cellStyle name="Comma 2 6 3 32 9 2" xfId="24741"/>
    <cellStyle name="Comma 2 6 3 33" xfId="24742"/>
    <cellStyle name="Comma 2 6 3 33 10" xfId="24743"/>
    <cellStyle name="Comma 2 6 3 33 10 2" xfId="24744"/>
    <cellStyle name="Comma 2 6 3 33 11" xfId="24745"/>
    <cellStyle name="Comma 2 6 3 33 11 2" xfId="24746"/>
    <cellStyle name="Comma 2 6 3 33 12" xfId="24747"/>
    <cellStyle name="Comma 2 6 3 33 2" xfId="24748"/>
    <cellStyle name="Comma 2 6 3 33 2 2" xfId="24749"/>
    <cellStyle name="Comma 2 6 3 33 3" xfId="24750"/>
    <cellStyle name="Comma 2 6 3 33 3 2" xfId="24751"/>
    <cellStyle name="Comma 2 6 3 33 4" xfId="24752"/>
    <cellStyle name="Comma 2 6 3 33 4 2" xfId="24753"/>
    <cellStyle name="Comma 2 6 3 33 5" xfId="24754"/>
    <cellStyle name="Comma 2 6 3 33 5 2" xfId="24755"/>
    <cellStyle name="Comma 2 6 3 33 6" xfId="24756"/>
    <cellStyle name="Comma 2 6 3 33 6 2" xfId="24757"/>
    <cellStyle name="Comma 2 6 3 33 7" xfId="24758"/>
    <cellStyle name="Comma 2 6 3 33 7 2" xfId="24759"/>
    <cellStyle name="Comma 2 6 3 33 8" xfId="24760"/>
    <cellStyle name="Comma 2 6 3 33 8 2" xfId="24761"/>
    <cellStyle name="Comma 2 6 3 33 9" xfId="24762"/>
    <cellStyle name="Comma 2 6 3 33 9 2" xfId="24763"/>
    <cellStyle name="Comma 2 6 3 34" xfId="24764"/>
    <cellStyle name="Comma 2 6 3 34 10" xfId="24765"/>
    <cellStyle name="Comma 2 6 3 34 10 2" xfId="24766"/>
    <cellStyle name="Comma 2 6 3 34 11" xfId="24767"/>
    <cellStyle name="Comma 2 6 3 34 11 2" xfId="24768"/>
    <cellStyle name="Comma 2 6 3 34 12" xfId="24769"/>
    <cellStyle name="Comma 2 6 3 34 2" xfId="24770"/>
    <cellStyle name="Comma 2 6 3 34 2 2" xfId="24771"/>
    <cellStyle name="Comma 2 6 3 34 3" xfId="24772"/>
    <cellStyle name="Comma 2 6 3 34 3 2" xfId="24773"/>
    <cellStyle name="Comma 2 6 3 34 4" xfId="24774"/>
    <cellStyle name="Comma 2 6 3 34 4 2" xfId="24775"/>
    <cellStyle name="Comma 2 6 3 34 5" xfId="24776"/>
    <cellStyle name="Comma 2 6 3 34 5 2" xfId="24777"/>
    <cellStyle name="Comma 2 6 3 34 6" xfId="24778"/>
    <cellStyle name="Comma 2 6 3 34 6 2" xfId="24779"/>
    <cellStyle name="Comma 2 6 3 34 7" xfId="24780"/>
    <cellStyle name="Comma 2 6 3 34 7 2" xfId="24781"/>
    <cellStyle name="Comma 2 6 3 34 8" xfId="24782"/>
    <cellStyle name="Comma 2 6 3 34 8 2" xfId="24783"/>
    <cellStyle name="Comma 2 6 3 34 9" xfId="24784"/>
    <cellStyle name="Comma 2 6 3 34 9 2" xfId="24785"/>
    <cellStyle name="Comma 2 6 3 35" xfId="24786"/>
    <cellStyle name="Comma 2 6 3 35 10" xfId="24787"/>
    <cellStyle name="Comma 2 6 3 35 10 2" xfId="24788"/>
    <cellStyle name="Comma 2 6 3 35 11" xfId="24789"/>
    <cellStyle name="Comma 2 6 3 35 11 2" xfId="24790"/>
    <cellStyle name="Comma 2 6 3 35 12" xfId="24791"/>
    <cellStyle name="Comma 2 6 3 35 2" xfId="24792"/>
    <cellStyle name="Comma 2 6 3 35 2 2" xfId="24793"/>
    <cellStyle name="Comma 2 6 3 35 3" xfId="24794"/>
    <cellStyle name="Comma 2 6 3 35 3 2" xfId="24795"/>
    <cellStyle name="Comma 2 6 3 35 4" xfId="24796"/>
    <cellStyle name="Comma 2 6 3 35 4 2" xfId="24797"/>
    <cellStyle name="Comma 2 6 3 35 5" xfId="24798"/>
    <cellStyle name="Comma 2 6 3 35 5 2" xfId="24799"/>
    <cellStyle name="Comma 2 6 3 35 6" xfId="24800"/>
    <cellStyle name="Comma 2 6 3 35 6 2" xfId="24801"/>
    <cellStyle name="Comma 2 6 3 35 7" xfId="24802"/>
    <cellStyle name="Comma 2 6 3 35 7 2" xfId="24803"/>
    <cellStyle name="Comma 2 6 3 35 8" xfId="24804"/>
    <cellStyle name="Comma 2 6 3 35 8 2" xfId="24805"/>
    <cellStyle name="Comma 2 6 3 35 9" xfId="24806"/>
    <cellStyle name="Comma 2 6 3 35 9 2" xfId="24807"/>
    <cellStyle name="Comma 2 6 3 36" xfId="24808"/>
    <cellStyle name="Comma 2 6 3 36 10" xfId="24809"/>
    <cellStyle name="Comma 2 6 3 36 10 2" xfId="24810"/>
    <cellStyle name="Comma 2 6 3 36 11" xfId="24811"/>
    <cellStyle name="Comma 2 6 3 36 11 2" xfId="24812"/>
    <cellStyle name="Comma 2 6 3 36 12" xfId="24813"/>
    <cellStyle name="Comma 2 6 3 36 2" xfId="24814"/>
    <cellStyle name="Comma 2 6 3 36 2 2" xfId="24815"/>
    <cellStyle name="Comma 2 6 3 36 3" xfId="24816"/>
    <cellStyle name="Comma 2 6 3 36 3 2" xfId="24817"/>
    <cellStyle name="Comma 2 6 3 36 4" xfId="24818"/>
    <cellStyle name="Comma 2 6 3 36 4 2" xfId="24819"/>
    <cellStyle name="Comma 2 6 3 36 5" xfId="24820"/>
    <cellStyle name="Comma 2 6 3 36 5 2" xfId="24821"/>
    <cellStyle name="Comma 2 6 3 36 6" xfId="24822"/>
    <cellStyle name="Comma 2 6 3 36 6 2" xfId="24823"/>
    <cellStyle name="Comma 2 6 3 36 7" xfId="24824"/>
    <cellStyle name="Comma 2 6 3 36 7 2" xfId="24825"/>
    <cellStyle name="Comma 2 6 3 36 8" xfId="24826"/>
    <cellStyle name="Comma 2 6 3 36 8 2" xfId="24827"/>
    <cellStyle name="Comma 2 6 3 36 9" xfId="24828"/>
    <cellStyle name="Comma 2 6 3 36 9 2" xfId="24829"/>
    <cellStyle name="Comma 2 6 3 37" xfId="24830"/>
    <cellStyle name="Comma 2 6 3 37 10" xfId="24831"/>
    <cellStyle name="Comma 2 6 3 37 10 2" xfId="24832"/>
    <cellStyle name="Comma 2 6 3 37 11" xfId="24833"/>
    <cellStyle name="Comma 2 6 3 37 11 2" xfId="24834"/>
    <cellStyle name="Comma 2 6 3 37 12" xfId="24835"/>
    <cellStyle name="Comma 2 6 3 37 2" xfId="24836"/>
    <cellStyle name="Comma 2 6 3 37 2 2" xfId="24837"/>
    <cellStyle name="Comma 2 6 3 37 3" xfId="24838"/>
    <cellStyle name="Comma 2 6 3 37 3 2" xfId="24839"/>
    <cellStyle name="Comma 2 6 3 37 4" xfId="24840"/>
    <cellStyle name="Comma 2 6 3 37 4 2" xfId="24841"/>
    <cellStyle name="Comma 2 6 3 37 5" xfId="24842"/>
    <cellStyle name="Comma 2 6 3 37 5 2" xfId="24843"/>
    <cellStyle name="Comma 2 6 3 37 6" xfId="24844"/>
    <cellStyle name="Comma 2 6 3 37 6 2" xfId="24845"/>
    <cellStyle name="Comma 2 6 3 37 7" xfId="24846"/>
    <cellStyle name="Comma 2 6 3 37 7 2" xfId="24847"/>
    <cellStyle name="Comma 2 6 3 37 8" xfId="24848"/>
    <cellStyle name="Comma 2 6 3 37 8 2" xfId="24849"/>
    <cellStyle name="Comma 2 6 3 37 9" xfId="24850"/>
    <cellStyle name="Comma 2 6 3 37 9 2" xfId="24851"/>
    <cellStyle name="Comma 2 6 3 38" xfId="24852"/>
    <cellStyle name="Comma 2 6 3 38 10" xfId="24853"/>
    <cellStyle name="Comma 2 6 3 38 10 2" xfId="24854"/>
    <cellStyle name="Comma 2 6 3 38 11" xfId="24855"/>
    <cellStyle name="Comma 2 6 3 38 11 2" xfId="24856"/>
    <cellStyle name="Comma 2 6 3 38 12" xfId="24857"/>
    <cellStyle name="Comma 2 6 3 38 2" xfId="24858"/>
    <cellStyle name="Comma 2 6 3 38 2 2" xfId="24859"/>
    <cellStyle name="Comma 2 6 3 38 3" xfId="24860"/>
    <cellStyle name="Comma 2 6 3 38 3 2" xfId="24861"/>
    <cellStyle name="Comma 2 6 3 38 4" xfId="24862"/>
    <cellStyle name="Comma 2 6 3 38 4 2" xfId="24863"/>
    <cellStyle name="Comma 2 6 3 38 5" xfId="24864"/>
    <cellStyle name="Comma 2 6 3 38 5 2" xfId="24865"/>
    <cellStyle name="Comma 2 6 3 38 6" xfId="24866"/>
    <cellStyle name="Comma 2 6 3 38 6 2" xfId="24867"/>
    <cellStyle name="Comma 2 6 3 38 7" xfId="24868"/>
    <cellStyle name="Comma 2 6 3 38 7 2" xfId="24869"/>
    <cellStyle name="Comma 2 6 3 38 8" xfId="24870"/>
    <cellStyle name="Comma 2 6 3 38 8 2" xfId="24871"/>
    <cellStyle name="Comma 2 6 3 38 9" xfId="24872"/>
    <cellStyle name="Comma 2 6 3 38 9 2" xfId="24873"/>
    <cellStyle name="Comma 2 6 3 39" xfId="24874"/>
    <cellStyle name="Comma 2 6 3 39 10" xfId="24875"/>
    <cellStyle name="Comma 2 6 3 39 10 2" xfId="24876"/>
    <cellStyle name="Comma 2 6 3 39 11" xfId="24877"/>
    <cellStyle name="Comma 2 6 3 39 11 2" xfId="24878"/>
    <cellStyle name="Comma 2 6 3 39 12" xfId="24879"/>
    <cellStyle name="Comma 2 6 3 39 2" xfId="24880"/>
    <cellStyle name="Comma 2 6 3 39 2 2" xfId="24881"/>
    <cellStyle name="Comma 2 6 3 39 3" xfId="24882"/>
    <cellStyle name="Comma 2 6 3 39 3 2" xfId="24883"/>
    <cellStyle name="Comma 2 6 3 39 4" xfId="24884"/>
    <cellStyle name="Comma 2 6 3 39 4 2" xfId="24885"/>
    <cellStyle name="Comma 2 6 3 39 5" xfId="24886"/>
    <cellStyle name="Comma 2 6 3 39 5 2" xfId="24887"/>
    <cellStyle name="Comma 2 6 3 39 6" xfId="24888"/>
    <cellStyle name="Comma 2 6 3 39 6 2" xfId="24889"/>
    <cellStyle name="Comma 2 6 3 39 7" xfId="24890"/>
    <cellStyle name="Comma 2 6 3 39 7 2" xfId="24891"/>
    <cellStyle name="Comma 2 6 3 39 8" xfId="24892"/>
    <cellStyle name="Comma 2 6 3 39 8 2" xfId="24893"/>
    <cellStyle name="Comma 2 6 3 39 9" xfId="24894"/>
    <cellStyle name="Comma 2 6 3 39 9 2" xfId="24895"/>
    <cellStyle name="Comma 2 6 3 4" xfId="24896"/>
    <cellStyle name="Comma 2 6 3 4 10" xfId="24897"/>
    <cellStyle name="Comma 2 6 3 4 10 2" xfId="24898"/>
    <cellStyle name="Comma 2 6 3 4 11" xfId="24899"/>
    <cellStyle name="Comma 2 6 3 4 11 2" xfId="24900"/>
    <cellStyle name="Comma 2 6 3 4 12" xfId="24901"/>
    <cellStyle name="Comma 2 6 3 4 2" xfId="24902"/>
    <cellStyle name="Comma 2 6 3 4 2 2" xfId="24903"/>
    <cellStyle name="Comma 2 6 3 4 3" xfId="24904"/>
    <cellStyle name="Comma 2 6 3 4 3 2" xfId="24905"/>
    <cellStyle name="Comma 2 6 3 4 4" xfId="24906"/>
    <cellStyle name="Comma 2 6 3 4 4 2" xfId="24907"/>
    <cellStyle name="Comma 2 6 3 4 5" xfId="24908"/>
    <cellStyle name="Comma 2 6 3 4 5 2" xfId="24909"/>
    <cellStyle name="Comma 2 6 3 4 6" xfId="24910"/>
    <cellStyle name="Comma 2 6 3 4 6 2" xfId="24911"/>
    <cellStyle name="Comma 2 6 3 4 7" xfId="24912"/>
    <cellStyle name="Comma 2 6 3 4 7 2" xfId="24913"/>
    <cellStyle name="Comma 2 6 3 4 8" xfId="24914"/>
    <cellStyle name="Comma 2 6 3 4 8 2" xfId="24915"/>
    <cellStyle name="Comma 2 6 3 4 9" xfId="24916"/>
    <cellStyle name="Comma 2 6 3 4 9 2" xfId="24917"/>
    <cellStyle name="Comma 2 6 3 40" xfId="24918"/>
    <cellStyle name="Comma 2 6 3 40 2" xfId="24919"/>
    <cellStyle name="Comma 2 6 3 41" xfId="24920"/>
    <cellStyle name="Comma 2 6 3 41 2" xfId="24921"/>
    <cellStyle name="Comma 2 6 3 42" xfId="24922"/>
    <cellStyle name="Comma 2 6 3 42 2" xfId="24923"/>
    <cellStyle name="Comma 2 6 3 43" xfId="24924"/>
    <cellStyle name="Comma 2 6 3 43 2" xfId="24925"/>
    <cellStyle name="Comma 2 6 3 44" xfId="24926"/>
    <cellStyle name="Comma 2 6 3 44 2" xfId="24927"/>
    <cellStyle name="Comma 2 6 3 45" xfId="24928"/>
    <cellStyle name="Comma 2 6 3 45 2" xfId="24929"/>
    <cellStyle name="Comma 2 6 3 46" xfId="24930"/>
    <cellStyle name="Comma 2 6 3 46 2" xfId="24931"/>
    <cellStyle name="Comma 2 6 3 47" xfId="24932"/>
    <cellStyle name="Comma 2 6 3 47 2" xfId="24933"/>
    <cellStyle name="Comma 2 6 3 48" xfId="24934"/>
    <cellStyle name="Comma 2 6 3 48 2" xfId="24935"/>
    <cellStyle name="Comma 2 6 3 49" xfId="24936"/>
    <cellStyle name="Comma 2 6 3 49 2" xfId="24937"/>
    <cellStyle name="Comma 2 6 3 5" xfId="24938"/>
    <cellStyle name="Comma 2 6 3 5 10" xfId="24939"/>
    <cellStyle name="Comma 2 6 3 5 10 2" xfId="24940"/>
    <cellStyle name="Comma 2 6 3 5 11" xfId="24941"/>
    <cellStyle name="Comma 2 6 3 5 11 2" xfId="24942"/>
    <cellStyle name="Comma 2 6 3 5 12" xfId="24943"/>
    <cellStyle name="Comma 2 6 3 5 2" xfId="24944"/>
    <cellStyle name="Comma 2 6 3 5 2 2" xfId="24945"/>
    <cellStyle name="Comma 2 6 3 5 3" xfId="24946"/>
    <cellStyle name="Comma 2 6 3 5 3 2" xfId="24947"/>
    <cellStyle name="Comma 2 6 3 5 4" xfId="24948"/>
    <cellStyle name="Comma 2 6 3 5 4 2" xfId="24949"/>
    <cellStyle name="Comma 2 6 3 5 5" xfId="24950"/>
    <cellStyle name="Comma 2 6 3 5 5 2" xfId="24951"/>
    <cellStyle name="Comma 2 6 3 5 6" xfId="24952"/>
    <cellStyle name="Comma 2 6 3 5 6 2" xfId="24953"/>
    <cellStyle name="Comma 2 6 3 5 7" xfId="24954"/>
    <cellStyle name="Comma 2 6 3 5 7 2" xfId="24955"/>
    <cellStyle name="Comma 2 6 3 5 8" xfId="24956"/>
    <cellStyle name="Comma 2 6 3 5 8 2" xfId="24957"/>
    <cellStyle name="Comma 2 6 3 5 9" xfId="24958"/>
    <cellStyle name="Comma 2 6 3 5 9 2" xfId="24959"/>
    <cellStyle name="Comma 2 6 3 50" xfId="24960"/>
    <cellStyle name="Comma 2 6 3 50 2" xfId="24961"/>
    <cellStyle name="Comma 2 6 3 51" xfId="24962"/>
    <cellStyle name="Comma 2 6 3 51 2" xfId="24963"/>
    <cellStyle name="Comma 2 6 3 52" xfId="24964"/>
    <cellStyle name="Comma 2 6 3 6" xfId="24965"/>
    <cellStyle name="Comma 2 6 3 6 10" xfId="24966"/>
    <cellStyle name="Comma 2 6 3 6 10 2" xfId="24967"/>
    <cellStyle name="Comma 2 6 3 6 11" xfId="24968"/>
    <cellStyle name="Comma 2 6 3 6 11 2" xfId="24969"/>
    <cellStyle name="Comma 2 6 3 6 12" xfId="24970"/>
    <cellStyle name="Comma 2 6 3 6 2" xfId="24971"/>
    <cellStyle name="Comma 2 6 3 6 2 2" xfId="24972"/>
    <cellStyle name="Comma 2 6 3 6 3" xfId="24973"/>
    <cellStyle name="Comma 2 6 3 6 3 2" xfId="24974"/>
    <cellStyle name="Comma 2 6 3 6 4" xfId="24975"/>
    <cellStyle name="Comma 2 6 3 6 4 2" xfId="24976"/>
    <cellStyle name="Comma 2 6 3 6 5" xfId="24977"/>
    <cellStyle name="Comma 2 6 3 6 5 2" xfId="24978"/>
    <cellStyle name="Comma 2 6 3 6 6" xfId="24979"/>
    <cellStyle name="Comma 2 6 3 6 6 2" xfId="24980"/>
    <cellStyle name="Comma 2 6 3 6 7" xfId="24981"/>
    <cellStyle name="Comma 2 6 3 6 7 2" xfId="24982"/>
    <cellStyle name="Comma 2 6 3 6 8" xfId="24983"/>
    <cellStyle name="Comma 2 6 3 6 8 2" xfId="24984"/>
    <cellStyle name="Comma 2 6 3 6 9" xfId="24985"/>
    <cellStyle name="Comma 2 6 3 6 9 2" xfId="24986"/>
    <cellStyle name="Comma 2 6 3 7" xfId="24987"/>
    <cellStyle name="Comma 2 6 3 7 10" xfId="24988"/>
    <cellStyle name="Comma 2 6 3 7 10 2" xfId="24989"/>
    <cellStyle name="Comma 2 6 3 7 11" xfId="24990"/>
    <cellStyle name="Comma 2 6 3 7 11 2" xfId="24991"/>
    <cellStyle name="Comma 2 6 3 7 12" xfId="24992"/>
    <cellStyle name="Comma 2 6 3 7 2" xfId="24993"/>
    <cellStyle name="Comma 2 6 3 7 2 2" xfId="24994"/>
    <cellStyle name="Comma 2 6 3 7 3" xfId="24995"/>
    <cellStyle name="Comma 2 6 3 7 3 2" xfId="24996"/>
    <cellStyle name="Comma 2 6 3 7 4" xfId="24997"/>
    <cellStyle name="Comma 2 6 3 7 4 2" xfId="24998"/>
    <cellStyle name="Comma 2 6 3 7 5" xfId="24999"/>
    <cellStyle name="Comma 2 6 3 7 5 2" xfId="25000"/>
    <cellStyle name="Comma 2 6 3 7 6" xfId="25001"/>
    <cellStyle name="Comma 2 6 3 7 6 2" xfId="25002"/>
    <cellStyle name="Comma 2 6 3 7 7" xfId="25003"/>
    <cellStyle name="Comma 2 6 3 7 7 2" xfId="25004"/>
    <cellStyle name="Comma 2 6 3 7 8" xfId="25005"/>
    <cellStyle name="Comma 2 6 3 7 8 2" xfId="25006"/>
    <cellStyle name="Comma 2 6 3 7 9" xfId="25007"/>
    <cellStyle name="Comma 2 6 3 7 9 2" xfId="25008"/>
    <cellStyle name="Comma 2 6 3 8" xfId="25009"/>
    <cellStyle name="Comma 2 6 3 8 10" xfId="25010"/>
    <cellStyle name="Comma 2 6 3 8 10 2" xfId="25011"/>
    <cellStyle name="Comma 2 6 3 8 11" xfId="25012"/>
    <cellStyle name="Comma 2 6 3 8 11 2" xfId="25013"/>
    <cellStyle name="Comma 2 6 3 8 12" xfId="25014"/>
    <cellStyle name="Comma 2 6 3 8 2" xfId="25015"/>
    <cellStyle name="Comma 2 6 3 8 2 2" xfId="25016"/>
    <cellStyle name="Comma 2 6 3 8 3" xfId="25017"/>
    <cellStyle name="Comma 2 6 3 8 3 2" xfId="25018"/>
    <cellStyle name="Comma 2 6 3 8 4" xfId="25019"/>
    <cellStyle name="Comma 2 6 3 8 4 2" xfId="25020"/>
    <cellStyle name="Comma 2 6 3 8 5" xfId="25021"/>
    <cellStyle name="Comma 2 6 3 8 5 2" xfId="25022"/>
    <cellStyle name="Comma 2 6 3 8 6" xfId="25023"/>
    <cellStyle name="Comma 2 6 3 8 6 2" xfId="25024"/>
    <cellStyle name="Comma 2 6 3 8 7" xfId="25025"/>
    <cellStyle name="Comma 2 6 3 8 7 2" xfId="25026"/>
    <cellStyle name="Comma 2 6 3 8 8" xfId="25027"/>
    <cellStyle name="Comma 2 6 3 8 8 2" xfId="25028"/>
    <cellStyle name="Comma 2 6 3 8 9" xfId="25029"/>
    <cellStyle name="Comma 2 6 3 8 9 2" xfId="25030"/>
    <cellStyle name="Comma 2 6 3 9" xfId="25031"/>
    <cellStyle name="Comma 2 6 3 9 10" xfId="25032"/>
    <cellStyle name="Comma 2 6 3 9 10 2" xfId="25033"/>
    <cellStyle name="Comma 2 6 3 9 11" xfId="25034"/>
    <cellStyle name="Comma 2 6 3 9 11 2" xfId="25035"/>
    <cellStyle name="Comma 2 6 3 9 12" xfId="25036"/>
    <cellStyle name="Comma 2 6 3 9 2" xfId="25037"/>
    <cellStyle name="Comma 2 6 3 9 2 2" xfId="25038"/>
    <cellStyle name="Comma 2 6 3 9 3" xfId="25039"/>
    <cellStyle name="Comma 2 6 3 9 3 2" xfId="25040"/>
    <cellStyle name="Comma 2 6 3 9 4" xfId="25041"/>
    <cellStyle name="Comma 2 6 3 9 4 2" xfId="25042"/>
    <cellStyle name="Comma 2 6 3 9 5" xfId="25043"/>
    <cellStyle name="Comma 2 6 3 9 5 2" xfId="25044"/>
    <cellStyle name="Comma 2 6 3 9 6" xfId="25045"/>
    <cellStyle name="Comma 2 6 3 9 6 2" xfId="25046"/>
    <cellStyle name="Comma 2 6 3 9 7" xfId="25047"/>
    <cellStyle name="Comma 2 6 3 9 7 2" xfId="25048"/>
    <cellStyle name="Comma 2 6 3 9 8" xfId="25049"/>
    <cellStyle name="Comma 2 6 3 9 8 2" xfId="25050"/>
    <cellStyle name="Comma 2 6 3 9 9" xfId="25051"/>
    <cellStyle name="Comma 2 6 3 9 9 2" xfId="25052"/>
    <cellStyle name="Comma 2 6 30" xfId="25053"/>
    <cellStyle name="Comma 2 6 30 10" xfId="25054"/>
    <cellStyle name="Comma 2 6 30 10 2" xfId="25055"/>
    <cellStyle name="Comma 2 6 30 11" xfId="25056"/>
    <cellStyle name="Comma 2 6 30 11 2" xfId="25057"/>
    <cellStyle name="Comma 2 6 30 12" xfId="25058"/>
    <cellStyle name="Comma 2 6 30 2" xfId="25059"/>
    <cellStyle name="Comma 2 6 30 2 2" xfId="25060"/>
    <cellStyle name="Comma 2 6 30 3" xfId="25061"/>
    <cellStyle name="Comma 2 6 30 3 2" xfId="25062"/>
    <cellStyle name="Comma 2 6 30 4" xfId="25063"/>
    <cellStyle name="Comma 2 6 30 4 2" xfId="25064"/>
    <cellStyle name="Comma 2 6 30 5" xfId="25065"/>
    <cellStyle name="Comma 2 6 30 5 2" xfId="25066"/>
    <cellStyle name="Comma 2 6 30 6" xfId="25067"/>
    <cellStyle name="Comma 2 6 30 6 2" xfId="25068"/>
    <cellStyle name="Comma 2 6 30 7" xfId="25069"/>
    <cellStyle name="Comma 2 6 30 7 2" xfId="25070"/>
    <cellStyle name="Comma 2 6 30 8" xfId="25071"/>
    <cellStyle name="Comma 2 6 30 8 2" xfId="25072"/>
    <cellStyle name="Comma 2 6 30 9" xfId="25073"/>
    <cellStyle name="Comma 2 6 30 9 2" xfId="25074"/>
    <cellStyle name="Comma 2 6 31" xfId="25075"/>
    <cellStyle name="Comma 2 6 31 10" xfId="25076"/>
    <cellStyle name="Comma 2 6 31 10 2" xfId="25077"/>
    <cellStyle name="Comma 2 6 31 11" xfId="25078"/>
    <cellStyle name="Comma 2 6 31 11 2" xfId="25079"/>
    <cellStyle name="Comma 2 6 31 12" xfId="25080"/>
    <cellStyle name="Comma 2 6 31 2" xfId="25081"/>
    <cellStyle name="Comma 2 6 31 2 2" xfId="25082"/>
    <cellStyle name="Comma 2 6 31 3" xfId="25083"/>
    <cellStyle name="Comma 2 6 31 3 2" xfId="25084"/>
    <cellStyle name="Comma 2 6 31 4" xfId="25085"/>
    <cellStyle name="Comma 2 6 31 4 2" xfId="25086"/>
    <cellStyle name="Comma 2 6 31 5" xfId="25087"/>
    <cellStyle name="Comma 2 6 31 5 2" xfId="25088"/>
    <cellStyle name="Comma 2 6 31 6" xfId="25089"/>
    <cellStyle name="Comma 2 6 31 6 2" xfId="25090"/>
    <cellStyle name="Comma 2 6 31 7" xfId="25091"/>
    <cellStyle name="Comma 2 6 31 7 2" xfId="25092"/>
    <cellStyle name="Comma 2 6 31 8" xfId="25093"/>
    <cellStyle name="Comma 2 6 31 8 2" xfId="25094"/>
    <cellStyle name="Comma 2 6 31 9" xfId="25095"/>
    <cellStyle name="Comma 2 6 31 9 2" xfId="25096"/>
    <cellStyle name="Comma 2 6 32" xfId="25097"/>
    <cellStyle name="Comma 2 6 32 10" xfId="25098"/>
    <cellStyle name="Comma 2 6 32 10 2" xfId="25099"/>
    <cellStyle name="Comma 2 6 32 11" xfId="25100"/>
    <cellStyle name="Comma 2 6 32 11 2" xfId="25101"/>
    <cellStyle name="Comma 2 6 32 12" xfId="25102"/>
    <cellStyle name="Comma 2 6 32 2" xfId="25103"/>
    <cellStyle name="Comma 2 6 32 2 2" xfId="25104"/>
    <cellStyle name="Comma 2 6 32 3" xfId="25105"/>
    <cellStyle name="Comma 2 6 32 3 2" xfId="25106"/>
    <cellStyle name="Comma 2 6 32 4" xfId="25107"/>
    <cellStyle name="Comma 2 6 32 4 2" xfId="25108"/>
    <cellStyle name="Comma 2 6 32 5" xfId="25109"/>
    <cellStyle name="Comma 2 6 32 5 2" xfId="25110"/>
    <cellStyle name="Comma 2 6 32 6" xfId="25111"/>
    <cellStyle name="Comma 2 6 32 6 2" xfId="25112"/>
    <cellStyle name="Comma 2 6 32 7" xfId="25113"/>
    <cellStyle name="Comma 2 6 32 7 2" xfId="25114"/>
    <cellStyle name="Comma 2 6 32 8" xfId="25115"/>
    <cellStyle name="Comma 2 6 32 8 2" xfId="25116"/>
    <cellStyle name="Comma 2 6 32 9" xfId="25117"/>
    <cellStyle name="Comma 2 6 32 9 2" xfId="25118"/>
    <cellStyle name="Comma 2 6 33" xfId="25119"/>
    <cellStyle name="Comma 2 6 33 10" xfId="25120"/>
    <cellStyle name="Comma 2 6 33 10 2" xfId="25121"/>
    <cellStyle name="Comma 2 6 33 11" xfId="25122"/>
    <cellStyle name="Comma 2 6 33 11 2" xfId="25123"/>
    <cellStyle name="Comma 2 6 33 12" xfId="25124"/>
    <cellStyle name="Comma 2 6 33 2" xfId="25125"/>
    <cellStyle name="Comma 2 6 33 2 2" xfId="25126"/>
    <cellStyle name="Comma 2 6 33 3" xfId="25127"/>
    <cellStyle name="Comma 2 6 33 3 2" xfId="25128"/>
    <cellStyle name="Comma 2 6 33 4" xfId="25129"/>
    <cellStyle name="Comma 2 6 33 4 2" xfId="25130"/>
    <cellStyle name="Comma 2 6 33 5" xfId="25131"/>
    <cellStyle name="Comma 2 6 33 5 2" xfId="25132"/>
    <cellStyle name="Comma 2 6 33 6" xfId="25133"/>
    <cellStyle name="Comma 2 6 33 6 2" xfId="25134"/>
    <cellStyle name="Comma 2 6 33 7" xfId="25135"/>
    <cellStyle name="Comma 2 6 33 7 2" xfId="25136"/>
    <cellStyle name="Comma 2 6 33 8" xfId="25137"/>
    <cellStyle name="Comma 2 6 33 8 2" xfId="25138"/>
    <cellStyle name="Comma 2 6 33 9" xfId="25139"/>
    <cellStyle name="Comma 2 6 33 9 2" xfId="25140"/>
    <cellStyle name="Comma 2 6 34" xfId="25141"/>
    <cellStyle name="Comma 2 6 34 10" xfId="25142"/>
    <cellStyle name="Comma 2 6 34 10 2" xfId="25143"/>
    <cellStyle name="Comma 2 6 34 11" xfId="25144"/>
    <cellStyle name="Comma 2 6 34 11 2" xfId="25145"/>
    <cellStyle name="Comma 2 6 34 12" xfId="25146"/>
    <cellStyle name="Comma 2 6 34 2" xfId="25147"/>
    <cellStyle name="Comma 2 6 34 2 2" xfId="25148"/>
    <cellStyle name="Comma 2 6 34 3" xfId="25149"/>
    <cellStyle name="Comma 2 6 34 3 2" xfId="25150"/>
    <cellStyle name="Comma 2 6 34 4" xfId="25151"/>
    <cellStyle name="Comma 2 6 34 4 2" xfId="25152"/>
    <cellStyle name="Comma 2 6 34 5" xfId="25153"/>
    <cellStyle name="Comma 2 6 34 5 2" xfId="25154"/>
    <cellStyle name="Comma 2 6 34 6" xfId="25155"/>
    <cellStyle name="Comma 2 6 34 6 2" xfId="25156"/>
    <cellStyle name="Comma 2 6 34 7" xfId="25157"/>
    <cellStyle name="Comma 2 6 34 7 2" xfId="25158"/>
    <cellStyle name="Comma 2 6 34 8" xfId="25159"/>
    <cellStyle name="Comma 2 6 34 8 2" xfId="25160"/>
    <cellStyle name="Comma 2 6 34 9" xfId="25161"/>
    <cellStyle name="Comma 2 6 34 9 2" xfId="25162"/>
    <cellStyle name="Comma 2 6 35" xfId="25163"/>
    <cellStyle name="Comma 2 6 35 10" xfId="25164"/>
    <cellStyle name="Comma 2 6 35 10 2" xfId="25165"/>
    <cellStyle name="Comma 2 6 35 11" xfId="25166"/>
    <cellStyle name="Comma 2 6 35 11 2" xfId="25167"/>
    <cellStyle name="Comma 2 6 35 12" xfId="25168"/>
    <cellStyle name="Comma 2 6 35 2" xfId="25169"/>
    <cellStyle name="Comma 2 6 35 2 2" xfId="25170"/>
    <cellStyle name="Comma 2 6 35 3" xfId="25171"/>
    <cellStyle name="Comma 2 6 35 3 2" xfId="25172"/>
    <cellStyle name="Comma 2 6 35 4" xfId="25173"/>
    <cellStyle name="Comma 2 6 35 4 2" xfId="25174"/>
    <cellStyle name="Comma 2 6 35 5" xfId="25175"/>
    <cellStyle name="Comma 2 6 35 5 2" xfId="25176"/>
    <cellStyle name="Comma 2 6 35 6" xfId="25177"/>
    <cellStyle name="Comma 2 6 35 6 2" xfId="25178"/>
    <cellStyle name="Comma 2 6 35 7" xfId="25179"/>
    <cellStyle name="Comma 2 6 35 7 2" xfId="25180"/>
    <cellStyle name="Comma 2 6 35 8" xfId="25181"/>
    <cellStyle name="Comma 2 6 35 8 2" xfId="25182"/>
    <cellStyle name="Comma 2 6 35 9" xfId="25183"/>
    <cellStyle name="Comma 2 6 35 9 2" xfId="25184"/>
    <cellStyle name="Comma 2 6 36" xfId="25185"/>
    <cellStyle name="Comma 2 6 36 10" xfId="25186"/>
    <cellStyle name="Comma 2 6 36 10 2" xfId="25187"/>
    <cellStyle name="Comma 2 6 36 11" xfId="25188"/>
    <cellStyle name="Comma 2 6 36 11 2" xfId="25189"/>
    <cellStyle name="Comma 2 6 36 12" xfId="25190"/>
    <cellStyle name="Comma 2 6 36 2" xfId="25191"/>
    <cellStyle name="Comma 2 6 36 2 2" xfId="25192"/>
    <cellStyle name="Comma 2 6 36 3" xfId="25193"/>
    <cellStyle name="Comma 2 6 36 3 2" xfId="25194"/>
    <cellStyle name="Comma 2 6 36 4" xfId="25195"/>
    <cellStyle name="Comma 2 6 36 4 2" xfId="25196"/>
    <cellStyle name="Comma 2 6 36 5" xfId="25197"/>
    <cellStyle name="Comma 2 6 36 5 2" xfId="25198"/>
    <cellStyle name="Comma 2 6 36 6" xfId="25199"/>
    <cellStyle name="Comma 2 6 36 6 2" xfId="25200"/>
    <cellStyle name="Comma 2 6 36 7" xfId="25201"/>
    <cellStyle name="Comma 2 6 36 7 2" xfId="25202"/>
    <cellStyle name="Comma 2 6 36 8" xfId="25203"/>
    <cellStyle name="Comma 2 6 36 8 2" xfId="25204"/>
    <cellStyle name="Comma 2 6 36 9" xfId="25205"/>
    <cellStyle name="Comma 2 6 36 9 2" xfId="25206"/>
    <cellStyle name="Comma 2 6 37" xfId="25207"/>
    <cellStyle name="Comma 2 6 37 10" xfId="25208"/>
    <cellStyle name="Comma 2 6 37 10 2" xfId="25209"/>
    <cellStyle name="Comma 2 6 37 11" xfId="25210"/>
    <cellStyle name="Comma 2 6 37 11 2" xfId="25211"/>
    <cellStyle name="Comma 2 6 37 12" xfId="25212"/>
    <cellStyle name="Comma 2 6 37 2" xfId="25213"/>
    <cellStyle name="Comma 2 6 37 2 2" xfId="25214"/>
    <cellStyle name="Comma 2 6 37 3" xfId="25215"/>
    <cellStyle name="Comma 2 6 37 3 2" xfId="25216"/>
    <cellStyle name="Comma 2 6 37 4" xfId="25217"/>
    <cellStyle name="Comma 2 6 37 4 2" xfId="25218"/>
    <cellStyle name="Comma 2 6 37 5" xfId="25219"/>
    <cellStyle name="Comma 2 6 37 5 2" xfId="25220"/>
    <cellStyle name="Comma 2 6 37 6" xfId="25221"/>
    <cellStyle name="Comma 2 6 37 6 2" xfId="25222"/>
    <cellStyle name="Comma 2 6 37 7" xfId="25223"/>
    <cellStyle name="Comma 2 6 37 7 2" xfId="25224"/>
    <cellStyle name="Comma 2 6 37 8" xfId="25225"/>
    <cellStyle name="Comma 2 6 37 8 2" xfId="25226"/>
    <cellStyle name="Comma 2 6 37 9" xfId="25227"/>
    <cellStyle name="Comma 2 6 37 9 2" xfId="25228"/>
    <cellStyle name="Comma 2 6 38" xfId="25229"/>
    <cellStyle name="Comma 2 6 38 10" xfId="25230"/>
    <cellStyle name="Comma 2 6 38 10 2" xfId="25231"/>
    <cellStyle name="Comma 2 6 38 11" xfId="25232"/>
    <cellStyle name="Comma 2 6 38 11 2" xfId="25233"/>
    <cellStyle name="Comma 2 6 38 12" xfId="25234"/>
    <cellStyle name="Comma 2 6 38 2" xfId="25235"/>
    <cellStyle name="Comma 2 6 38 2 2" xfId="25236"/>
    <cellStyle name="Comma 2 6 38 3" xfId="25237"/>
    <cellStyle name="Comma 2 6 38 3 2" xfId="25238"/>
    <cellStyle name="Comma 2 6 38 4" xfId="25239"/>
    <cellStyle name="Comma 2 6 38 4 2" xfId="25240"/>
    <cellStyle name="Comma 2 6 38 5" xfId="25241"/>
    <cellStyle name="Comma 2 6 38 5 2" xfId="25242"/>
    <cellStyle name="Comma 2 6 38 6" xfId="25243"/>
    <cellStyle name="Comma 2 6 38 6 2" xfId="25244"/>
    <cellStyle name="Comma 2 6 38 7" xfId="25245"/>
    <cellStyle name="Comma 2 6 38 7 2" xfId="25246"/>
    <cellStyle name="Comma 2 6 38 8" xfId="25247"/>
    <cellStyle name="Comma 2 6 38 8 2" xfId="25248"/>
    <cellStyle name="Comma 2 6 38 9" xfId="25249"/>
    <cellStyle name="Comma 2 6 38 9 2" xfId="25250"/>
    <cellStyle name="Comma 2 6 39" xfId="25251"/>
    <cellStyle name="Comma 2 6 39 10" xfId="25252"/>
    <cellStyle name="Comma 2 6 39 10 2" xfId="25253"/>
    <cellStyle name="Comma 2 6 39 11" xfId="25254"/>
    <cellStyle name="Comma 2 6 39 11 2" xfId="25255"/>
    <cellStyle name="Comma 2 6 39 12" xfId="25256"/>
    <cellStyle name="Comma 2 6 39 2" xfId="25257"/>
    <cellStyle name="Comma 2 6 39 2 2" xfId="25258"/>
    <cellStyle name="Comma 2 6 39 3" xfId="25259"/>
    <cellStyle name="Comma 2 6 39 3 2" xfId="25260"/>
    <cellStyle name="Comma 2 6 39 4" xfId="25261"/>
    <cellStyle name="Comma 2 6 39 4 2" xfId="25262"/>
    <cellStyle name="Comma 2 6 39 5" xfId="25263"/>
    <cellStyle name="Comma 2 6 39 5 2" xfId="25264"/>
    <cellStyle name="Comma 2 6 39 6" xfId="25265"/>
    <cellStyle name="Comma 2 6 39 6 2" xfId="25266"/>
    <cellStyle name="Comma 2 6 39 7" xfId="25267"/>
    <cellStyle name="Comma 2 6 39 7 2" xfId="25268"/>
    <cellStyle name="Comma 2 6 39 8" xfId="25269"/>
    <cellStyle name="Comma 2 6 39 8 2" xfId="25270"/>
    <cellStyle name="Comma 2 6 39 9" xfId="25271"/>
    <cellStyle name="Comma 2 6 39 9 2" xfId="25272"/>
    <cellStyle name="Comma 2 6 4" xfId="25273"/>
    <cellStyle name="Comma 2 6 4 10" xfId="25274"/>
    <cellStyle name="Comma 2 6 4 10 10" xfId="25275"/>
    <cellStyle name="Comma 2 6 4 10 10 2" xfId="25276"/>
    <cellStyle name="Comma 2 6 4 10 11" xfId="25277"/>
    <cellStyle name="Comma 2 6 4 10 11 2" xfId="25278"/>
    <cellStyle name="Comma 2 6 4 10 12" xfId="25279"/>
    <cellStyle name="Comma 2 6 4 10 2" xfId="25280"/>
    <cellStyle name="Comma 2 6 4 10 2 2" xfId="25281"/>
    <cellStyle name="Comma 2 6 4 10 3" xfId="25282"/>
    <cellStyle name="Comma 2 6 4 10 3 2" xfId="25283"/>
    <cellStyle name="Comma 2 6 4 10 4" xfId="25284"/>
    <cellStyle name="Comma 2 6 4 10 4 2" xfId="25285"/>
    <cellStyle name="Comma 2 6 4 10 5" xfId="25286"/>
    <cellStyle name="Comma 2 6 4 10 5 2" xfId="25287"/>
    <cellStyle name="Comma 2 6 4 10 6" xfId="25288"/>
    <cellStyle name="Comma 2 6 4 10 6 2" xfId="25289"/>
    <cellStyle name="Comma 2 6 4 10 7" xfId="25290"/>
    <cellStyle name="Comma 2 6 4 10 7 2" xfId="25291"/>
    <cellStyle name="Comma 2 6 4 10 8" xfId="25292"/>
    <cellStyle name="Comma 2 6 4 10 8 2" xfId="25293"/>
    <cellStyle name="Comma 2 6 4 10 9" xfId="25294"/>
    <cellStyle name="Comma 2 6 4 10 9 2" xfId="25295"/>
    <cellStyle name="Comma 2 6 4 11" xfId="25296"/>
    <cellStyle name="Comma 2 6 4 11 10" xfId="25297"/>
    <cellStyle name="Comma 2 6 4 11 10 2" xfId="25298"/>
    <cellStyle name="Comma 2 6 4 11 11" xfId="25299"/>
    <cellStyle name="Comma 2 6 4 11 11 2" xfId="25300"/>
    <cellStyle name="Comma 2 6 4 11 12" xfId="25301"/>
    <cellStyle name="Comma 2 6 4 11 2" xfId="25302"/>
    <cellStyle name="Comma 2 6 4 11 2 2" xfId="25303"/>
    <cellStyle name="Comma 2 6 4 11 3" xfId="25304"/>
    <cellStyle name="Comma 2 6 4 11 3 2" xfId="25305"/>
    <cellStyle name="Comma 2 6 4 11 4" xfId="25306"/>
    <cellStyle name="Comma 2 6 4 11 4 2" xfId="25307"/>
    <cellStyle name="Comma 2 6 4 11 5" xfId="25308"/>
    <cellStyle name="Comma 2 6 4 11 5 2" xfId="25309"/>
    <cellStyle name="Comma 2 6 4 11 6" xfId="25310"/>
    <cellStyle name="Comma 2 6 4 11 6 2" xfId="25311"/>
    <cellStyle name="Comma 2 6 4 11 7" xfId="25312"/>
    <cellStyle name="Comma 2 6 4 11 7 2" xfId="25313"/>
    <cellStyle name="Comma 2 6 4 11 8" xfId="25314"/>
    <cellStyle name="Comma 2 6 4 11 8 2" xfId="25315"/>
    <cellStyle name="Comma 2 6 4 11 9" xfId="25316"/>
    <cellStyle name="Comma 2 6 4 11 9 2" xfId="25317"/>
    <cellStyle name="Comma 2 6 4 12" xfId="25318"/>
    <cellStyle name="Comma 2 6 4 12 10" xfId="25319"/>
    <cellStyle name="Comma 2 6 4 12 10 2" xfId="25320"/>
    <cellStyle name="Comma 2 6 4 12 11" xfId="25321"/>
    <cellStyle name="Comma 2 6 4 12 11 2" xfId="25322"/>
    <cellStyle name="Comma 2 6 4 12 12" xfId="25323"/>
    <cellStyle name="Comma 2 6 4 12 2" xfId="25324"/>
    <cellStyle name="Comma 2 6 4 12 2 2" xfId="25325"/>
    <cellStyle name="Comma 2 6 4 12 3" xfId="25326"/>
    <cellStyle name="Comma 2 6 4 12 3 2" xfId="25327"/>
    <cellStyle name="Comma 2 6 4 12 4" xfId="25328"/>
    <cellStyle name="Comma 2 6 4 12 4 2" xfId="25329"/>
    <cellStyle name="Comma 2 6 4 12 5" xfId="25330"/>
    <cellStyle name="Comma 2 6 4 12 5 2" xfId="25331"/>
    <cellStyle name="Comma 2 6 4 12 6" xfId="25332"/>
    <cellStyle name="Comma 2 6 4 12 6 2" xfId="25333"/>
    <cellStyle name="Comma 2 6 4 12 7" xfId="25334"/>
    <cellStyle name="Comma 2 6 4 12 7 2" xfId="25335"/>
    <cellStyle name="Comma 2 6 4 12 8" xfId="25336"/>
    <cellStyle name="Comma 2 6 4 12 8 2" xfId="25337"/>
    <cellStyle name="Comma 2 6 4 12 9" xfId="25338"/>
    <cellStyle name="Comma 2 6 4 12 9 2" xfId="25339"/>
    <cellStyle name="Comma 2 6 4 13" xfId="25340"/>
    <cellStyle name="Comma 2 6 4 13 10" xfId="25341"/>
    <cellStyle name="Comma 2 6 4 13 10 2" xfId="25342"/>
    <cellStyle name="Comma 2 6 4 13 11" xfId="25343"/>
    <cellStyle name="Comma 2 6 4 13 11 2" xfId="25344"/>
    <cellStyle name="Comma 2 6 4 13 12" xfId="25345"/>
    <cellStyle name="Comma 2 6 4 13 2" xfId="25346"/>
    <cellStyle name="Comma 2 6 4 13 2 2" xfId="25347"/>
    <cellStyle name="Comma 2 6 4 13 3" xfId="25348"/>
    <cellStyle name="Comma 2 6 4 13 3 2" xfId="25349"/>
    <cellStyle name="Comma 2 6 4 13 4" xfId="25350"/>
    <cellStyle name="Comma 2 6 4 13 4 2" xfId="25351"/>
    <cellStyle name="Comma 2 6 4 13 5" xfId="25352"/>
    <cellStyle name="Comma 2 6 4 13 5 2" xfId="25353"/>
    <cellStyle name="Comma 2 6 4 13 6" xfId="25354"/>
    <cellStyle name="Comma 2 6 4 13 6 2" xfId="25355"/>
    <cellStyle name="Comma 2 6 4 13 7" xfId="25356"/>
    <cellStyle name="Comma 2 6 4 13 7 2" xfId="25357"/>
    <cellStyle name="Comma 2 6 4 13 8" xfId="25358"/>
    <cellStyle name="Comma 2 6 4 13 8 2" xfId="25359"/>
    <cellStyle name="Comma 2 6 4 13 9" xfId="25360"/>
    <cellStyle name="Comma 2 6 4 13 9 2" xfId="25361"/>
    <cellStyle name="Comma 2 6 4 14" xfId="25362"/>
    <cellStyle name="Comma 2 6 4 14 10" xfId="25363"/>
    <cellStyle name="Comma 2 6 4 14 10 2" xfId="25364"/>
    <cellStyle name="Comma 2 6 4 14 11" xfId="25365"/>
    <cellStyle name="Comma 2 6 4 14 11 2" xfId="25366"/>
    <cellStyle name="Comma 2 6 4 14 12" xfId="25367"/>
    <cellStyle name="Comma 2 6 4 14 2" xfId="25368"/>
    <cellStyle name="Comma 2 6 4 14 2 2" xfId="25369"/>
    <cellStyle name="Comma 2 6 4 14 3" xfId="25370"/>
    <cellStyle name="Comma 2 6 4 14 3 2" xfId="25371"/>
    <cellStyle name="Comma 2 6 4 14 4" xfId="25372"/>
    <cellStyle name="Comma 2 6 4 14 4 2" xfId="25373"/>
    <cellStyle name="Comma 2 6 4 14 5" xfId="25374"/>
    <cellStyle name="Comma 2 6 4 14 5 2" xfId="25375"/>
    <cellStyle name="Comma 2 6 4 14 6" xfId="25376"/>
    <cellStyle name="Comma 2 6 4 14 6 2" xfId="25377"/>
    <cellStyle name="Comma 2 6 4 14 7" xfId="25378"/>
    <cellStyle name="Comma 2 6 4 14 7 2" xfId="25379"/>
    <cellStyle name="Comma 2 6 4 14 8" xfId="25380"/>
    <cellStyle name="Comma 2 6 4 14 8 2" xfId="25381"/>
    <cellStyle name="Comma 2 6 4 14 9" xfId="25382"/>
    <cellStyle name="Comma 2 6 4 14 9 2" xfId="25383"/>
    <cellStyle name="Comma 2 6 4 15" xfId="25384"/>
    <cellStyle name="Comma 2 6 4 15 10" xfId="25385"/>
    <cellStyle name="Comma 2 6 4 15 10 2" xfId="25386"/>
    <cellStyle name="Comma 2 6 4 15 11" xfId="25387"/>
    <cellStyle name="Comma 2 6 4 15 11 2" xfId="25388"/>
    <cellStyle name="Comma 2 6 4 15 12" xfId="25389"/>
    <cellStyle name="Comma 2 6 4 15 2" xfId="25390"/>
    <cellStyle name="Comma 2 6 4 15 2 2" xfId="25391"/>
    <cellStyle name="Comma 2 6 4 15 3" xfId="25392"/>
    <cellStyle name="Comma 2 6 4 15 3 2" xfId="25393"/>
    <cellStyle name="Comma 2 6 4 15 4" xfId="25394"/>
    <cellStyle name="Comma 2 6 4 15 4 2" xfId="25395"/>
    <cellStyle name="Comma 2 6 4 15 5" xfId="25396"/>
    <cellStyle name="Comma 2 6 4 15 5 2" xfId="25397"/>
    <cellStyle name="Comma 2 6 4 15 6" xfId="25398"/>
    <cellStyle name="Comma 2 6 4 15 6 2" xfId="25399"/>
    <cellStyle name="Comma 2 6 4 15 7" xfId="25400"/>
    <cellStyle name="Comma 2 6 4 15 7 2" xfId="25401"/>
    <cellStyle name="Comma 2 6 4 15 8" xfId="25402"/>
    <cellStyle name="Comma 2 6 4 15 8 2" xfId="25403"/>
    <cellStyle name="Comma 2 6 4 15 9" xfId="25404"/>
    <cellStyle name="Comma 2 6 4 15 9 2" xfId="25405"/>
    <cellStyle name="Comma 2 6 4 16" xfId="25406"/>
    <cellStyle name="Comma 2 6 4 16 10" xfId="25407"/>
    <cellStyle name="Comma 2 6 4 16 10 2" xfId="25408"/>
    <cellStyle name="Comma 2 6 4 16 11" xfId="25409"/>
    <cellStyle name="Comma 2 6 4 16 11 2" xfId="25410"/>
    <cellStyle name="Comma 2 6 4 16 12" xfId="25411"/>
    <cellStyle name="Comma 2 6 4 16 2" xfId="25412"/>
    <cellStyle name="Comma 2 6 4 16 2 2" xfId="25413"/>
    <cellStyle name="Comma 2 6 4 16 3" xfId="25414"/>
    <cellStyle name="Comma 2 6 4 16 3 2" xfId="25415"/>
    <cellStyle name="Comma 2 6 4 16 4" xfId="25416"/>
    <cellStyle name="Comma 2 6 4 16 4 2" xfId="25417"/>
    <cellStyle name="Comma 2 6 4 16 5" xfId="25418"/>
    <cellStyle name="Comma 2 6 4 16 5 2" xfId="25419"/>
    <cellStyle name="Comma 2 6 4 16 6" xfId="25420"/>
    <cellStyle name="Comma 2 6 4 16 6 2" xfId="25421"/>
    <cellStyle name="Comma 2 6 4 16 7" xfId="25422"/>
    <cellStyle name="Comma 2 6 4 16 7 2" xfId="25423"/>
    <cellStyle name="Comma 2 6 4 16 8" xfId="25424"/>
    <cellStyle name="Comma 2 6 4 16 8 2" xfId="25425"/>
    <cellStyle name="Comma 2 6 4 16 9" xfId="25426"/>
    <cellStyle name="Comma 2 6 4 16 9 2" xfId="25427"/>
    <cellStyle name="Comma 2 6 4 17" xfId="25428"/>
    <cellStyle name="Comma 2 6 4 17 10" xfId="25429"/>
    <cellStyle name="Comma 2 6 4 17 10 2" xfId="25430"/>
    <cellStyle name="Comma 2 6 4 17 11" xfId="25431"/>
    <cellStyle name="Comma 2 6 4 17 11 2" xfId="25432"/>
    <cellStyle name="Comma 2 6 4 17 12" xfId="25433"/>
    <cellStyle name="Comma 2 6 4 17 2" xfId="25434"/>
    <cellStyle name="Comma 2 6 4 17 2 2" xfId="25435"/>
    <cellStyle name="Comma 2 6 4 17 3" xfId="25436"/>
    <cellStyle name="Comma 2 6 4 17 3 2" xfId="25437"/>
    <cellStyle name="Comma 2 6 4 17 4" xfId="25438"/>
    <cellStyle name="Comma 2 6 4 17 4 2" xfId="25439"/>
    <cellStyle name="Comma 2 6 4 17 5" xfId="25440"/>
    <cellStyle name="Comma 2 6 4 17 5 2" xfId="25441"/>
    <cellStyle name="Comma 2 6 4 17 6" xfId="25442"/>
    <cellStyle name="Comma 2 6 4 17 6 2" xfId="25443"/>
    <cellStyle name="Comma 2 6 4 17 7" xfId="25444"/>
    <cellStyle name="Comma 2 6 4 17 7 2" xfId="25445"/>
    <cellStyle name="Comma 2 6 4 17 8" xfId="25446"/>
    <cellStyle name="Comma 2 6 4 17 8 2" xfId="25447"/>
    <cellStyle name="Comma 2 6 4 17 9" xfId="25448"/>
    <cellStyle name="Comma 2 6 4 17 9 2" xfId="25449"/>
    <cellStyle name="Comma 2 6 4 18" xfId="25450"/>
    <cellStyle name="Comma 2 6 4 18 10" xfId="25451"/>
    <cellStyle name="Comma 2 6 4 18 10 2" xfId="25452"/>
    <cellStyle name="Comma 2 6 4 18 11" xfId="25453"/>
    <cellStyle name="Comma 2 6 4 18 11 2" xfId="25454"/>
    <cellStyle name="Comma 2 6 4 18 12" xfId="25455"/>
    <cellStyle name="Comma 2 6 4 18 2" xfId="25456"/>
    <cellStyle name="Comma 2 6 4 18 2 2" xfId="25457"/>
    <cellStyle name="Comma 2 6 4 18 3" xfId="25458"/>
    <cellStyle name="Comma 2 6 4 18 3 2" xfId="25459"/>
    <cellStyle name="Comma 2 6 4 18 4" xfId="25460"/>
    <cellStyle name="Comma 2 6 4 18 4 2" xfId="25461"/>
    <cellStyle name="Comma 2 6 4 18 5" xfId="25462"/>
    <cellStyle name="Comma 2 6 4 18 5 2" xfId="25463"/>
    <cellStyle name="Comma 2 6 4 18 6" xfId="25464"/>
    <cellStyle name="Comma 2 6 4 18 6 2" xfId="25465"/>
    <cellStyle name="Comma 2 6 4 18 7" xfId="25466"/>
    <cellStyle name="Comma 2 6 4 18 7 2" xfId="25467"/>
    <cellStyle name="Comma 2 6 4 18 8" xfId="25468"/>
    <cellStyle name="Comma 2 6 4 18 8 2" xfId="25469"/>
    <cellStyle name="Comma 2 6 4 18 9" xfId="25470"/>
    <cellStyle name="Comma 2 6 4 18 9 2" xfId="25471"/>
    <cellStyle name="Comma 2 6 4 19" xfId="25472"/>
    <cellStyle name="Comma 2 6 4 19 10" xfId="25473"/>
    <cellStyle name="Comma 2 6 4 19 10 2" xfId="25474"/>
    <cellStyle name="Comma 2 6 4 19 11" xfId="25475"/>
    <cellStyle name="Comma 2 6 4 19 11 2" xfId="25476"/>
    <cellStyle name="Comma 2 6 4 19 12" xfId="25477"/>
    <cellStyle name="Comma 2 6 4 19 2" xfId="25478"/>
    <cellStyle name="Comma 2 6 4 19 2 2" xfId="25479"/>
    <cellStyle name="Comma 2 6 4 19 3" xfId="25480"/>
    <cellStyle name="Comma 2 6 4 19 3 2" xfId="25481"/>
    <cellStyle name="Comma 2 6 4 19 4" xfId="25482"/>
    <cellStyle name="Comma 2 6 4 19 4 2" xfId="25483"/>
    <cellStyle name="Comma 2 6 4 19 5" xfId="25484"/>
    <cellStyle name="Comma 2 6 4 19 5 2" xfId="25485"/>
    <cellStyle name="Comma 2 6 4 19 6" xfId="25486"/>
    <cellStyle name="Comma 2 6 4 19 6 2" xfId="25487"/>
    <cellStyle name="Comma 2 6 4 19 7" xfId="25488"/>
    <cellStyle name="Comma 2 6 4 19 7 2" xfId="25489"/>
    <cellStyle name="Comma 2 6 4 19 8" xfId="25490"/>
    <cellStyle name="Comma 2 6 4 19 8 2" xfId="25491"/>
    <cellStyle name="Comma 2 6 4 19 9" xfId="25492"/>
    <cellStyle name="Comma 2 6 4 19 9 2" xfId="25493"/>
    <cellStyle name="Comma 2 6 4 2" xfId="25494"/>
    <cellStyle name="Comma 2 6 4 2 10" xfId="25495"/>
    <cellStyle name="Comma 2 6 4 2 10 2" xfId="25496"/>
    <cellStyle name="Comma 2 6 4 2 11" xfId="25497"/>
    <cellStyle name="Comma 2 6 4 2 11 2" xfId="25498"/>
    <cellStyle name="Comma 2 6 4 2 12" xfId="25499"/>
    <cellStyle name="Comma 2 6 4 2 2" xfId="25500"/>
    <cellStyle name="Comma 2 6 4 2 2 2" xfId="25501"/>
    <cellStyle name="Comma 2 6 4 2 3" xfId="25502"/>
    <cellStyle name="Comma 2 6 4 2 3 2" xfId="25503"/>
    <cellStyle name="Comma 2 6 4 2 4" xfId="25504"/>
    <cellStyle name="Comma 2 6 4 2 4 2" xfId="25505"/>
    <cellStyle name="Comma 2 6 4 2 5" xfId="25506"/>
    <cellStyle name="Comma 2 6 4 2 5 2" xfId="25507"/>
    <cellStyle name="Comma 2 6 4 2 6" xfId="25508"/>
    <cellStyle name="Comma 2 6 4 2 6 2" xfId="25509"/>
    <cellStyle name="Comma 2 6 4 2 7" xfId="25510"/>
    <cellStyle name="Comma 2 6 4 2 7 2" xfId="25511"/>
    <cellStyle name="Comma 2 6 4 2 8" xfId="25512"/>
    <cellStyle name="Comma 2 6 4 2 8 2" xfId="25513"/>
    <cellStyle name="Comma 2 6 4 2 9" xfId="25514"/>
    <cellStyle name="Comma 2 6 4 2 9 2" xfId="25515"/>
    <cellStyle name="Comma 2 6 4 20" xfId="25516"/>
    <cellStyle name="Comma 2 6 4 20 10" xfId="25517"/>
    <cellStyle name="Comma 2 6 4 20 10 2" xfId="25518"/>
    <cellStyle name="Comma 2 6 4 20 11" xfId="25519"/>
    <cellStyle name="Comma 2 6 4 20 11 2" xfId="25520"/>
    <cellStyle name="Comma 2 6 4 20 12" xfId="25521"/>
    <cellStyle name="Comma 2 6 4 20 2" xfId="25522"/>
    <cellStyle name="Comma 2 6 4 20 2 2" xfId="25523"/>
    <cellStyle name="Comma 2 6 4 20 3" xfId="25524"/>
    <cellStyle name="Comma 2 6 4 20 3 2" xfId="25525"/>
    <cellStyle name="Comma 2 6 4 20 4" xfId="25526"/>
    <cellStyle name="Comma 2 6 4 20 4 2" xfId="25527"/>
    <cellStyle name="Comma 2 6 4 20 5" xfId="25528"/>
    <cellStyle name="Comma 2 6 4 20 5 2" xfId="25529"/>
    <cellStyle name="Comma 2 6 4 20 6" xfId="25530"/>
    <cellStyle name="Comma 2 6 4 20 6 2" xfId="25531"/>
    <cellStyle name="Comma 2 6 4 20 7" xfId="25532"/>
    <cellStyle name="Comma 2 6 4 20 7 2" xfId="25533"/>
    <cellStyle name="Comma 2 6 4 20 8" xfId="25534"/>
    <cellStyle name="Comma 2 6 4 20 8 2" xfId="25535"/>
    <cellStyle name="Comma 2 6 4 20 9" xfId="25536"/>
    <cellStyle name="Comma 2 6 4 20 9 2" xfId="25537"/>
    <cellStyle name="Comma 2 6 4 21" xfId="25538"/>
    <cellStyle name="Comma 2 6 4 21 10" xfId="25539"/>
    <cellStyle name="Comma 2 6 4 21 10 2" xfId="25540"/>
    <cellStyle name="Comma 2 6 4 21 11" xfId="25541"/>
    <cellStyle name="Comma 2 6 4 21 11 2" xfId="25542"/>
    <cellStyle name="Comma 2 6 4 21 12" xfId="25543"/>
    <cellStyle name="Comma 2 6 4 21 2" xfId="25544"/>
    <cellStyle name="Comma 2 6 4 21 2 2" xfId="25545"/>
    <cellStyle name="Comma 2 6 4 21 3" xfId="25546"/>
    <cellStyle name="Comma 2 6 4 21 3 2" xfId="25547"/>
    <cellStyle name="Comma 2 6 4 21 4" xfId="25548"/>
    <cellStyle name="Comma 2 6 4 21 4 2" xfId="25549"/>
    <cellStyle name="Comma 2 6 4 21 5" xfId="25550"/>
    <cellStyle name="Comma 2 6 4 21 5 2" xfId="25551"/>
    <cellStyle name="Comma 2 6 4 21 6" xfId="25552"/>
    <cellStyle name="Comma 2 6 4 21 6 2" xfId="25553"/>
    <cellStyle name="Comma 2 6 4 21 7" xfId="25554"/>
    <cellStyle name="Comma 2 6 4 21 7 2" xfId="25555"/>
    <cellStyle name="Comma 2 6 4 21 8" xfId="25556"/>
    <cellStyle name="Comma 2 6 4 21 8 2" xfId="25557"/>
    <cellStyle name="Comma 2 6 4 21 9" xfId="25558"/>
    <cellStyle name="Comma 2 6 4 21 9 2" xfId="25559"/>
    <cellStyle name="Comma 2 6 4 22" xfId="25560"/>
    <cellStyle name="Comma 2 6 4 22 10" xfId="25561"/>
    <cellStyle name="Comma 2 6 4 22 10 2" xfId="25562"/>
    <cellStyle name="Comma 2 6 4 22 11" xfId="25563"/>
    <cellStyle name="Comma 2 6 4 22 11 2" xfId="25564"/>
    <cellStyle name="Comma 2 6 4 22 12" xfId="25565"/>
    <cellStyle name="Comma 2 6 4 22 2" xfId="25566"/>
    <cellStyle name="Comma 2 6 4 22 2 2" xfId="25567"/>
    <cellStyle name="Comma 2 6 4 22 3" xfId="25568"/>
    <cellStyle name="Comma 2 6 4 22 3 2" xfId="25569"/>
    <cellStyle name="Comma 2 6 4 22 4" xfId="25570"/>
    <cellStyle name="Comma 2 6 4 22 4 2" xfId="25571"/>
    <cellStyle name="Comma 2 6 4 22 5" xfId="25572"/>
    <cellStyle name="Comma 2 6 4 22 5 2" xfId="25573"/>
    <cellStyle name="Comma 2 6 4 22 6" xfId="25574"/>
    <cellStyle name="Comma 2 6 4 22 6 2" xfId="25575"/>
    <cellStyle name="Comma 2 6 4 22 7" xfId="25576"/>
    <cellStyle name="Comma 2 6 4 22 7 2" xfId="25577"/>
    <cellStyle name="Comma 2 6 4 22 8" xfId="25578"/>
    <cellStyle name="Comma 2 6 4 22 8 2" xfId="25579"/>
    <cellStyle name="Comma 2 6 4 22 9" xfId="25580"/>
    <cellStyle name="Comma 2 6 4 22 9 2" xfId="25581"/>
    <cellStyle name="Comma 2 6 4 23" xfId="25582"/>
    <cellStyle name="Comma 2 6 4 23 10" xfId="25583"/>
    <cellStyle name="Comma 2 6 4 23 10 2" xfId="25584"/>
    <cellStyle name="Comma 2 6 4 23 11" xfId="25585"/>
    <cellStyle name="Comma 2 6 4 23 11 2" xfId="25586"/>
    <cellStyle name="Comma 2 6 4 23 12" xfId="25587"/>
    <cellStyle name="Comma 2 6 4 23 2" xfId="25588"/>
    <cellStyle name="Comma 2 6 4 23 2 2" xfId="25589"/>
    <cellStyle name="Comma 2 6 4 23 3" xfId="25590"/>
    <cellStyle name="Comma 2 6 4 23 3 2" xfId="25591"/>
    <cellStyle name="Comma 2 6 4 23 4" xfId="25592"/>
    <cellStyle name="Comma 2 6 4 23 4 2" xfId="25593"/>
    <cellStyle name="Comma 2 6 4 23 5" xfId="25594"/>
    <cellStyle name="Comma 2 6 4 23 5 2" xfId="25595"/>
    <cellStyle name="Comma 2 6 4 23 6" xfId="25596"/>
    <cellStyle name="Comma 2 6 4 23 6 2" xfId="25597"/>
    <cellStyle name="Comma 2 6 4 23 7" xfId="25598"/>
    <cellStyle name="Comma 2 6 4 23 7 2" xfId="25599"/>
    <cellStyle name="Comma 2 6 4 23 8" xfId="25600"/>
    <cellStyle name="Comma 2 6 4 23 8 2" xfId="25601"/>
    <cellStyle name="Comma 2 6 4 23 9" xfId="25602"/>
    <cellStyle name="Comma 2 6 4 23 9 2" xfId="25603"/>
    <cellStyle name="Comma 2 6 4 24" xfId="25604"/>
    <cellStyle name="Comma 2 6 4 24 10" xfId="25605"/>
    <cellStyle name="Comma 2 6 4 24 10 2" xfId="25606"/>
    <cellStyle name="Comma 2 6 4 24 11" xfId="25607"/>
    <cellStyle name="Comma 2 6 4 24 11 2" xfId="25608"/>
    <cellStyle name="Comma 2 6 4 24 12" xfId="25609"/>
    <cellStyle name="Comma 2 6 4 24 2" xfId="25610"/>
    <cellStyle name="Comma 2 6 4 24 2 2" xfId="25611"/>
    <cellStyle name="Comma 2 6 4 24 3" xfId="25612"/>
    <cellStyle name="Comma 2 6 4 24 3 2" xfId="25613"/>
    <cellStyle name="Comma 2 6 4 24 4" xfId="25614"/>
    <cellStyle name="Comma 2 6 4 24 4 2" xfId="25615"/>
    <cellStyle name="Comma 2 6 4 24 5" xfId="25616"/>
    <cellStyle name="Comma 2 6 4 24 5 2" xfId="25617"/>
    <cellStyle name="Comma 2 6 4 24 6" xfId="25618"/>
    <cellStyle name="Comma 2 6 4 24 6 2" xfId="25619"/>
    <cellStyle name="Comma 2 6 4 24 7" xfId="25620"/>
    <cellStyle name="Comma 2 6 4 24 7 2" xfId="25621"/>
    <cellStyle name="Comma 2 6 4 24 8" xfId="25622"/>
    <cellStyle name="Comma 2 6 4 24 8 2" xfId="25623"/>
    <cellStyle name="Comma 2 6 4 24 9" xfId="25624"/>
    <cellStyle name="Comma 2 6 4 24 9 2" xfId="25625"/>
    <cellStyle name="Comma 2 6 4 25" xfId="25626"/>
    <cellStyle name="Comma 2 6 4 25 10" xfId="25627"/>
    <cellStyle name="Comma 2 6 4 25 10 2" xfId="25628"/>
    <cellStyle name="Comma 2 6 4 25 11" xfId="25629"/>
    <cellStyle name="Comma 2 6 4 25 11 2" xfId="25630"/>
    <cellStyle name="Comma 2 6 4 25 12" xfId="25631"/>
    <cellStyle name="Comma 2 6 4 25 2" xfId="25632"/>
    <cellStyle name="Comma 2 6 4 25 2 2" xfId="25633"/>
    <cellStyle name="Comma 2 6 4 25 3" xfId="25634"/>
    <cellStyle name="Comma 2 6 4 25 3 2" xfId="25635"/>
    <cellStyle name="Comma 2 6 4 25 4" xfId="25636"/>
    <cellStyle name="Comma 2 6 4 25 4 2" xfId="25637"/>
    <cellStyle name="Comma 2 6 4 25 5" xfId="25638"/>
    <cellStyle name="Comma 2 6 4 25 5 2" xfId="25639"/>
    <cellStyle name="Comma 2 6 4 25 6" xfId="25640"/>
    <cellStyle name="Comma 2 6 4 25 6 2" xfId="25641"/>
    <cellStyle name="Comma 2 6 4 25 7" xfId="25642"/>
    <cellStyle name="Comma 2 6 4 25 7 2" xfId="25643"/>
    <cellStyle name="Comma 2 6 4 25 8" xfId="25644"/>
    <cellStyle name="Comma 2 6 4 25 8 2" xfId="25645"/>
    <cellStyle name="Comma 2 6 4 25 9" xfId="25646"/>
    <cellStyle name="Comma 2 6 4 25 9 2" xfId="25647"/>
    <cellStyle name="Comma 2 6 4 26" xfId="25648"/>
    <cellStyle name="Comma 2 6 4 26 10" xfId="25649"/>
    <cellStyle name="Comma 2 6 4 26 10 2" xfId="25650"/>
    <cellStyle name="Comma 2 6 4 26 11" xfId="25651"/>
    <cellStyle name="Comma 2 6 4 26 11 2" xfId="25652"/>
    <cellStyle name="Comma 2 6 4 26 12" xfId="25653"/>
    <cellStyle name="Comma 2 6 4 26 2" xfId="25654"/>
    <cellStyle name="Comma 2 6 4 26 2 2" xfId="25655"/>
    <cellStyle name="Comma 2 6 4 26 3" xfId="25656"/>
    <cellStyle name="Comma 2 6 4 26 3 2" xfId="25657"/>
    <cellStyle name="Comma 2 6 4 26 4" xfId="25658"/>
    <cellStyle name="Comma 2 6 4 26 4 2" xfId="25659"/>
    <cellStyle name="Comma 2 6 4 26 5" xfId="25660"/>
    <cellStyle name="Comma 2 6 4 26 5 2" xfId="25661"/>
    <cellStyle name="Comma 2 6 4 26 6" xfId="25662"/>
    <cellStyle name="Comma 2 6 4 26 6 2" xfId="25663"/>
    <cellStyle name="Comma 2 6 4 26 7" xfId="25664"/>
    <cellStyle name="Comma 2 6 4 26 7 2" xfId="25665"/>
    <cellStyle name="Comma 2 6 4 26 8" xfId="25666"/>
    <cellStyle name="Comma 2 6 4 26 8 2" xfId="25667"/>
    <cellStyle name="Comma 2 6 4 26 9" xfId="25668"/>
    <cellStyle name="Comma 2 6 4 26 9 2" xfId="25669"/>
    <cellStyle name="Comma 2 6 4 27" xfId="25670"/>
    <cellStyle name="Comma 2 6 4 27 10" xfId="25671"/>
    <cellStyle name="Comma 2 6 4 27 10 2" xfId="25672"/>
    <cellStyle name="Comma 2 6 4 27 11" xfId="25673"/>
    <cellStyle name="Comma 2 6 4 27 11 2" xfId="25674"/>
    <cellStyle name="Comma 2 6 4 27 12" xfId="25675"/>
    <cellStyle name="Comma 2 6 4 27 2" xfId="25676"/>
    <cellStyle name="Comma 2 6 4 27 2 2" xfId="25677"/>
    <cellStyle name="Comma 2 6 4 27 3" xfId="25678"/>
    <cellStyle name="Comma 2 6 4 27 3 2" xfId="25679"/>
    <cellStyle name="Comma 2 6 4 27 4" xfId="25680"/>
    <cellStyle name="Comma 2 6 4 27 4 2" xfId="25681"/>
    <cellStyle name="Comma 2 6 4 27 5" xfId="25682"/>
    <cellStyle name="Comma 2 6 4 27 5 2" xfId="25683"/>
    <cellStyle name="Comma 2 6 4 27 6" xfId="25684"/>
    <cellStyle name="Comma 2 6 4 27 6 2" xfId="25685"/>
    <cellStyle name="Comma 2 6 4 27 7" xfId="25686"/>
    <cellStyle name="Comma 2 6 4 27 7 2" xfId="25687"/>
    <cellStyle name="Comma 2 6 4 27 8" xfId="25688"/>
    <cellStyle name="Comma 2 6 4 27 8 2" xfId="25689"/>
    <cellStyle name="Comma 2 6 4 27 9" xfId="25690"/>
    <cellStyle name="Comma 2 6 4 27 9 2" xfId="25691"/>
    <cellStyle name="Comma 2 6 4 28" xfId="25692"/>
    <cellStyle name="Comma 2 6 4 28 10" xfId="25693"/>
    <cellStyle name="Comma 2 6 4 28 10 2" xfId="25694"/>
    <cellStyle name="Comma 2 6 4 28 11" xfId="25695"/>
    <cellStyle name="Comma 2 6 4 28 11 2" xfId="25696"/>
    <cellStyle name="Comma 2 6 4 28 12" xfId="25697"/>
    <cellStyle name="Comma 2 6 4 28 2" xfId="25698"/>
    <cellStyle name="Comma 2 6 4 28 2 2" xfId="25699"/>
    <cellStyle name="Comma 2 6 4 28 3" xfId="25700"/>
    <cellStyle name="Comma 2 6 4 28 3 2" xfId="25701"/>
    <cellStyle name="Comma 2 6 4 28 4" xfId="25702"/>
    <cellStyle name="Comma 2 6 4 28 4 2" xfId="25703"/>
    <cellStyle name="Comma 2 6 4 28 5" xfId="25704"/>
    <cellStyle name="Comma 2 6 4 28 5 2" xfId="25705"/>
    <cellStyle name="Comma 2 6 4 28 6" xfId="25706"/>
    <cellStyle name="Comma 2 6 4 28 6 2" xfId="25707"/>
    <cellStyle name="Comma 2 6 4 28 7" xfId="25708"/>
    <cellStyle name="Comma 2 6 4 28 7 2" xfId="25709"/>
    <cellStyle name="Comma 2 6 4 28 8" xfId="25710"/>
    <cellStyle name="Comma 2 6 4 28 8 2" xfId="25711"/>
    <cellStyle name="Comma 2 6 4 28 9" xfId="25712"/>
    <cellStyle name="Comma 2 6 4 28 9 2" xfId="25713"/>
    <cellStyle name="Comma 2 6 4 29" xfId="25714"/>
    <cellStyle name="Comma 2 6 4 29 10" xfId="25715"/>
    <cellStyle name="Comma 2 6 4 29 10 2" xfId="25716"/>
    <cellStyle name="Comma 2 6 4 29 11" xfId="25717"/>
    <cellStyle name="Comma 2 6 4 29 11 2" xfId="25718"/>
    <cellStyle name="Comma 2 6 4 29 12" xfId="25719"/>
    <cellStyle name="Comma 2 6 4 29 2" xfId="25720"/>
    <cellStyle name="Comma 2 6 4 29 2 2" xfId="25721"/>
    <cellStyle name="Comma 2 6 4 29 3" xfId="25722"/>
    <cellStyle name="Comma 2 6 4 29 3 2" xfId="25723"/>
    <cellStyle name="Comma 2 6 4 29 4" xfId="25724"/>
    <cellStyle name="Comma 2 6 4 29 4 2" xfId="25725"/>
    <cellStyle name="Comma 2 6 4 29 5" xfId="25726"/>
    <cellStyle name="Comma 2 6 4 29 5 2" xfId="25727"/>
    <cellStyle name="Comma 2 6 4 29 6" xfId="25728"/>
    <cellStyle name="Comma 2 6 4 29 6 2" xfId="25729"/>
    <cellStyle name="Comma 2 6 4 29 7" xfId="25730"/>
    <cellStyle name="Comma 2 6 4 29 7 2" xfId="25731"/>
    <cellStyle name="Comma 2 6 4 29 8" xfId="25732"/>
    <cellStyle name="Comma 2 6 4 29 8 2" xfId="25733"/>
    <cellStyle name="Comma 2 6 4 29 9" xfId="25734"/>
    <cellStyle name="Comma 2 6 4 29 9 2" xfId="25735"/>
    <cellStyle name="Comma 2 6 4 3" xfId="25736"/>
    <cellStyle name="Comma 2 6 4 3 10" xfId="25737"/>
    <cellStyle name="Comma 2 6 4 3 10 2" xfId="25738"/>
    <cellStyle name="Comma 2 6 4 3 11" xfId="25739"/>
    <cellStyle name="Comma 2 6 4 3 11 2" xfId="25740"/>
    <cellStyle name="Comma 2 6 4 3 12" xfId="25741"/>
    <cellStyle name="Comma 2 6 4 3 2" xfId="25742"/>
    <cellStyle name="Comma 2 6 4 3 2 2" xfId="25743"/>
    <cellStyle name="Comma 2 6 4 3 3" xfId="25744"/>
    <cellStyle name="Comma 2 6 4 3 3 2" xfId="25745"/>
    <cellStyle name="Comma 2 6 4 3 4" xfId="25746"/>
    <cellStyle name="Comma 2 6 4 3 4 2" xfId="25747"/>
    <cellStyle name="Comma 2 6 4 3 5" xfId="25748"/>
    <cellStyle name="Comma 2 6 4 3 5 2" xfId="25749"/>
    <cellStyle name="Comma 2 6 4 3 6" xfId="25750"/>
    <cellStyle name="Comma 2 6 4 3 6 2" xfId="25751"/>
    <cellStyle name="Comma 2 6 4 3 7" xfId="25752"/>
    <cellStyle name="Comma 2 6 4 3 7 2" xfId="25753"/>
    <cellStyle name="Comma 2 6 4 3 8" xfId="25754"/>
    <cellStyle name="Comma 2 6 4 3 8 2" xfId="25755"/>
    <cellStyle name="Comma 2 6 4 3 9" xfId="25756"/>
    <cellStyle name="Comma 2 6 4 3 9 2" xfId="25757"/>
    <cellStyle name="Comma 2 6 4 30" xfId="25758"/>
    <cellStyle name="Comma 2 6 4 30 10" xfId="25759"/>
    <cellStyle name="Comma 2 6 4 30 10 2" xfId="25760"/>
    <cellStyle name="Comma 2 6 4 30 11" xfId="25761"/>
    <cellStyle name="Comma 2 6 4 30 11 2" xfId="25762"/>
    <cellStyle name="Comma 2 6 4 30 12" xfId="25763"/>
    <cellStyle name="Comma 2 6 4 30 2" xfId="25764"/>
    <cellStyle name="Comma 2 6 4 30 2 2" xfId="25765"/>
    <cellStyle name="Comma 2 6 4 30 3" xfId="25766"/>
    <cellStyle name="Comma 2 6 4 30 3 2" xfId="25767"/>
    <cellStyle name="Comma 2 6 4 30 4" xfId="25768"/>
    <cellStyle name="Comma 2 6 4 30 4 2" xfId="25769"/>
    <cellStyle name="Comma 2 6 4 30 5" xfId="25770"/>
    <cellStyle name="Comma 2 6 4 30 5 2" xfId="25771"/>
    <cellStyle name="Comma 2 6 4 30 6" xfId="25772"/>
    <cellStyle name="Comma 2 6 4 30 6 2" xfId="25773"/>
    <cellStyle name="Comma 2 6 4 30 7" xfId="25774"/>
    <cellStyle name="Comma 2 6 4 30 7 2" xfId="25775"/>
    <cellStyle name="Comma 2 6 4 30 8" xfId="25776"/>
    <cellStyle name="Comma 2 6 4 30 8 2" xfId="25777"/>
    <cellStyle name="Comma 2 6 4 30 9" xfId="25778"/>
    <cellStyle name="Comma 2 6 4 30 9 2" xfId="25779"/>
    <cellStyle name="Comma 2 6 4 31" xfId="25780"/>
    <cellStyle name="Comma 2 6 4 31 10" xfId="25781"/>
    <cellStyle name="Comma 2 6 4 31 10 2" xfId="25782"/>
    <cellStyle name="Comma 2 6 4 31 11" xfId="25783"/>
    <cellStyle name="Comma 2 6 4 31 11 2" xfId="25784"/>
    <cellStyle name="Comma 2 6 4 31 12" xfId="25785"/>
    <cellStyle name="Comma 2 6 4 31 2" xfId="25786"/>
    <cellStyle name="Comma 2 6 4 31 2 2" xfId="25787"/>
    <cellStyle name="Comma 2 6 4 31 3" xfId="25788"/>
    <cellStyle name="Comma 2 6 4 31 3 2" xfId="25789"/>
    <cellStyle name="Comma 2 6 4 31 4" xfId="25790"/>
    <cellStyle name="Comma 2 6 4 31 4 2" xfId="25791"/>
    <cellStyle name="Comma 2 6 4 31 5" xfId="25792"/>
    <cellStyle name="Comma 2 6 4 31 5 2" xfId="25793"/>
    <cellStyle name="Comma 2 6 4 31 6" xfId="25794"/>
    <cellStyle name="Comma 2 6 4 31 6 2" xfId="25795"/>
    <cellStyle name="Comma 2 6 4 31 7" xfId="25796"/>
    <cellStyle name="Comma 2 6 4 31 7 2" xfId="25797"/>
    <cellStyle name="Comma 2 6 4 31 8" xfId="25798"/>
    <cellStyle name="Comma 2 6 4 31 8 2" xfId="25799"/>
    <cellStyle name="Comma 2 6 4 31 9" xfId="25800"/>
    <cellStyle name="Comma 2 6 4 31 9 2" xfId="25801"/>
    <cellStyle name="Comma 2 6 4 32" xfId="25802"/>
    <cellStyle name="Comma 2 6 4 32 10" xfId="25803"/>
    <cellStyle name="Comma 2 6 4 32 10 2" xfId="25804"/>
    <cellStyle name="Comma 2 6 4 32 11" xfId="25805"/>
    <cellStyle name="Comma 2 6 4 32 11 2" xfId="25806"/>
    <cellStyle name="Comma 2 6 4 32 12" xfId="25807"/>
    <cellStyle name="Comma 2 6 4 32 2" xfId="25808"/>
    <cellStyle name="Comma 2 6 4 32 2 2" xfId="25809"/>
    <cellStyle name="Comma 2 6 4 32 3" xfId="25810"/>
    <cellStyle name="Comma 2 6 4 32 3 2" xfId="25811"/>
    <cellStyle name="Comma 2 6 4 32 4" xfId="25812"/>
    <cellStyle name="Comma 2 6 4 32 4 2" xfId="25813"/>
    <cellStyle name="Comma 2 6 4 32 5" xfId="25814"/>
    <cellStyle name="Comma 2 6 4 32 5 2" xfId="25815"/>
    <cellStyle name="Comma 2 6 4 32 6" xfId="25816"/>
    <cellStyle name="Comma 2 6 4 32 6 2" xfId="25817"/>
    <cellStyle name="Comma 2 6 4 32 7" xfId="25818"/>
    <cellStyle name="Comma 2 6 4 32 7 2" xfId="25819"/>
    <cellStyle name="Comma 2 6 4 32 8" xfId="25820"/>
    <cellStyle name="Comma 2 6 4 32 8 2" xfId="25821"/>
    <cellStyle name="Comma 2 6 4 32 9" xfId="25822"/>
    <cellStyle name="Comma 2 6 4 32 9 2" xfId="25823"/>
    <cellStyle name="Comma 2 6 4 33" xfId="25824"/>
    <cellStyle name="Comma 2 6 4 33 10" xfId="25825"/>
    <cellStyle name="Comma 2 6 4 33 10 2" xfId="25826"/>
    <cellStyle name="Comma 2 6 4 33 11" xfId="25827"/>
    <cellStyle name="Comma 2 6 4 33 11 2" xfId="25828"/>
    <cellStyle name="Comma 2 6 4 33 12" xfId="25829"/>
    <cellStyle name="Comma 2 6 4 33 2" xfId="25830"/>
    <cellStyle name="Comma 2 6 4 33 2 2" xfId="25831"/>
    <cellStyle name="Comma 2 6 4 33 3" xfId="25832"/>
    <cellStyle name="Comma 2 6 4 33 3 2" xfId="25833"/>
    <cellStyle name="Comma 2 6 4 33 4" xfId="25834"/>
    <cellStyle name="Comma 2 6 4 33 4 2" xfId="25835"/>
    <cellStyle name="Comma 2 6 4 33 5" xfId="25836"/>
    <cellStyle name="Comma 2 6 4 33 5 2" xfId="25837"/>
    <cellStyle name="Comma 2 6 4 33 6" xfId="25838"/>
    <cellStyle name="Comma 2 6 4 33 6 2" xfId="25839"/>
    <cellStyle name="Comma 2 6 4 33 7" xfId="25840"/>
    <cellStyle name="Comma 2 6 4 33 7 2" xfId="25841"/>
    <cellStyle name="Comma 2 6 4 33 8" xfId="25842"/>
    <cellStyle name="Comma 2 6 4 33 8 2" xfId="25843"/>
    <cellStyle name="Comma 2 6 4 33 9" xfId="25844"/>
    <cellStyle name="Comma 2 6 4 33 9 2" xfId="25845"/>
    <cellStyle name="Comma 2 6 4 34" xfId="25846"/>
    <cellStyle name="Comma 2 6 4 34 10" xfId="25847"/>
    <cellStyle name="Comma 2 6 4 34 10 2" xfId="25848"/>
    <cellStyle name="Comma 2 6 4 34 11" xfId="25849"/>
    <cellStyle name="Comma 2 6 4 34 11 2" xfId="25850"/>
    <cellStyle name="Comma 2 6 4 34 12" xfId="25851"/>
    <cellStyle name="Comma 2 6 4 34 2" xfId="25852"/>
    <cellStyle name="Comma 2 6 4 34 2 2" xfId="25853"/>
    <cellStyle name="Comma 2 6 4 34 3" xfId="25854"/>
    <cellStyle name="Comma 2 6 4 34 3 2" xfId="25855"/>
    <cellStyle name="Comma 2 6 4 34 4" xfId="25856"/>
    <cellStyle name="Comma 2 6 4 34 4 2" xfId="25857"/>
    <cellStyle name="Comma 2 6 4 34 5" xfId="25858"/>
    <cellStyle name="Comma 2 6 4 34 5 2" xfId="25859"/>
    <cellStyle name="Comma 2 6 4 34 6" xfId="25860"/>
    <cellStyle name="Comma 2 6 4 34 6 2" xfId="25861"/>
    <cellStyle name="Comma 2 6 4 34 7" xfId="25862"/>
    <cellStyle name="Comma 2 6 4 34 7 2" xfId="25863"/>
    <cellStyle name="Comma 2 6 4 34 8" xfId="25864"/>
    <cellStyle name="Comma 2 6 4 34 8 2" xfId="25865"/>
    <cellStyle name="Comma 2 6 4 34 9" xfId="25866"/>
    <cellStyle name="Comma 2 6 4 34 9 2" xfId="25867"/>
    <cellStyle name="Comma 2 6 4 35" xfId="25868"/>
    <cellStyle name="Comma 2 6 4 35 10" xfId="25869"/>
    <cellStyle name="Comma 2 6 4 35 10 2" xfId="25870"/>
    <cellStyle name="Comma 2 6 4 35 11" xfId="25871"/>
    <cellStyle name="Comma 2 6 4 35 11 2" xfId="25872"/>
    <cellStyle name="Comma 2 6 4 35 12" xfId="25873"/>
    <cellStyle name="Comma 2 6 4 35 2" xfId="25874"/>
    <cellStyle name="Comma 2 6 4 35 2 2" xfId="25875"/>
    <cellStyle name="Comma 2 6 4 35 3" xfId="25876"/>
    <cellStyle name="Comma 2 6 4 35 3 2" xfId="25877"/>
    <cellStyle name="Comma 2 6 4 35 4" xfId="25878"/>
    <cellStyle name="Comma 2 6 4 35 4 2" xfId="25879"/>
    <cellStyle name="Comma 2 6 4 35 5" xfId="25880"/>
    <cellStyle name="Comma 2 6 4 35 5 2" xfId="25881"/>
    <cellStyle name="Comma 2 6 4 35 6" xfId="25882"/>
    <cellStyle name="Comma 2 6 4 35 6 2" xfId="25883"/>
    <cellStyle name="Comma 2 6 4 35 7" xfId="25884"/>
    <cellStyle name="Comma 2 6 4 35 7 2" xfId="25885"/>
    <cellStyle name="Comma 2 6 4 35 8" xfId="25886"/>
    <cellStyle name="Comma 2 6 4 35 8 2" xfId="25887"/>
    <cellStyle name="Comma 2 6 4 35 9" xfId="25888"/>
    <cellStyle name="Comma 2 6 4 35 9 2" xfId="25889"/>
    <cellStyle name="Comma 2 6 4 36" xfId="25890"/>
    <cellStyle name="Comma 2 6 4 36 10" xfId="25891"/>
    <cellStyle name="Comma 2 6 4 36 10 2" xfId="25892"/>
    <cellStyle name="Comma 2 6 4 36 11" xfId="25893"/>
    <cellStyle name="Comma 2 6 4 36 11 2" xfId="25894"/>
    <cellStyle name="Comma 2 6 4 36 12" xfId="25895"/>
    <cellStyle name="Comma 2 6 4 36 2" xfId="25896"/>
    <cellStyle name="Comma 2 6 4 36 2 2" xfId="25897"/>
    <cellStyle name="Comma 2 6 4 36 3" xfId="25898"/>
    <cellStyle name="Comma 2 6 4 36 3 2" xfId="25899"/>
    <cellStyle name="Comma 2 6 4 36 4" xfId="25900"/>
    <cellStyle name="Comma 2 6 4 36 4 2" xfId="25901"/>
    <cellStyle name="Comma 2 6 4 36 5" xfId="25902"/>
    <cellStyle name="Comma 2 6 4 36 5 2" xfId="25903"/>
    <cellStyle name="Comma 2 6 4 36 6" xfId="25904"/>
    <cellStyle name="Comma 2 6 4 36 6 2" xfId="25905"/>
    <cellStyle name="Comma 2 6 4 36 7" xfId="25906"/>
    <cellStyle name="Comma 2 6 4 36 7 2" xfId="25907"/>
    <cellStyle name="Comma 2 6 4 36 8" xfId="25908"/>
    <cellStyle name="Comma 2 6 4 36 8 2" xfId="25909"/>
    <cellStyle name="Comma 2 6 4 36 9" xfId="25910"/>
    <cellStyle name="Comma 2 6 4 36 9 2" xfId="25911"/>
    <cellStyle name="Comma 2 6 4 37" xfId="25912"/>
    <cellStyle name="Comma 2 6 4 37 10" xfId="25913"/>
    <cellStyle name="Comma 2 6 4 37 10 2" xfId="25914"/>
    <cellStyle name="Comma 2 6 4 37 11" xfId="25915"/>
    <cellStyle name="Comma 2 6 4 37 11 2" xfId="25916"/>
    <cellStyle name="Comma 2 6 4 37 12" xfId="25917"/>
    <cellStyle name="Comma 2 6 4 37 2" xfId="25918"/>
    <cellStyle name="Comma 2 6 4 37 2 2" xfId="25919"/>
    <cellStyle name="Comma 2 6 4 37 3" xfId="25920"/>
    <cellStyle name="Comma 2 6 4 37 3 2" xfId="25921"/>
    <cellStyle name="Comma 2 6 4 37 4" xfId="25922"/>
    <cellStyle name="Comma 2 6 4 37 4 2" xfId="25923"/>
    <cellStyle name="Comma 2 6 4 37 5" xfId="25924"/>
    <cellStyle name="Comma 2 6 4 37 5 2" xfId="25925"/>
    <cellStyle name="Comma 2 6 4 37 6" xfId="25926"/>
    <cellStyle name="Comma 2 6 4 37 6 2" xfId="25927"/>
    <cellStyle name="Comma 2 6 4 37 7" xfId="25928"/>
    <cellStyle name="Comma 2 6 4 37 7 2" xfId="25929"/>
    <cellStyle name="Comma 2 6 4 37 8" xfId="25930"/>
    <cellStyle name="Comma 2 6 4 37 8 2" xfId="25931"/>
    <cellStyle name="Comma 2 6 4 37 9" xfId="25932"/>
    <cellStyle name="Comma 2 6 4 37 9 2" xfId="25933"/>
    <cellStyle name="Comma 2 6 4 38" xfId="25934"/>
    <cellStyle name="Comma 2 6 4 38 10" xfId="25935"/>
    <cellStyle name="Comma 2 6 4 38 10 2" xfId="25936"/>
    <cellStyle name="Comma 2 6 4 38 11" xfId="25937"/>
    <cellStyle name="Comma 2 6 4 38 11 2" xfId="25938"/>
    <cellStyle name="Comma 2 6 4 38 12" xfId="25939"/>
    <cellStyle name="Comma 2 6 4 38 2" xfId="25940"/>
    <cellStyle name="Comma 2 6 4 38 2 2" xfId="25941"/>
    <cellStyle name="Comma 2 6 4 38 3" xfId="25942"/>
    <cellStyle name="Comma 2 6 4 38 3 2" xfId="25943"/>
    <cellStyle name="Comma 2 6 4 38 4" xfId="25944"/>
    <cellStyle name="Comma 2 6 4 38 4 2" xfId="25945"/>
    <cellStyle name="Comma 2 6 4 38 5" xfId="25946"/>
    <cellStyle name="Comma 2 6 4 38 5 2" xfId="25947"/>
    <cellStyle name="Comma 2 6 4 38 6" xfId="25948"/>
    <cellStyle name="Comma 2 6 4 38 6 2" xfId="25949"/>
    <cellStyle name="Comma 2 6 4 38 7" xfId="25950"/>
    <cellStyle name="Comma 2 6 4 38 7 2" xfId="25951"/>
    <cellStyle name="Comma 2 6 4 38 8" xfId="25952"/>
    <cellStyle name="Comma 2 6 4 38 8 2" xfId="25953"/>
    <cellStyle name="Comma 2 6 4 38 9" xfId="25954"/>
    <cellStyle name="Comma 2 6 4 38 9 2" xfId="25955"/>
    <cellStyle name="Comma 2 6 4 39" xfId="25956"/>
    <cellStyle name="Comma 2 6 4 39 10" xfId="25957"/>
    <cellStyle name="Comma 2 6 4 39 10 2" xfId="25958"/>
    <cellStyle name="Comma 2 6 4 39 11" xfId="25959"/>
    <cellStyle name="Comma 2 6 4 39 11 2" xfId="25960"/>
    <cellStyle name="Comma 2 6 4 39 12" xfId="25961"/>
    <cellStyle name="Comma 2 6 4 39 2" xfId="25962"/>
    <cellStyle name="Comma 2 6 4 39 2 2" xfId="25963"/>
    <cellStyle name="Comma 2 6 4 39 3" xfId="25964"/>
    <cellStyle name="Comma 2 6 4 39 3 2" xfId="25965"/>
    <cellStyle name="Comma 2 6 4 39 4" xfId="25966"/>
    <cellStyle name="Comma 2 6 4 39 4 2" xfId="25967"/>
    <cellStyle name="Comma 2 6 4 39 5" xfId="25968"/>
    <cellStyle name="Comma 2 6 4 39 5 2" xfId="25969"/>
    <cellStyle name="Comma 2 6 4 39 6" xfId="25970"/>
    <cellStyle name="Comma 2 6 4 39 6 2" xfId="25971"/>
    <cellStyle name="Comma 2 6 4 39 7" xfId="25972"/>
    <cellStyle name="Comma 2 6 4 39 7 2" xfId="25973"/>
    <cellStyle name="Comma 2 6 4 39 8" xfId="25974"/>
    <cellStyle name="Comma 2 6 4 39 8 2" xfId="25975"/>
    <cellStyle name="Comma 2 6 4 39 9" xfId="25976"/>
    <cellStyle name="Comma 2 6 4 39 9 2" xfId="25977"/>
    <cellStyle name="Comma 2 6 4 4" xfId="25978"/>
    <cellStyle name="Comma 2 6 4 4 10" xfId="25979"/>
    <cellStyle name="Comma 2 6 4 4 10 2" xfId="25980"/>
    <cellStyle name="Comma 2 6 4 4 11" xfId="25981"/>
    <cellStyle name="Comma 2 6 4 4 11 2" xfId="25982"/>
    <cellStyle name="Comma 2 6 4 4 12" xfId="25983"/>
    <cellStyle name="Comma 2 6 4 4 2" xfId="25984"/>
    <cellStyle name="Comma 2 6 4 4 2 2" xfId="25985"/>
    <cellStyle name="Comma 2 6 4 4 3" xfId="25986"/>
    <cellStyle name="Comma 2 6 4 4 3 2" xfId="25987"/>
    <cellStyle name="Comma 2 6 4 4 4" xfId="25988"/>
    <cellStyle name="Comma 2 6 4 4 4 2" xfId="25989"/>
    <cellStyle name="Comma 2 6 4 4 5" xfId="25990"/>
    <cellStyle name="Comma 2 6 4 4 5 2" xfId="25991"/>
    <cellStyle name="Comma 2 6 4 4 6" xfId="25992"/>
    <cellStyle name="Comma 2 6 4 4 6 2" xfId="25993"/>
    <cellStyle name="Comma 2 6 4 4 7" xfId="25994"/>
    <cellStyle name="Comma 2 6 4 4 7 2" xfId="25995"/>
    <cellStyle name="Comma 2 6 4 4 8" xfId="25996"/>
    <cellStyle name="Comma 2 6 4 4 8 2" xfId="25997"/>
    <cellStyle name="Comma 2 6 4 4 9" xfId="25998"/>
    <cellStyle name="Comma 2 6 4 4 9 2" xfId="25999"/>
    <cellStyle name="Comma 2 6 4 40" xfId="26000"/>
    <cellStyle name="Comma 2 6 4 40 2" xfId="26001"/>
    <cellStyle name="Comma 2 6 4 41" xfId="26002"/>
    <cellStyle name="Comma 2 6 4 41 2" xfId="26003"/>
    <cellStyle name="Comma 2 6 4 42" xfId="26004"/>
    <cellStyle name="Comma 2 6 4 42 2" xfId="26005"/>
    <cellStyle name="Comma 2 6 4 43" xfId="26006"/>
    <cellStyle name="Comma 2 6 4 43 2" xfId="26007"/>
    <cellStyle name="Comma 2 6 4 44" xfId="26008"/>
    <cellStyle name="Comma 2 6 4 44 2" xfId="26009"/>
    <cellStyle name="Comma 2 6 4 45" xfId="26010"/>
    <cellStyle name="Comma 2 6 4 45 2" xfId="26011"/>
    <cellStyle name="Comma 2 6 4 46" xfId="26012"/>
    <cellStyle name="Comma 2 6 4 46 2" xfId="26013"/>
    <cellStyle name="Comma 2 6 4 47" xfId="26014"/>
    <cellStyle name="Comma 2 6 4 47 2" xfId="26015"/>
    <cellStyle name="Comma 2 6 4 48" xfId="26016"/>
    <cellStyle name="Comma 2 6 4 48 2" xfId="26017"/>
    <cellStyle name="Comma 2 6 4 49" xfId="26018"/>
    <cellStyle name="Comma 2 6 4 49 2" xfId="26019"/>
    <cellStyle name="Comma 2 6 4 5" xfId="26020"/>
    <cellStyle name="Comma 2 6 4 5 10" xfId="26021"/>
    <cellStyle name="Comma 2 6 4 5 10 2" xfId="26022"/>
    <cellStyle name="Comma 2 6 4 5 11" xfId="26023"/>
    <cellStyle name="Comma 2 6 4 5 11 2" xfId="26024"/>
    <cellStyle name="Comma 2 6 4 5 12" xfId="26025"/>
    <cellStyle name="Comma 2 6 4 5 2" xfId="26026"/>
    <cellStyle name="Comma 2 6 4 5 2 2" xfId="26027"/>
    <cellStyle name="Comma 2 6 4 5 3" xfId="26028"/>
    <cellStyle name="Comma 2 6 4 5 3 2" xfId="26029"/>
    <cellStyle name="Comma 2 6 4 5 4" xfId="26030"/>
    <cellStyle name="Comma 2 6 4 5 4 2" xfId="26031"/>
    <cellStyle name="Comma 2 6 4 5 5" xfId="26032"/>
    <cellStyle name="Comma 2 6 4 5 5 2" xfId="26033"/>
    <cellStyle name="Comma 2 6 4 5 6" xfId="26034"/>
    <cellStyle name="Comma 2 6 4 5 6 2" xfId="26035"/>
    <cellStyle name="Comma 2 6 4 5 7" xfId="26036"/>
    <cellStyle name="Comma 2 6 4 5 7 2" xfId="26037"/>
    <cellStyle name="Comma 2 6 4 5 8" xfId="26038"/>
    <cellStyle name="Comma 2 6 4 5 8 2" xfId="26039"/>
    <cellStyle name="Comma 2 6 4 5 9" xfId="26040"/>
    <cellStyle name="Comma 2 6 4 5 9 2" xfId="26041"/>
    <cellStyle name="Comma 2 6 4 50" xfId="26042"/>
    <cellStyle name="Comma 2 6 4 50 2" xfId="26043"/>
    <cellStyle name="Comma 2 6 4 51" xfId="26044"/>
    <cellStyle name="Comma 2 6 4 51 2" xfId="26045"/>
    <cellStyle name="Comma 2 6 4 52" xfId="26046"/>
    <cellStyle name="Comma 2 6 4 6" xfId="26047"/>
    <cellStyle name="Comma 2 6 4 6 10" xfId="26048"/>
    <cellStyle name="Comma 2 6 4 6 10 2" xfId="26049"/>
    <cellStyle name="Comma 2 6 4 6 11" xfId="26050"/>
    <cellStyle name="Comma 2 6 4 6 11 2" xfId="26051"/>
    <cellStyle name="Comma 2 6 4 6 12" xfId="26052"/>
    <cellStyle name="Comma 2 6 4 6 2" xfId="26053"/>
    <cellStyle name="Comma 2 6 4 6 2 2" xfId="26054"/>
    <cellStyle name="Comma 2 6 4 6 3" xfId="26055"/>
    <cellStyle name="Comma 2 6 4 6 3 2" xfId="26056"/>
    <cellStyle name="Comma 2 6 4 6 4" xfId="26057"/>
    <cellStyle name="Comma 2 6 4 6 4 2" xfId="26058"/>
    <cellStyle name="Comma 2 6 4 6 5" xfId="26059"/>
    <cellStyle name="Comma 2 6 4 6 5 2" xfId="26060"/>
    <cellStyle name="Comma 2 6 4 6 6" xfId="26061"/>
    <cellStyle name="Comma 2 6 4 6 6 2" xfId="26062"/>
    <cellStyle name="Comma 2 6 4 6 7" xfId="26063"/>
    <cellStyle name="Comma 2 6 4 6 7 2" xfId="26064"/>
    <cellStyle name="Comma 2 6 4 6 8" xfId="26065"/>
    <cellStyle name="Comma 2 6 4 6 8 2" xfId="26066"/>
    <cellStyle name="Comma 2 6 4 6 9" xfId="26067"/>
    <cellStyle name="Comma 2 6 4 6 9 2" xfId="26068"/>
    <cellStyle name="Comma 2 6 4 7" xfId="26069"/>
    <cellStyle name="Comma 2 6 4 7 10" xfId="26070"/>
    <cellStyle name="Comma 2 6 4 7 10 2" xfId="26071"/>
    <cellStyle name="Comma 2 6 4 7 11" xfId="26072"/>
    <cellStyle name="Comma 2 6 4 7 11 2" xfId="26073"/>
    <cellStyle name="Comma 2 6 4 7 12" xfId="26074"/>
    <cellStyle name="Comma 2 6 4 7 2" xfId="26075"/>
    <cellStyle name="Comma 2 6 4 7 2 2" xfId="26076"/>
    <cellStyle name="Comma 2 6 4 7 3" xfId="26077"/>
    <cellStyle name="Comma 2 6 4 7 3 2" xfId="26078"/>
    <cellStyle name="Comma 2 6 4 7 4" xfId="26079"/>
    <cellStyle name="Comma 2 6 4 7 4 2" xfId="26080"/>
    <cellStyle name="Comma 2 6 4 7 5" xfId="26081"/>
    <cellStyle name="Comma 2 6 4 7 5 2" xfId="26082"/>
    <cellStyle name="Comma 2 6 4 7 6" xfId="26083"/>
    <cellStyle name="Comma 2 6 4 7 6 2" xfId="26084"/>
    <cellStyle name="Comma 2 6 4 7 7" xfId="26085"/>
    <cellStyle name="Comma 2 6 4 7 7 2" xfId="26086"/>
    <cellStyle name="Comma 2 6 4 7 8" xfId="26087"/>
    <cellStyle name="Comma 2 6 4 7 8 2" xfId="26088"/>
    <cellStyle name="Comma 2 6 4 7 9" xfId="26089"/>
    <cellStyle name="Comma 2 6 4 7 9 2" xfId="26090"/>
    <cellStyle name="Comma 2 6 4 8" xfId="26091"/>
    <cellStyle name="Comma 2 6 4 8 10" xfId="26092"/>
    <cellStyle name="Comma 2 6 4 8 10 2" xfId="26093"/>
    <cellStyle name="Comma 2 6 4 8 11" xfId="26094"/>
    <cellStyle name="Comma 2 6 4 8 11 2" xfId="26095"/>
    <cellStyle name="Comma 2 6 4 8 12" xfId="26096"/>
    <cellStyle name="Comma 2 6 4 8 2" xfId="26097"/>
    <cellStyle name="Comma 2 6 4 8 2 2" xfId="26098"/>
    <cellStyle name="Comma 2 6 4 8 3" xfId="26099"/>
    <cellStyle name="Comma 2 6 4 8 3 2" xfId="26100"/>
    <cellStyle name="Comma 2 6 4 8 4" xfId="26101"/>
    <cellStyle name="Comma 2 6 4 8 4 2" xfId="26102"/>
    <cellStyle name="Comma 2 6 4 8 5" xfId="26103"/>
    <cellStyle name="Comma 2 6 4 8 5 2" xfId="26104"/>
    <cellStyle name="Comma 2 6 4 8 6" xfId="26105"/>
    <cellStyle name="Comma 2 6 4 8 6 2" xfId="26106"/>
    <cellStyle name="Comma 2 6 4 8 7" xfId="26107"/>
    <cellStyle name="Comma 2 6 4 8 7 2" xfId="26108"/>
    <cellStyle name="Comma 2 6 4 8 8" xfId="26109"/>
    <cellStyle name="Comma 2 6 4 8 8 2" xfId="26110"/>
    <cellStyle name="Comma 2 6 4 8 9" xfId="26111"/>
    <cellStyle name="Comma 2 6 4 8 9 2" xfId="26112"/>
    <cellStyle name="Comma 2 6 4 9" xfId="26113"/>
    <cellStyle name="Comma 2 6 4 9 10" xfId="26114"/>
    <cellStyle name="Comma 2 6 4 9 10 2" xfId="26115"/>
    <cellStyle name="Comma 2 6 4 9 11" xfId="26116"/>
    <cellStyle name="Comma 2 6 4 9 11 2" xfId="26117"/>
    <cellStyle name="Comma 2 6 4 9 12" xfId="26118"/>
    <cellStyle name="Comma 2 6 4 9 2" xfId="26119"/>
    <cellStyle name="Comma 2 6 4 9 2 2" xfId="26120"/>
    <cellStyle name="Comma 2 6 4 9 3" xfId="26121"/>
    <cellStyle name="Comma 2 6 4 9 3 2" xfId="26122"/>
    <cellStyle name="Comma 2 6 4 9 4" xfId="26123"/>
    <cellStyle name="Comma 2 6 4 9 4 2" xfId="26124"/>
    <cellStyle name="Comma 2 6 4 9 5" xfId="26125"/>
    <cellStyle name="Comma 2 6 4 9 5 2" xfId="26126"/>
    <cellStyle name="Comma 2 6 4 9 6" xfId="26127"/>
    <cellStyle name="Comma 2 6 4 9 6 2" xfId="26128"/>
    <cellStyle name="Comma 2 6 4 9 7" xfId="26129"/>
    <cellStyle name="Comma 2 6 4 9 7 2" xfId="26130"/>
    <cellStyle name="Comma 2 6 4 9 8" xfId="26131"/>
    <cellStyle name="Comma 2 6 4 9 8 2" xfId="26132"/>
    <cellStyle name="Comma 2 6 4 9 9" xfId="26133"/>
    <cellStyle name="Comma 2 6 4 9 9 2" xfId="26134"/>
    <cellStyle name="Comma 2 6 40" xfId="26135"/>
    <cellStyle name="Comma 2 6 40 10" xfId="26136"/>
    <cellStyle name="Comma 2 6 40 10 2" xfId="26137"/>
    <cellStyle name="Comma 2 6 40 11" xfId="26138"/>
    <cellStyle name="Comma 2 6 40 11 2" xfId="26139"/>
    <cellStyle name="Comma 2 6 40 12" xfId="26140"/>
    <cellStyle name="Comma 2 6 40 2" xfId="26141"/>
    <cellStyle name="Comma 2 6 40 2 2" xfId="26142"/>
    <cellStyle name="Comma 2 6 40 3" xfId="26143"/>
    <cellStyle name="Comma 2 6 40 3 2" xfId="26144"/>
    <cellStyle name="Comma 2 6 40 4" xfId="26145"/>
    <cellStyle name="Comma 2 6 40 4 2" xfId="26146"/>
    <cellStyle name="Comma 2 6 40 5" xfId="26147"/>
    <cellStyle name="Comma 2 6 40 5 2" xfId="26148"/>
    <cellStyle name="Comma 2 6 40 6" xfId="26149"/>
    <cellStyle name="Comma 2 6 40 6 2" xfId="26150"/>
    <cellStyle name="Comma 2 6 40 7" xfId="26151"/>
    <cellStyle name="Comma 2 6 40 7 2" xfId="26152"/>
    <cellStyle name="Comma 2 6 40 8" xfId="26153"/>
    <cellStyle name="Comma 2 6 40 8 2" xfId="26154"/>
    <cellStyle name="Comma 2 6 40 9" xfId="26155"/>
    <cellStyle name="Comma 2 6 40 9 2" xfId="26156"/>
    <cellStyle name="Comma 2 6 41" xfId="26157"/>
    <cellStyle name="Comma 2 6 41 10" xfId="26158"/>
    <cellStyle name="Comma 2 6 41 10 2" xfId="26159"/>
    <cellStyle name="Comma 2 6 41 11" xfId="26160"/>
    <cellStyle name="Comma 2 6 41 11 2" xfId="26161"/>
    <cellStyle name="Comma 2 6 41 12" xfId="26162"/>
    <cellStyle name="Comma 2 6 41 2" xfId="26163"/>
    <cellStyle name="Comma 2 6 41 2 2" xfId="26164"/>
    <cellStyle name="Comma 2 6 41 3" xfId="26165"/>
    <cellStyle name="Comma 2 6 41 3 2" xfId="26166"/>
    <cellStyle name="Comma 2 6 41 4" xfId="26167"/>
    <cellStyle name="Comma 2 6 41 4 2" xfId="26168"/>
    <cellStyle name="Comma 2 6 41 5" xfId="26169"/>
    <cellStyle name="Comma 2 6 41 5 2" xfId="26170"/>
    <cellStyle name="Comma 2 6 41 6" xfId="26171"/>
    <cellStyle name="Comma 2 6 41 6 2" xfId="26172"/>
    <cellStyle name="Comma 2 6 41 7" xfId="26173"/>
    <cellStyle name="Comma 2 6 41 7 2" xfId="26174"/>
    <cellStyle name="Comma 2 6 41 8" xfId="26175"/>
    <cellStyle name="Comma 2 6 41 8 2" xfId="26176"/>
    <cellStyle name="Comma 2 6 41 9" xfId="26177"/>
    <cellStyle name="Comma 2 6 41 9 2" xfId="26178"/>
    <cellStyle name="Comma 2 6 42" xfId="26179"/>
    <cellStyle name="Comma 2 6 42 10" xfId="26180"/>
    <cellStyle name="Comma 2 6 42 10 2" xfId="26181"/>
    <cellStyle name="Comma 2 6 42 11" xfId="26182"/>
    <cellStyle name="Comma 2 6 42 11 2" xfId="26183"/>
    <cellStyle name="Comma 2 6 42 12" xfId="26184"/>
    <cellStyle name="Comma 2 6 42 2" xfId="26185"/>
    <cellStyle name="Comma 2 6 42 2 2" xfId="26186"/>
    <cellStyle name="Comma 2 6 42 3" xfId="26187"/>
    <cellStyle name="Comma 2 6 42 3 2" xfId="26188"/>
    <cellStyle name="Comma 2 6 42 4" xfId="26189"/>
    <cellStyle name="Comma 2 6 42 4 2" xfId="26190"/>
    <cellStyle name="Comma 2 6 42 5" xfId="26191"/>
    <cellStyle name="Comma 2 6 42 5 2" xfId="26192"/>
    <cellStyle name="Comma 2 6 42 6" xfId="26193"/>
    <cellStyle name="Comma 2 6 42 6 2" xfId="26194"/>
    <cellStyle name="Comma 2 6 42 7" xfId="26195"/>
    <cellStyle name="Comma 2 6 42 7 2" xfId="26196"/>
    <cellStyle name="Comma 2 6 42 8" xfId="26197"/>
    <cellStyle name="Comma 2 6 42 8 2" xfId="26198"/>
    <cellStyle name="Comma 2 6 42 9" xfId="26199"/>
    <cellStyle name="Comma 2 6 42 9 2" xfId="26200"/>
    <cellStyle name="Comma 2 6 43" xfId="26201"/>
    <cellStyle name="Comma 2 6 43 10" xfId="26202"/>
    <cellStyle name="Comma 2 6 43 10 2" xfId="26203"/>
    <cellStyle name="Comma 2 6 43 11" xfId="26204"/>
    <cellStyle name="Comma 2 6 43 11 2" xfId="26205"/>
    <cellStyle name="Comma 2 6 43 12" xfId="26206"/>
    <cellStyle name="Comma 2 6 43 2" xfId="26207"/>
    <cellStyle name="Comma 2 6 43 2 2" xfId="26208"/>
    <cellStyle name="Comma 2 6 43 3" xfId="26209"/>
    <cellStyle name="Comma 2 6 43 3 2" xfId="26210"/>
    <cellStyle name="Comma 2 6 43 4" xfId="26211"/>
    <cellStyle name="Comma 2 6 43 4 2" xfId="26212"/>
    <cellStyle name="Comma 2 6 43 5" xfId="26213"/>
    <cellStyle name="Comma 2 6 43 5 2" xfId="26214"/>
    <cellStyle name="Comma 2 6 43 6" xfId="26215"/>
    <cellStyle name="Comma 2 6 43 6 2" xfId="26216"/>
    <cellStyle name="Comma 2 6 43 7" xfId="26217"/>
    <cellStyle name="Comma 2 6 43 7 2" xfId="26218"/>
    <cellStyle name="Comma 2 6 43 8" xfId="26219"/>
    <cellStyle name="Comma 2 6 43 8 2" xfId="26220"/>
    <cellStyle name="Comma 2 6 43 9" xfId="26221"/>
    <cellStyle name="Comma 2 6 43 9 2" xfId="26222"/>
    <cellStyle name="Comma 2 6 44" xfId="26223"/>
    <cellStyle name="Comma 2 6 44 10" xfId="26224"/>
    <cellStyle name="Comma 2 6 44 10 2" xfId="26225"/>
    <cellStyle name="Comma 2 6 44 11" xfId="26226"/>
    <cellStyle name="Comma 2 6 44 11 2" xfId="26227"/>
    <cellStyle name="Comma 2 6 44 12" xfId="26228"/>
    <cellStyle name="Comma 2 6 44 2" xfId="26229"/>
    <cellStyle name="Comma 2 6 44 2 2" xfId="26230"/>
    <cellStyle name="Comma 2 6 44 3" xfId="26231"/>
    <cellStyle name="Comma 2 6 44 3 2" xfId="26232"/>
    <cellStyle name="Comma 2 6 44 4" xfId="26233"/>
    <cellStyle name="Comma 2 6 44 4 2" xfId="26234"/>
    <cellStyle name="Comma 2 6 44 5" xfId="26235"/>
    <cellStyle name="Comma 2 6 44 5 2" xfId="26236"/>
    <cellStyle name="Comma 2 6 44 6" xfId="26237"/>
    <cellStyle name="Comma 2 6 44 6 2" xfId="26238"/>
    <cellStyle name="Comma 2 6 44 7" xfId="26239"/>
    <cellStyle name="Comma 2 6 44 7 2" xfId="26240"/>
    <cellStyle name="Comma 2 6 44 8" xfId="26241"/>
    <cellStyle name="Comma 2 6 44 8 2" xfId="26242"/>
    <cellStyle name="Comma 2 6 44 9" xfId="26243"/>
    <cellStyle name="Comma 2 6 44 9 2" xfId="26244"/>
    <cellStyle name="Comma 2 6 45" xfId="26245"/>
    <cellStyle name="Comma 2 6 45 2" xfId="26246"/>
    <cellStyle name="Comma 2 6 46" xfId="26247"/>
    <cellStyle name="Comma 2 6 46 2" xfId="26248"/>
    <cellStyle name="Comma 2 6 47" xfId="26249"/>
    <cellStyle name="Comma 2 6 47 2" xfId="26250"/>
    <cellStyle name="Comma 2 6 48" xfId="26251"/>
    <cellStyle name="Comma 2 6 48 2" xfId="26252"/>
    <cellStyle name="Comma 2 6 49" xfId="26253"/>
    <cellStyle name="Comma 2 6 49 2" xfId="26254"/>
    <cellStyle name="Comma 2 6 5" xfId="26255"/>
    <cellStyle name="Comma 2 6 5 10" xfId="26256"/>
    <cellStyle name="Comma 2 6 5 10 10" xfId="26257"/>
    <cellStyle name="Comma 2 6 5 10 10 2" xfId="26258"/>
    <cellStyle name="Comma 2 6 5 10 11" xfId="26259"/>
    <cellStyle name="Comma 2 6 5 10 11 2" xfId="26260"/>
    <cellStyle name="Comma 2 6 5 10 12" xfId="26261"/>
    <cellStyle name="Comma 2 6 5 10 2" xfId="26262"/>
    <cellStyle name="Comma 2 6 5 10 2 2" xfId="26263"/>
    <cellStyle name="Comma 2 6 5 10 3" xfId="26264"/>
    <cellStyle name="Comma 2 6 5 10 3 2" xfId="26265"/>
    <cellStyle name="Comma 2 6 5 10 4" xfId="26266"/>
    <cellStyle name="Comma 2 6 5 10 4 2" xfId="26267"/>
    <cellStyle name="Comma 2 6 5 10 5" xfId="26268"/>
    <cellStyle name="Comma 2 6 5 10 5 2" xfId="26269"/>
    <cellStyle name="Comma 2 6 5 10 6" xfId="26270"/>
    <cellStyle name="Comma 2 6 5 10 6 2" xfId="26271"/>
    <cellStyle name="Comma 2 6 5 10 7" xfId="26272"/>
    <cellStyle name="Comma 2 6 5 10 7 2" xfId="26273"/>
    <cellStyle name="Comma 2 6 5 10 8" xfId="26274"/>
    <cellStyle name="Comma 2 6 5 10 8 2" xfId="26275"/>
    <cellStyle name="Comma 2 6 5 10 9" xfId="26276"/>
    <cellStyle name="Comma 2 6 5 10 9 2" xfId="26277"/>
    <cellStyle name="Comma 2 6 5 11" xfId="26278"/>
    <cellStyle name="Comma 2 6 5 11 10" xfId="26279"/>
    <cellStyle name="Comma 2 6 5 11 10 2" xfId="26280"/>
    <cellStyle name="Comma 2 6 5 11 11" xfId="26281"/>
    <cellStyle name="Comma 2 6 5 11 11 2" xfId="26282"/>
    <cellStyle name="Comma 2 6 5 11 12" xfId="26283"/>
    <cellStyle name="Comma 2 6 5 11 2" xfId="26284"/>
    <cellStyle name="Comma 2 6 5 11 2 2" xfId="26285"/>
    <cellStyle name="Comma 2 6 5 11 3" xfId="26286"/>
    <cellStyle name="Comma 2 6 5 11 3 2" xfId="26287"/>
    <cellStyle name="Comma 2 6 5 11 4" xfId="26288"/>
    <cellStyle name="Comma 2 6 5 11 4 2" xfId="26289"/>
    <cellStyle name="Comma 2 6 5 11 5" xfId="26290"/>
    <cellStyle name="Comma 2 6 5 11 5 2" xfId="26291"/>
    <cellStyle name="Comma 2 6 5 11 6" xfId="26292"/>
    <cellStyle name="Comma 2 6 5 11 6 2" xfId="26293"/>
    <cellStyle name="Comma 2 6 5 11 7" xfId="26294"/>
    <cellStyle name="Comma 2 6 5 11 7 2" xfId="26295"/>
    <cellStyle name="Comma 2 6 5 11 8" xfId="26296"/>
    <cellStyle name="Comma 2 6 5 11 8 2" xfId="26297"/>
    <cellStyle name="Comma 2 6 5 11 9" xfId="26298"/>
    <cellStyle name="Comma 2 6 5 11 9 2" xfId="26299"/>
    <cellStyle name="Comma 2 6 5 12" xfId="26300"/>
    <cellStyle name="Comma 2 6 5 12 10" xfId="26301"/>
    <cellStyle name="Comma 2 6 5 12 10 2" xfId="26302"/>
    <cellStyle name="Comma 2 6 5 12 11" xfId="26303"/>
    <cellStyle name="Comma 2 6 5 12 11 2" xfId="26304"/>
    <cellStyle name="Comma 2 6 5 12 12" xfId="26305"/>
    <cellStyle name="Comma 2 6 5 12 2" xfId="26306"/>
    <cellStyle name="Comma 2 6 5 12 2 2" xfId="26307"/>
    <cellStyle name="Comma 2 6 5 12 3" xfId="26308"/>
    <cellStyle name="Comma 2 6 5 12 3 2" xfId="26309"/>
    <cellStyle name="Comma 2 6 5 12 4" xfId="26310"/>
    <cellStyle name="Comma 2 6 5 12 4 2" xfId="26311"/>
    <cellStyle name="Comma 2 6 5 12 5" xfId="26312"/>
    <cellStyle name="Comma 2 6 5 12 5 2" xfId="26313"/>
    <cellStyle name="Comma 2 6 5 12 6" xfId="26314"/>
    <cellStyle name="Comma 2 6 5 12 6 2" xfId="26315"/>
    <cellStyle name="Comma 2 6 5 12 7" xfId="26316"/>
    <cellStyle name="Comma 2 6 5 12 7 2" xfId="26317"/>
    <cellStyle name="Comma 2 6 5 12 8" xfId="26318"/>
    <cellStyle name="Comma 2 6 5 12 8 2" xfId="26319"/>
    <cellStyle name="Comma 2 6 5 12 9" xfId="26320"/>
    <cellStyle name="Comma 2 6 5 12 9 2" xfId="26321"/>
    <cellStyle name="Comma 2 6 5 13" xfId="26322"/>
    <cellStyle name="Comma 2 6 5 13 10" xfId="26323"/>
    <cellStyle name="Comma 2 6 5 13 10 2" xfId="26324"/>
    <cellStyle name="Comma 2 6 5 13 11" xfId="26325"/>
    <cellStyle name="Comma 2 6 5 13 11 2" xfId="26326"/>
    <cellStyle name="Comma 2 6 5 13 12" xfId="26327"/>
    <cellStyle name="Comma 2 6 5 13 2" xfId="26328"/>
    <cellStyle name="Comma 2 6 5 13 2 2" xfId="26329"/>
    <cellStyle name="Comma 2 6 5 13 3" xfId="26330"/>
    <cellStyle name="Comma 2 6 5 13 3 2" xfId="26331"/>
    <cellStyle name="Comma 2 6 5 13 4" xfId="26332"/>
    <cellStyle name="Comma 2 6 5 13 4 2" xfId="26333"/>
    <cellStyle name="Comma 2 6 5 13 5" xfId="26334"/>
    <cellStyle name="Comma 2 6 5 13 5 2" xfId="26335"/>
    <cellStyle name="Comma 2 6 5 13 6" xfId="26336"/>
    <cellStyle name="Comma 2 6 5 13 6 2" xfId="26337"/>
    <cellStyle name="Comma 2 6 5 13 7" xfId="26338"/>
    <cellStyle name="Comma 2 6 5 13 7 2" xfId="26339"/>
    <cellStyle name="Comma 2 6 5 13 8" xfId="26340"/>
    <cellStyle name="Comma 2 6 5 13 8 2" xfId="26341"/>
    <cellStyle name="Comma 2 6 5 13 9" xfId="26342"/>
    <cellStyle name="Comma 2 6 5 13 9 2" xfId="26343"/>
    <cellStyle name="Comma 2 6 5 14" xfId="26344"/>
    <cellStyle name="Comma 2 6 5 14 10" xfId="26345"/>
    <cellStyle name="Comma 2 6 5 14 10 2" xfId="26346"/>
    <cellStyle name="Comma 2 6 5 14 11" xfId="26347"/>
    <cellStyle name="Comma 2 6 5 14 11 2" xfId="26348"/>
    <cellStyle name="Comma 2 6 5 14 12" xfId="26349"/>
    <cellStyle name="Comma 2 6 5 14 2" xfId="26350"/>
    <cellStyle name="Comma 2 6 5 14 2 2" xfId="26351"/>
    <cellStyle name="Comma 2 6 5 14 3" xfId="26352"/>
    <cellStyle name="Comma 2 6 5 14 3 2" xfId="26353"/>
    <cellStyle name="Comma 2 6 5 14 4" xfId="26354"/>
    <cellStyle name="Comma 2 6 5 14 4 2" xfId="26355"/>
    <cellStyle name="Comma 2 6 5 14 5" xfId="26356"/>
    <cellStyle name="Comma 2 6 5 14 5 2" xfId="26357"/>
    <cellStyle name="Comma 2 6 5 14 6" xfId="26358"/>
    <cellStyle name="Comma 2 6 5 14 6 2" xfId="26359"/>
    <cellStyle name="Comma 2 6 5 14 7" xfId="26360"/>
    <cellStyle name="Comma 2 6 5 14 7 2" xfId="26361"/>
    <cellStyle name="Comma 2 6 5 14 8" xfId="26362"/>
    <cellStyle name="Comma 2 6 5 14 8 2" xfId="26363"/>
    <cellStyle name="Comma 2 6 5 14 9" xfId="26364"/>
    <cellStyle name="Comma 2 6 5 14 9 2" xfId="26365"/>
    <cellStyle name="Comma 2 6 5 15" xfId="26366"/>
    <cellStyle name="Comma 2 6 5 15 10" xfId="26367"/>
    <cellStyle name="Comma 2 6 5 15 10 2" xfId="26368"/>
    <cellStyle name="Comma 2 6 5 15 11" xfId="26369"/>
    <cellStyle name="Comma 2 6 5 15 11 2" xfId="26370"/>
    <cellStyle name="Comma 2 6 5 15 12" xfId="26371"/>
    <cellStyle name="Comma 2 6 5 15 2" xfId="26372"/>
    <cellStyle name="Comma 2 6 5 15 2 2" xfId="26373"/>
    <cellStyle name="Comma 2 6 5 15 3" xfId="26374"/>
    <cellStyle name="Comma 2 6 5 15 3 2" xfId="26375"/>
    <cellStyle name="Comma 2 6 5 15 4" xfId="26376"/>
    <cellStyle name="Comma 2 6 5 15 4 2" xfId="26377"/>
    <cellStyle name="Comma 2 6 5 15 5" xfId="26378"/>
    <cellStyle name="Comma 2 6 5 15 5 2" xfId="26379"/>
    <cellStyle name="Comma 2 6 5 15 6" xfId="26380"/>
    <cellStyle name="Comma 2 6 5 15 6 2" xfId="26381"/>
    <cellStyle name="Comma 2 6 5 15 7" xfId="26382"/>
    <cellStyle name="Comma 2 6 5 15 7 2" xfId="26383"/>
    <cellStyle name="Comma 2 6 5 15 8" xfId="26384"/>
    <cellStyle name="Comma 2 6 5 15 8 2" xfId="26385"/>
    <cellStyle name="Comma 2 6 5 15 9" xfId="26386"/>
    <cellStyle name="Comma 2 6 5 15 9 2" xfId="26387"/>
    <cellStyle name="Comma 2 6 5 16" xfId="26388"/>
    <cellStyle name="Comma 2 6 5 16 2" xfId="26389"/>
    <cellStyle name="Comma 2 6 5 17" xfId="26390"/>
    <cellStyle name="Comma 2 6 5 17 2" xfId="26391"/>
    <cellStyle name="Comma 2 6 5 18" xfId="26392"/>
    <cellStyle name="Comma 2 6 5 18 2" xfId="26393"/>
    <cellStyle name="Comma 2 6 5 19" xfId="26394"/>
    <cellStyle name="Comma 2 6 5 19 2" xfId="26395"/>
    <cellStyle name="Comma 2 6 5 2" xfId="26396"/>
    <cellStyle name="Comma 2 6 5 2 10" xfId="26397"/>
    <cellStyle name="Comma 2 6 5 2 10 2" xfId="26398"/>
    <cellStyle name="Comma 2 6 5 2 11" xfId="26399"/>
    <cellStyle name="Comma 2 6 5 2 11 2" xfId="26400"/>
    <cellStyle name="Comma 2 6 5 2 12" xfId="26401"/>
    <cellStyle name="Comma 2 6 5 2 2" xfId="26402"/>
    <cellStyle name="Comma 2 6 5 2 2 2" xfId="26403"/>
    <cellStyle name="Comma 2 6 5 2 3" xfId="26404"/>
    <cellStyle name="Comma 2 6 5 2 3 2" xfId="26405"/>
    <cellStyle name="Comma 2 6 5 2 4" xfId="26406"/>
    <cellStyle name="Comma 2 6 5 2 4 2" xfId="26407"/>
    <cellStyle name="Comma 2 6 5 2 5" xfId="26408"/>
    <cellStyle name="Comma 2 6 5 2 5 2" xfId="26409"/>
    <cellStyle name="Comma 2 6 5 2 6" xfId="26410"/>
    <cellStyle name="Comma 2 6 5 2 6 2" xfId="26411"/>
    <cellStyle name="Comma 2 6 5 2 7" xfId="26412"/>
    <cellStyle name="Comma 2 6 5 2 7 2" xfId="26413"/>
    <cellStyle name="Comma 2 6 5 2 8" xfId="26414"/>
    <cellStyle name="Comma 2 6 5 2 8 2" xfId="26415"/>
    <cellStyle name="Comma 2 6 5 2 9" xfId="26416"/>
    <cellStyle name="Comma 2 6 5 2 9 2" xfId="26417"/>
    <cellStyle name="Comma 2 6 5 20" xfId="26418"/>
    <cellStyle name="Comma 2 6 5 20 2" xfId="26419"/>
    <cellStyle name="Comma 2 6 5 21" xfId="26420"/>
    <cellStyle name="Comma 2 6 5 21 2" xfId="26421"/>
    <cellStyle name="Comma 2 6 5 22" xfId="26422"/>
    <cellStyle name="Comma 2 6 5 22 2" xfId="26423"/>
    <cellStyle name="Comma 2 6 5 23" xfId="26424"/>
    <cellStyle name="Comma 2 6 5 23 2" xfId="26425"/>
    <cellStyle name="Comma 2 6 5 24" xfId="26426"/>
    <cellStyle name="Comma 2 6 5 24 2" xfId="26427"/>
    <cellStyle name="Comma 2 6 5 25" xfId="26428"/>
    <cellStyle name="Comma 2 6 5 25 2" xfId="26429"/>
    <cellStyle name="Comma 2 6 5 26" xfId="26430"/>
    <cellStyle name="Comma 2 6 5 3" xfId="26431"/>
    <cellStyle name="Comma 2 6 5 3 10" xfId="26432"/>
    <cellStyle name="Comma 2 6 5 3 10 2" xfId="26433"/>
    <cellStyle name="Comma 2 6 5 3 11" xfId="26434"/>
    <cellStyle name="Comma 2 6 5 3 11 2" xfId="26435"/>
    <cellStyle name="Comma 2 6 5 3 12" xfId="26436"/>
    <cellStyle name="Comma 2 6 5 3 2" xfId="26437"/>
    <cellStyle name="Comma 2 6 5 3 2 2" xfId="26438"/>
    <cellStyle name="Comma 2 6 5 3 3" xfId="26439"/>
    <cellStyle name="Comma 2 6 5 3 3 2" xfId="26440"/>
    <cellStyle name="Comma 2 6 5 3 4" xfId="26441"/>
    <cellStyle name="Comma 2 6 5 3 4 2" xfId="26442"/>
    <cellStyle name="Comma 2 6 5 3 5" xfId="26443"/>
    <cellStyle name="Comma 2 6 5 3 5 2" xfId="26444"/>
    <cellStyle name="Comma 2 6 5 3 6" xfId="26445"/>
    <cellStyle name="Comma 2 6 5 3 6 2" xfId="26446"/>
    <cellStyle name="Comma 2 6 5 3 7" xfId="26447"/>
    <cellStyle name="Comma 2 6 5 3 7 2" xfId="26448"/>
    <cellStyle name="Comma 2 6 5 3 8" xfId="26449"/>
    <cellStyle name="Comma 2 6 5 3 8 2" xfId="26450"/>
    <cellStyle name="Comma 2 6 5 3 9" xfId="26451"/>
    <cellStyle name="Comma 2 6 5 3 9 2" xfId="26452"/>
    <cellStyle name="Comma 2 6 5 4" xfId="26453"/>
    <cellStyle name="Comma 2 6 5 4 10" xfId="26454"/>
    <cellStyle name="Comma 2 6 5 4 10 2" xfId="26455"/>
    <cellStyle name="Comma 2 6 5 4 11" xfId="26456"/>
    <cellStyle name="Comma 2 6 5 4 11 2" xfId="26457"/>
    <cellStyle name="Comma 2 6 5 4 12" xfId="26458"/>
    <cellStyle name="Comma 2 6 5 4 2" xfId="26459"/>
    <cellStyle name="Comma 2 6 5 4 2 2" xfId="26460"/>
    <cellStyle name="Comma 2 6 5 4 3" xfId="26461"/>
    <cellStyle name="Comma 2 6 5 4 3 2" xfId="26462"/>
    <cellStyle name="Comma 2 6 5 4 4" xfId="26463"/>
    <cellStyle name="Comma 2 6 5 4 4 2" xfId="26464"/>
    <cellStyle name="Comma 2 6 5 4 5" xfId="26465"/>
    <cellStyle name="Comma 2 6 5 4 5 2" xfId="26466"/>
    <cellStyle name="Comma 2 6 5 4 6" xfId="26467"/>
    <cellStyle name="Comma 2 6 5 4 6 2" xfId="26468"/>
    <cellStyle name="Comma 2 6 5 4 7" xfId="26469"/>
    <cellStyle name="Comma 2 6 5 4 7 2" xfId="26470"/>
    <cellStyle name="Comma 2 6 5 4 8" xfId="26471"/>
    <cellStyle name="Comma 2 6 5 4 8 2" xfId="26472"/>
    <cellStyle name="Comma 2 6 5 4 9" xfId="26473"/>
    <cellStyle name="Comma 2 6 5 4 9 2" xfId="26474"/>
    <cellStyle name="Comma 2 6 5 5" xfId="26475"/>
    <cellStyle name="Comma 2 6 5 5 10" xfId="26476"/>
    <cellStyle name="Comma 2 6 5 5 10 2" xfId="26477"/>
    <cellStyle name="Comma 2 6 5 5 11" xfId="26478"/>
    <cellStyle name="Comma 2 6 5 5 11 2" xfId="26479"/>
    <cellStyle name="Comma 2 6 5 5 12" xfId="26480"/>
    <cellStyle name="Comma 2 6 5 5 2" xfId="26481"/>
    <cellStyle name="Comma 2 6 5 5 2 2" xfId="26482"/>
    <cellStyle name="Comma 2 6 5 5 3" xfId="26483"/>
    <cellStyle name="Comma 2 6 5 5 3 2" xfId="26484"/>
    <cellStyle name="Comma 2 6 5 5 4" xfId="26485"/>
    <cellStyle name="Comma 2 6 5 5 4 2" xfId="26486"/>
    <cellStyle name="Comma 2 6 5 5 5" xfId="26487"/>
    <cellStyle name="Comma 2 6 5 5 5 2" xfId="26488"/>
    <cellStyle name="Comma 2 6 5 5 6" xfId="26489"/>
    <cellStyle name="Comma 2 6 5 5 6 2" xfId="26490"/>
    <cellStyle name="Comma 2 6 5 5 7" xfId="26491"/>
    <cellStyle name="Comma 2 6 5 5 7 2" xfId="26492"/>
    <cellStyle name="Comma 2 6 5 5 8" xfId="26493"/>
    <cellStyle name="Comma 2 6 5 5 8 2" xfId="26494"/>
    <cellStyle name="Comma 2 6 5 5 9" xfId="26495"/>
    <cellStyle name="Comma 2 6 5 5 9 2" xfId="26496"/>
    <cellStyle name="Comma 2 6 5 6" xfId="26497"/>
    <cellStyle name="Comma 2 6 5 6 10" xfId="26498"/>
    <cellStyle name="Comma 2 6 5 6 10 2" xfId="26499"/>
    <cellStyle name="Comma 2 6 5 6 11" xfId="26500"/>
    <cellStyle name="Comma 2 6 5 6 11 2" xfId="26501"/>
    <cellStyle name="Comma 2 6 5 6 12" xfId="26502"/>
    <cellStyle name="Comma 2 6 5 6 2" xfId="26503"/>
    <cellStyle name="Comma 2 6 5 6 2 2" xfId="26504"/>
    <cellStyle name="Comma 2 6 5 6 3" xfId="26505"/>
    <cellStyle name="Comma 2 6 5 6 3 2" xfId="26506"/>
    <cellStyle name="Comma 2 6 5 6 4" xfId="26507"/>
    <cellStyle name="Comma 2 6 5 6 4 2" xfId="26508"/>
    <cellStyle name="Comma 2 6 5 6 5" xfId="26509"/>
    <cellStyle name="Comma 2 6 5 6 5 2" xfId="26510"/>
    <cellStyle name="Comma 2 6 5 6 6" xfId="26511"/>
    <cellStyle name="Comma 2 6 5 6 6 2" xfId="26512"/>
    <cellStyle name="Comma 2 6 5 6 7" xfId="26513"/>
    <cellStyle name="Comma 2 6 5 6 7 2" xfId="26514"/>
    <cellStyle name="Comma 2 6 5 6 8" xfId="26515"/>
    <cellStyle name="Comma 2 6 5 6 8 2" xfId="26516"/>
    <cellStyle name="Comma 2 6 5 6 9" xfId="26517"/>
    <cellStyle name="Comma 2 6 5 6 9 2" xfId="26518"/>
    <cellStyle name="Comma 2 6 5 7" xfId="26519"/>
    <cellStyle name="Comma 2 6 5 7 10" xfId="26520"/>
    <cellStyle name="Comma 2 6 5 7 10 2" xfId="26521"/>
    <cellStyle name="Comma 2 6 5 7 11" xfId="26522"/>
    <cellStyle name="Comma 2 6 5 7 11 2" xfId="26523"/>
    <cellStyle name="Comma 2 6 5 7 12" xfId="26524"/>
    <cellStyle name="Comma 2 6 5 7 2" xfId="26525"/>
    <cellStyle name="Comma 2 6 5 7 2 2" xfId="26526"/>
    <cellStyle name="Comma 2 6 5 7 3" xfId="26527"/>
    <cellStyle name="Comma 2 6 5 7 3 2" xfId="26528"/>
    <cellStyle name="Comma 2 6 5 7 4" xfId="26529"/>
    <cellStyle name="Comma 2 6 5 7 4 2" xfId="26530"/>
    <cellStyle name="Comma 2 6 5 7 5" xfId="26531"/>
    <cellStyle name="Comma 2 6 5 7 5 2" xfId="26532"/>
    <cellStyle name="Comma 2 6 5 7 6" xfId="26533"/>
    <cellStyle name="Comma 2 6 5 7 6 2" xfId="26534"/>
    <cellStyle name="Comma 2 6 5 7 7" xfId="26535"/>
    <cellStyle name="Comma 2 6 5 7 7 2" xfId="26536"/>
    <cellStyle name="Comma 2 6 5 7 8" xfId="26537"/>
    <cellStyle name="Comma 2 6 5 7 8 2" xfId="26538"/>
    <cellStyle name="Comma 2 6 5 7 9" xfId="26539"/>
    <cellStyle name="Comma 2 6 5 7 9 2" xfId="26540"/>
    <cellStyle name="Comma 2 6 5 8" xfId="26541"/>
    <cellStyle name="Comma 2 6 5 8 10" xfId="26542"/>
    <cellStyle name="Comma 2 6 5 8 10 2" xfId="26543"/>
    <cellStyle name="Comma 2 6 5 8 11" xfId="26544"/>
    <cellStyle name="Comma 2 6 5 8 11 2" xfId="26545"/>
    <cellStyle name="Comma 2 6 5 8 12" xfId="26546"/>
    <cellStyle name="Comma 2 6 5 8 2" xfId="26547"/>
    <cellStyle name="Comma 2 6 5 8 2 2" xfId="26548"/>
    <cellStyle name="Comma 2 6 5 8 3" xfId="26549"/>
    <cellStyle name="Comma 2 6 5 8 3 2" xfId="26550"/>
    <cellStyle name="Comma 2 6 5 8 4" xfId="26551"/>
    <cellStyle name="Comma 2 6 5 8 4 2" xfId="26552"/>
    <cellStyle name="Comma 2 6 5 8 5" xfId="26553"/>
    <cellStyle name="Comma 2 6 5 8 5 2" xfId="26554"/>
    <cellStyle name="Comma 2 6 5 8 6" xfId="26555"/>
    <cellStyle name="Comma 2 6 5 8 6 2" xfId="26556"/>
    <cellStyle name="Comma 2 6 5 8 7" xfId="26557"/>
    <cellStyle name="Comma 2 6 5 8 7 2" xfId="26558"/>
    <cellStyle name="Comma 2 6 5 8 8" xfId="26559"/>
    <cellStyle name="Comma 2 6 5 8 8 2" xfId="26560"/>
    <cellStyle name="Comma 2 6 5 8 9" xfId="26561"/>
    <cellStyle name="Comma 2 6 5 8 9 2" xfId="26562"/>
    <cellStyle name="Comma 2 6 5 9" xfId="26563"/>
    <cellStyle name="Comma 2 6 5 9 10" xfId="26564"/>
    <cellStyle name="Comma 2 6 5 9 10 2" xfId="26565"/>
    <cellStyle name="Comma 2 6 5 9 11" xfId="26566"/>
    <cellStyle name="Comma 2 6 5 9 11 2" xfId="26567"/>
    <cellStyle name="Comma 2 6 5 9 12" xfId="26568"/>
    <cellStyle name="Comma 2 6 5 9 2" xfId="26569"/>
    <cellStyle name="Comma 2 6 5 9 2 2" xfId="26570"/>
    <cellStyle name="Comma 2 6 5 9 3" xfId="26571"/>
    <cellStyle name="Comma 2 6 5 9 3 2" xfId="26572"/>
    <cellStyle name="Comma 2 6 5 9 4" xfId="26573"/>
    <cellStyle name="Comma 2 6 5 9 4 2" xfId="26574"/>
    <cellStyle name="Comma 2 6 5 9 5" xfId="26575"/>
    <cellStyle name="Comma 2 6 5 9 5 2" xfId="26576"/>
    <cellStyle name="Comma 2 6 5 9 6" xfId="26577"/>
    <cellStyle name="Comma 2 6 5 9 6 2" xfId="26578"/>
    <cellStyle name="Comma 2 6 5 9 7" xfId="26579"/>
    <cellStyle name="Comma 2 6 5 9 7 2" xfId="26580"/>
    <cellStyle name="Comma 2 6 5 9 8" xfId="26581"/>
    <cellStyle name="Comma 2 6 5 9 8 2" xfId="26582"/>
    <cellStyle name="Comma 2 6 5 9 9" xfId="26583"/>
    <cellStyle name="Comma 2 6 5 9 9 2" xfId="26584"/>
    <cellStyle name="Comma 2 6 50" xfId="26585"/>
    <cellStyle name="Comma 2 6 50 2" xfId="26586"/>
    <cellStyle name="Comma 2 6 51" xfId="26587"/>
    <cellStyle name="Comma 2 6 51 2" xfId="26588"/>
    <cellStyle name="Comma 2 6 52" xfId="26589"/>
    <cellStyle name="Comma 2 6 52 2" xfId="26590"/>
    <cellStyle name="Comma 2 6 53" xfId="26591"/>
    <cellStyle name="Comma 2 6 53 2" xfId="26592"/>
    <cellStyle name="Comma 2 6 54" xfId="26593"/>
    <cellStyle name="Comma 2 6 54 2" xfId="26594"/>
    <cellStyle name="Comma 2 6 55" xfId="26595"/>
    <cellStyle name="Comma 2 6 55 2" xfId="26596"/>
    <cellStyle name="Comma 2 6 56" xfId="26597"/>
    <cellStyle name="Comma 2 6 56 2" xfId="26598"/>
    <cellStyle name="Comma 2 6 57" xfId="26599"/>
    <cellStyle name="Comma 2 6 6" xfId="26600"/>
    <cellStyle name="Comma 2 6 6 10" xfId="26601"/>
    <cellStyle name="Comma 2 6 6 10 10" xfId="26602"/>
    <cellStyle name="Comma 2 6 6 10 10 2" xfId="26603"/>
    <cellStyle name="Comma 2 6 6 10 11" xfId="26604"/>
    <cellStyle name="Comma 2 6 6 10 11 2" xfId="26605"/>
    <cellStyle name="Comma 2 6 6 10 12" xfId="26606"/>
    <cellStyle name="Comma 2 6 6 10 2" xfId="26607"/>
    <cellStyle name="Comma 2 6 6 10 2 2" xfId="26608"/>
    <cellStyle name="Comma 2 6 6 10 3" xfId="26609"/>
    <cellStyle name="Comma 2 6 6 10 3 2" xfId="26610"/>
    <cellStyle name="Comma 2 6 6 10 4" xfId="26611"/>
    <cellStyle name="Comma 2 6 6 10 4 2" xfId="26612"/>
    <cellStyle name="Comma 2 6 6 10 5" xfId="26613"/>
    <cellStyle name="Comma 2 6 6 10 5 2" xfId="26614"/>
    <cellStyle name="Comma 2 6 6 10 6" xfId="26615"/>
    <cellStyle name="Comma 2 6 6 10 6 2" xfId="26616"/>
    <cellStyle name="Comma 2 6 6 10 7" xfId="26617"/>
    <cellStyle name="Comma 2 6 6 10 7 2" xfId="26618"/>
    <cellStyle name="Comma 2 6 6 10 8" xfId="26619"/>
    <cellStyle name="Comma 2 6 6 10 8 2" xfId="26620"/>
    <cellStyle name="Comma 2 6 6 10 9" xfId="26621"/>
    <cellStyle name="Comma 2 6 6 10 9 2" xfId="26622"/>
    <cellStyle name="Comma 2 6 6 11" xfId="26623"/>
    <cellStyle name="Comma 2 6 6 11 10" xfId="26624"/>
    <cellStyle name="Comma 2 6 6 11 10 2" xfId="26625"/>
    <cellStyle name="Comma 2 6 6 11 11" xfId="26626"/>
    <cellStyle name="Comma 2 6 6 11 11 2" xfId="26627"/>
    <cellStyle name="Comma 2 6 6 11 12" xfId="26628"/>
    <cellStyle name="Comma 2 6 6 11 2" xfId="26629"/>
    <cellStyle name="Comma 2 6 6 11 2 2" xfId="26630"/>
    <cellStyle name="Comma 2 6 6 11 3" xfId="26631"/>
    <cellStyle name="Comma 2 6 6 11 3 2" xfId="26632"/>
    <cellStyle name="Comma 2 6 6 11 4" xfId="26633"/>
    <cellStyle name="Comma 2 6 6 11 4 2" xfId="26634"/>
    <cellStyle name="Comma 2 6 6 11 5" xfId="26635"/>
    <cellStyle name="Comma 2 6 6 11 5 2" xfId="26636"/>
    <cellStyle name="Comma 2 6 6 11 6" xfId="26637"/>
    <cellStyle name="Comma 2 6 6 11 6 2" xfId="26638"/>
    <cellStyle name="Comma 2 6 6 11 7" xfId="26639"/>
    <cellStyle name="Comma 2 6 6 11 7 2" xfId="26640"/>
    <cellStyle name="Comma 2 6 6 11 8" xfId="26641"/>
    <cellStyle name="Comma 2 6 6 11 8 2" xfId="26642"/>
    <cellStyle name="Comma 2 6 6 11 9" xfId="26643"/>
    <cellStyle name="Comma 2 6 6 11 9 2" xfId="26644"/>
    <cellStyle name="Comma 2 6 6 12" xfId="26645"/>
    <cellStyle name="Comma 2 6 6 12 10" xfId="26646"/>
    <cellStyle name="Comma 2 6 6 12 10 2" xfId="26647"/>
    <cellStyle name="Comma 2 6 6 12 11" xfId="26648"/>
    <cellStyle name="Comma 2 6 6 12 11 2" xfId="26649"/>
    <cellStyle name="Comma 2 6 6 12 12" xfId="26650"/>
    <cellStyle name="Comma 2 6 6 12 2" xfId="26651"/>
    <cellStyle name="Comma 2 6 6 12 2 2" xfId="26652"/>
    <cellStyle name="Comma 2 6 6 12 3" xfId="26653"/>
    <cellStyle name="Comma 2 6 6 12 3 2" xfId="26654"/>
    <cellStyle name="Comma 2 6 6 12 4" xfId="26655"/>
    <cellStyle name="Comma 2 6 6 12 4 2" xfId="26656"/>
    <cellStyle name="Comma 2 6 6 12 5" xfId="26657"/>
    <cellStyle name="Comma 2 6 6 12 5 2" xfId="26658"/>
    <cellStyle name="Comma 2 6 6 12 6" xfId="26659"/>
    <cellStyle name="Comma 2 6 6 12 6 2" xfId="26660"/>
    <cellStyle name="Comma 2 6 6 12 7" xfId="26661"/>
    <cellStyle name="Comma 2 6 6 12 7 2" xfId="26662"/>
    <cellStyle name="Comma 2 6 6 12 8" xfId="26663"/>
    <cellStyle name="Comma 2 6 6 12 8 2" xfId="26664"/>
    <cellStyle name="Comma 2 6 6 12 9" xfId="26665"/>
    <cellStyle name="Comma 2 6 6 12 9 2" xfId="26666"/>
    <cellStyle name="Comma 2 6 6 13" xfId="26667"/>
    <cellStyle name="Comma 2 6 6 13 10" xfId="26668"/>
    <cellStyle name="Comma 2 6 6 13 10 2" xfId="26669"/>
    <cellStyle name="Comma 2 6 6 13 11" xfId="26670"/>
    <cellStyle name="Comma 2 6 6 13 11 2" xfId="26671"/>
    <cellStyle name="Comma 2 6 6 13 12" xfId="26672"/>
    <cellStyle name="Comma 2 6 6 13 2" xfId="26673"/>
    <cellStyle name="Comma 2 6 6 13 2 2" xfId="26674"/>
    <cellStyle name="Comma 2 6 6 13 3" xfId="26675"/>
    <cellStyle name="Comma 2 6 6 13 3 2" xfId="26676"/>
    <cellStyle name="Comma 2 6 6 13 4" xfId="26677"/>
    <cellStyle name="Comma 2 6 6 13 4 2" xfId="26678"/>
    <cellStyle name="Comma 2 6 6 13 5" xfId="26679"/>
    <cellStyle name="Comma 2 6 6 13 5 2" xfId="26680"/>
    <cellStyle name="Comma 2 6 6 13 6" xfId="26681"/>
    <cellStyle name="Comma 2 6 6 13 6 2" xfId="26682"/>
    <cellStyle name="Comma 2 6 6 13 7" xfId="26683"/>
    <cellStyle name="Comma 2 6 6 13 7 2" xfId="26684"/>
    <cellStyle name="Comma 2 6 6 13 8" xfId="26685"/>
    <cellStyle name="Comma 2 6 6 13 8 2" xfId="26686"/>
    <cellStyle name="Comma 2 6 6 13 9" xfId="26687"/>
    <cellStyle name="Comma 2 6 6 13 9 2" xfId="26688"/>
    <cellStyle name="Comma 2 6 6 14" xfId="26689"/>
    <cellStyle name="Comma 2 6 6 14 10" xfId="26690"/>
    <cellStyle name="Comma 2 6 6 14 10 2" xfId="26691"/>
    <cellStyle name="Comma 2 6 6 14 11" xfId="26692"/>
    <cellStyle name="Comma 2 6 6 14 11 2" xfId="26693"/>
    <cellStyle name="Comma 2 6 6 14 12" xfId="26694"/>
    <cellStyle name="Comma 2 6 6 14 2" xfId="26695"/>
    <cellStyle name="Comma 2 6 6 14 2 2" xfId="26696"/>
    <cellStyle name="Comma 2 6 6 14 3" xfId="26697"/>
    <cellStyle name="Comma 2 6 6 14 3 2" xfId="26698"/>
    <cellStyle name="Comma 2 6 6 14 4" xfId="26699"/>
    <cellStyle name="Comma 2 6 6 14 4 2" xfId="26700"/>
    <cellStyle name="Comma 2 6 6 14 5" xfId="26701"/>
    <cellStyle name="Comma 2 6 6 14 5 2" xfId="26702"/>
    <cellStyle name="Comma 2 6 6 14 6" xfId="26703"/>
    <cellStyle name="Comma 2 6 6 14 6 2" xfId="26704"/>
    <cellStyle name="Comma 2 6 6 14 7" xfId="26705"/>
    <cellStyle name="Comma 2 6 6 14 7 2" xfId="26706"/>
    <cellStyle name="Comma 2 6 6 14 8" xfId="26707"/>
    <cellStyle name="Comma 2 6 6 14 8 2" xfId="26708"/>
    <cellStyle name="Comma 2 6 6 14 9" xfId="26709"/>
    <cellStyle name="Comma 2 6 6 14 9 2" xfId="26710"/>
    <cellStyle name="Comma 2 6 6 15" xfId="26711"/>
    <cellStyle name="Comma 2 6 6 15 10" xfId="26712"/>
    <cellStyle name="Comma 2 6 6 15 10 2" xfId="26713"/>
    <cellStyle name="Comma 2 6 6 15 11" xfId="26714"/>
    <cellStyle name="Comma 2 6 6 15 11 2" xfId="26715"/>
    <cellStyle name="Comma 2 6 6 15 12" xfId="26716"/>
    <cellStyle name="Comma 2 6 6 15 2" xfId="26717"/>
    <cellStyle name="Comma 2 6 6 15 2 2" xfId="26718"/>
    <cellStyle name="Comma 2 6 6 15 3" xfId="26719"/>
    <cellStyle name="Comma 2 6 6 15 3 2" xfId="26720"/>
    <cellStyle name="Comma 2 6 6 15 4" xfId="26721"/>
    <cellStyle name="Comma 2 6 6 15 4 2" xfId="26722"/>
    <cellStyle name="Comma 2 6 6 15 5" xfId="26723"/>
    <cellStyle name="Comma 2 6 6 15 5 2" xfId="26724"/>
    <cellStyle name="Comma 2 6 6 15 6" xfId="26725"/>
    <cellStyle name="Comma 2 6 6 15 6 2" xfId="26726"/>
    <cellStyle name="Comma 2 6 6 15 7" xfId="26727"/>
    <cellStyle name="Comma 2 6 6 15 7 2" xfId="26728"/>
    <cellStyle name="Comma 2 6 6 15 8" xfId="26729"/>
    <cellStyle name="Comma 2 6 6 15 8 2" xfId="26730"/>
    <cellStyle name="Comma 2 6 6 15 9" xfId="26731"/>
    <cellStyle name="Comma 2 6 6 15 9 2" xfId="26732"/>
    <cellStyle name="Comma 2 6 6 16" xfId="26733"/>
    <cellStyle name="Comma 2 6 6 16 2" xfId="26734"/>
    <cellStyle name="Comma 2 6 6 17" xfId="26735"/>
    <cellStyle name="Comma 2 6 6 17 2" xfId="26736"/>
    <cellStyle name="Comma 2 6 6 18" xfId="26737"/>
    <cellStyle name="Comma 2 6 6 18 2" xfId="26738"/>
    <cellStyle name="Comma 2 6 6 19" xfId="26739"/>
    <cellStyle name="Comma 2 6 6 19 2" xfId="26740"/>
    <cellStyle name="Comma 2 6 6 2" xfId="26741"/>
    <cellStyle name="Comma 2 6 6 2 10" xfId="26742"/>
    <cellStyle name="Comma 2 6 6 2 10 2" xfId="26743"/>
    <cellStyle name="Comma 2 6 6 2 11" xfId="26744"/>
    <cellStyle name="Comma 2 6 6 2 11 2" xfId="26745"/>
    <cellStyle name="Comma 2 6 6 2 12" xfId="26746"/>
    <cellStyle name="Comma 2 6 6 2 2" xfId="26747"/>
    <cellStyle name="Comma 2 6 6 2 2 2" xfId="26748"/>
    <cellStyle name="Comma 2 6 6 2 3" xfId="26749"/>
    <cellStyle name="Comma 2 6 6 2 3 2" xfId="26750"/>
    <cellStyle name="Comma 2 6 6 2 4" xfId="26751"/>
    <cellStyle name="Comma 2 6 6 2 4 2" xfId="26752"/>
    <cellStyle name="Comma 2 6 6 2 5" xfId="26753"/>
    <cellStyle name="Comma 2 6 6 2 5 2" xfId="26754"/>
    <cellStyle name="Comma 2 6 6 2 6" xfId="26755"/>
    <cellStyle name="Comma 2 6 6 2 6 2" xfId="26756"/>
    <cellStyle name="Comma 2 6 6 2 7" xfId="26757"/>
    <cellStyle name="Comma 2 6 6 2 7 2" xfId="26758"/>
    <cellStyle name="Comma 2 6 6 2 8" xfId="26759"/>
    <cellStyle name="Comma 2 6 6 2 8 2" xfId="26760"/>
    <cellStyle name="Comma 2 6 6 2 9" xfId="26761"/>
    <cellStyle name="Comma 2 6 6 2 9 2" xfId="26762"/>
    <cellStyle name="Comma 2 6 6 20" xfId="26763"/>
    <cellStyle name="Comma 2 6 6 20 2" xfId="26764"/>
    <cellStyle name="Comma 2 6 6 21" xfId="26765"/>
    <cellStyle name="Comma 2 6 6 21 2" xfId="26766"/>
    <cellStyle name="Comma 2 6 6 22" xfId="26767"/>
    <cellStyle name="Comma 2 6 6 22 2" xfId="26768"/>
    <cellStyle name="Comma 2 6 6 23" xfId="26769"/>
    <cellStyle name="Comma 2 6 6 23 2" xfId="26770"/>
    <cellStyle name="Comma 2 6 6 24" xfId="26771"/>
    <cellStyle name="Comma 2 6 6 24 2" xfId="26772"/>
    <cellStyle name="Comma 2 6 6 25" xfId="26773"/>
    <cellStyle name="Comma 2 6 6 25 2" xfId="26774"/>
    <cellStyle name="Comma 2 6 6 26" xfId="26775"/>
    <cellStyle name="Comma 2 6 6 3" xfId="26776"/>
    <cellStyle name="Comma 2 6 6 3 10" xfId="26777"/>
    <cellStyle name="Comma 2 6 6 3 10 2" xfId="26778"/>
    <cellStyle name="Comma 2 6 6 3 11" xfId="26779"/>
    <cellStyle name="Comma 2 6 6 3 11 2" xfId="26780"/>
    <cellStyle name="Comma 2 6 6 3 12" xfId="26781"/>
    <cellStyle name="Comma 2 6 6 3 2" xfId="26782"/>
    <cellStyle name="Comma 2 6 6 3 2 2" xfId="26783"/>
    <cellStyle name="Comma 2 6 6 3 3" xfId="26784"/>
    <cellStyle name="Comma 2 6 6 3 3 2" xfId="26785"/>
    <cellStyle name="Comma 2 6 6 3 4" xfId="26786"/>
    <cellStyle name="Comma 2 6 6 3 4 2" xfId="26787"/>
    <cellStyle name="Comma 2 6 6 3 5" xfId="26788"/>
    <cellStyle name="Comma 2 6 6 3 5 2" xfId="26789"/>
    <cellStyle name="Comma 2 6 6 3 6" xfId="26790"/>
    <cellStyle name="Comma 2 6 6 3 6 2" xfId="26791"/>
    <cellStyle name="Comma 2 6 6 3 7" xfId="26792"/>
    <cellStyle name="Comma 2 6 6 3 7 2" xfId="26793"/>
    <cellStyle name="Comma 2 6 6 3 8" xfId="26794"/>
    <cellStyle name="Comma 2 6 6 3 8 2" xfId="26795"/>
    <cellStyle name="Comma 2 6 6 3 9" xfId="26796"/>
    <cellStyle name="Comma 2 6 6 3 9 2" xfId="26797"/>
    <cellStyle name="Comma 2 6 6 4" xfId="26798"/>
    <cellStyle name="Comma 2 6 6 4 10" xfId="26799"/>
    <cellStyle name="Comma 2 6 6 4 10 2" xfId="26800"/>
    <cellStyle name="Comma 2 6 6 4 11" xfId="26801"/>
    <cellStyle name="Comma 2 6 6 4 11 2" xfId="26802"/>
    <cellStyle name="Comma 2 6 6 4 12" xfId="26803"/>
    <cellStyle name="Comma 2 6 6 4 2" xfId="26804"/>
    <cellStyle name="Comma 2 6 6 4 2 2" xfId="26805"/>
    <cellStyle name="Comma 2 6 6 4 3" xfId="26806"/>
    <cellStyle name="Comma 2 6 6 4 3 2" xfId="26807"/>
    <cellStyle name="Comma 2 6 6 4 4" xfId="26808"/>
    <cellStyle name="Comma 2 6 6 4 4 2" xfId="26809"/>
    <cellStyle name="Comma 2 6 6 4 5" xfId="26810"/>
    <cellStyle name="Comma 2 6 6 4 5 2" xfId="26811"/>
    <cellStyle name="Comma 2 6 6 4 6" xfId="26812"/>
    <cellStyle name="Comma 2 6 6 4 6 2" xfId="26813"/>
    <cellStyle name="Comma 2 6 6 4 7" xfId="26814"/>
    <cellStyle name="Comma 2 6 6 4 7 2" xfId="26815"/>
    <cellStyle name="Comma 2 6 6 4 8" xfId="26816"/>
    <cellStyle name="Comma 2 6 6 4 8 2" xfId="26817"/>
    <cellStyle name="Comma 2 6 6 4 9" xfId="26818"/>
    <cellStyle name="Comma 2 6 6 4 9 2" xfId="26819"/>
    <cellStyle name="Comma 2 6 6 5" xfId="26820"/>
    <cellStyle name="Comma 2 6 6 5 10" xfId="26821"/>
    <cellStyle name="Comma 2 6 6 5 10 2" xfId="26822"/>
    <cellStyle name="Comma 2 6 6 5 11" xfId="26823"/>
    <cellStyle name="Comma 2 6 6 5 11 2" xfId="26824"/>
    <cellStyle name="Comma 2 6 6 5 12" xfId="26825"/>
    <cellStyle name="Comma 2 6 6 5 2" xfId="26826"/>
    <cellStyle name="Comma 2 6 6 5 2 2" xfId="26827"/>
    <cellStyle name="Comma 2 6 6 5 3" xfId="26828"/>
    <cellStyle name="Comma 2 6 6 5 3 2" xfId="26829"/>
    <cellStyle name="Comma 2 6 6 5 4" xfId="26830"/>
    <cellStyle name="Comma 2 6 6 5 4 2" xfId="26831"/>
    <cellStyle name="Comma 2 6 6 5 5" xfId="26832"/>
    <cellStyle name="Comma 2 6 6 5 5 2" xfId="26833"/>
    <cellStyle name="Comma 2 6 6 5 6" xfId="26834"/>
    <cellStyle name="Comma 2 6 6 5 6 2" xfId="26835"/>
    <cellStyle name="Comma 2 6 6 5 7" xfId="26836"/>
    <cellStyle name="Comma 2 6 6 5 7 2" xfId="26837"/>
    <cellStyle name="Comma 2 6 6 5 8" xfId="26838"/>
    <cellStyle name="Comma 2 6 6 5 8 2" xfId="26839"/>
    <cellStyle name="Comma 2 6 6 5 9" xfId="26840"/>
    <cellStyle name="Comma 2 6 6 5 9 2" xfId="26841"/>
    <cellStyle name="Comma 2 6 6 6" xfId="26842"/>
    <cellStyle name="Comma 2 6 6 6 10" xfId="26843"/>
    <cellStyle name="Comma 2 6 6 6 10 2" xfId="26844"/>
    <cellStyle name="Comma 2 6 6 6 11" xfId="26845"/>
    <cellStyle name="Comma 2 6 6 6 11 2" xfId="26846"/>
    <cellStyle name="Comma 2 6 6 6 12" xfId="26847"/>
    <cellStyle name="Comma 2 6 6 6 2" xfId="26848"/>
    <cellStyle name="Comma 2 6 6 6 2 2" xfId="26849"/>
    <cellStyle name="Comma 2 6 6 6 3" xfId="26850"/>
    <cellStyle name="Comma 2 6 6 6 3 2" xfId="26851"/>
    <cellStyle name="Comma 2 6 6 6 4" xfId="26852"/>
    <cellStyle name="Comma 2 6 6 6 4 2" xfId="26853"/>
    <cellStyle name="Comma 2 6 6 6 5" xfId="26854"/>
    <cellStyle name="Comma 2 6 6 6 5 2" xfId="26855"/>
    <cellStyle name="Comma 2 6 6 6 6" xfId="26856"/>
    <cellStyle name="Comma 2 6 6 6 6 2" xfId="26857"/>
    <cellStyle name="Comma 2 6 6 6 7" xfId="26858"/>
    <cellStyle name="Comma 2 6 6 6 7 2" xfId="26859"/>
    <cellStyle name="Comma 2 6 6 6 8" xfId="26860"/>
    <cellStyle name="Comma 2 6 6 6 8 2" xfId="26861"/>
    <cellStyle name="Comma 2 6 6 6 9" xfId="26862"/>
    <cellStyle name="Comma 2 6 6 6 9 2" xfId="26863"/>
    <cellStyle name="Comma 2 6 6 7" xfId="26864"/>
    <cellStyle name="Comma 2 6 6 7 10" xfId="26865"/>
    <cellStyle name="Comma 2 6 6 7 10 2" xfId="26866"/>
    <cellStyle name="Comma 2 6 6 7 11" xfId="26867"/>
    <cellStyle name="Comma 2 6 6 7 11 2" xfId="26868"/>
    <cellStyle name="Comma 2 6 6 7 12" xfId="26869"/>
    <cellStyle name="Comma 2 6 6 7 2" xfId="26870"/>
    <cellStyle name="Comma 2 6 6 7 2 2" xfId="26871"/>
    <cellStyle name="Comma 2 6 6 7 3" xfId="26872"/>
    <cellStyle name="Comma 2 6 6 7 3 2" xfId="26873"/>
    <cellStyle name="Comma 2 6 6 7 4" xfId="26874"/>
    <cellStyle name="Comma 2 6 6 7 4 2" xfId="26875"/>
    <cellStyle name="Comma 2 6 6 7 5" xfId="26876"/>
    <cellStyle name="Comma 2 6 6 7 5 2" xfId="26877"/>
    <cellStyle name="Comma 2 6 6 7 6" xfId="26878"/>
    <cellStyle name="Comma 2 6 6 7 6 2" xfId="26879"/>
    <cellStyle name="Comma 2 6 6 7 7" xfId="26880"/>
    <cellStyle name="Comma 2 6 6 7 7 2" xfId="26881"/>
    <cellStyle name="Comma 2 6 6 7 8" xfId="26882"/>
    <cellStyle name="Comma 2 6 6 7 8 2" xfId="26883"/>
    <cellStyle name="Comma 2 6 6 7 9" xfId="26884"/>
    <cellStyle name="Comma 2 6 6 7 9 2" xfId="26885"/>
    <cellStyle name="Comma 2 6 6 8" xfId="26886"/>
    <cellStyle name="Comma 2 6 6 8 10" xfId="26887"/>
    <cellStyle name="Comma 2 6 6 8 10 2" xfId="26888"/>
    <cellStyle name="Comma 2 6 6 8 11" xfId="26889"/>
    <cellStyle name="Comma 2 6 6 8 11 2" xfId="26890"/>
    <cellStyle name="Comma 2 6 6 8 12" xfId="26891"/>
    <cellStyle name="Comma 2 6 6 8 2" xfId="26892"/>
    <cellStyle name="Comma 2 6 6 8 2 2" xfId="26893"/>
    <cellStyle name="Comma 2 6 6 8 3" xfId="26894"/>
    <cellStyle name="Comma 2 6 6 8 3 2" xfId="26895"/>
    <cellStyle name="Comma 2 6 6 8 4" xfId="26896"/>
    <cellStyle name="Comma 2 6 6 8 4 2" xfId="26897"/>
    <cellStyle name="Comma 2 6 6 8 5" xfId="26898"/>
    <cellStyle name="Comma 2 6 6 8 5 2" xfId="26899"/>
    <cellStyle name="Comma 2 6 6 8 6" xfId="26900"/>
    <cellStyle name="Comma 2 6 6 8 6 2" xfId="26901"/>
    <cellStyle name="Comma 2 6 6 8 7" xfId="26902"/>
    <cellStyle name="Comma 2 6 6 8 7 2" xfId="26903"/>
    <cellStyle name="Comma 2 6 6 8 8" xfId="26904"/>
    <cellStyle name="Comma 2 6 6 8 8 2" xfId="26905"/>
    <cellStyle name="Comma 2 6 6 8 9" xfId="26906"/>
    <cellStyle name="Comma 2 6 6 8 9 2" xfId="26907"/>
    <cellStyle name="Comma 2 6 6 9" xfId="26908"/>
    <cellStyle name="Comma 2 6 6 9 10" xfId="26909"/>
    <cellStyle name="Comma 2 6 6 9 10 2" xfId="26910"/>
    <cellStyle name="Comma 2 6 6 9 11" xfId="26911"/>
    <cellStyle name="Comma 2 6 6 9 11 2" xfId="26912"/>
    <cellStyle name="Comma 2 6 6 9 12" xfId="26913"/>
    <cellStyle name="Comma 2 6 6 9 2" xfId="26914"/>
    <cellStyle name="Comma 2 6 6 9 2 2" xfId="26915"/>
    <cellStyle name="Comma 2 6 6 9 3" xfId="26916"/>
    <cellStyle name="Comma 2 6 6 9 3 2" xfId="26917"/>
    <cellStyle name="Comma 2 6 6 9 4" xfId="26918"/>
    <cellStyle name="Comma 2 6 6 9 4 2" xfId="26919"/>
    <cellStyle name="Comma 2 6 6 9 5" xfId="26920"/>
    <cellStyle name="Comma 2 6 6 9 5 2" xfId="26921"/>
    <cellStyle name="Comma 2 6 6 9 6" xfId="26922"/>
    <cellStyle name="Comma 2 6 6 9 6 2" xfId="26923"/>
    <cellStyle name="Comma 2 6 6 9 7" xfId="26924"/>
    <cellStyle name="Comma 2 6 6 9 7 2" xfId="26925"/>
    <cellStyle name="Comma 2 6 6 9 8" xfId="26926"/>
    <cellStyle name="Comma 2 6 6 9 8 2" xfId="26927"/>
    <cellStyle name="Comma 2 6 6 9 9" xfId="26928"/>
    <cellStyle name="Comma 2 6 6 9 9 2" xfId="26929"/>
    <cellStyle name="Comma 2 6 7" xfId="26930"/>
    <cellStyle name="Comma 2 6 7 10" xfId="26931"/>
    <cellStyle name="Comma 2 6 7 10 2" xfId="26932"/>
    <cellStyle name="Comma 2 6 7 11" xfId="26933"/>
    <cellStyle name="Comma 2 6 7 11 2" xfId="26934"/>
    <cellStyle name="Comma 2 6 7 12" xfId="26935"/>
    <cellStyle name="Comma 2 6 7 2" xfId="26936"/>
    <cellStyle name="Comma 2 6 7 2 2" xfId="26937"/>
    <cellStyle name="Comma 2 6 7 3" xfId="26938"/>
    <cellStyle name="Comma 2 6 7 3 2" xfId="26939"/>
    <cellStyle name="Comma 2 6 7 4" xfId="26940"/>
    <cellStyle name="Comma 2 6 7 4 2" xfId="26941"/>
    <cellStyle name="Comma 2 6 7 5" xfId="26942"/>
    <cellStyle name="Comma 2 6 7 5 2" xfId="26943"/>
    <cellStyle name="Comma 2 6 7 6" xfId="26944"/>
    <cellStyle name="Comma 2 6 7 6 2" xfId="26945"/>
    <cellStyle name="Comma 2 6 7 7" xfId="26946"/>
    <cellStyle name="Comma 2 6 7 7 2" xfId="26947"/>
    <cellStyle name="Comma 2 6 7 8" xfId="26948"/>
    <cellStyle name="Comma 2 6 7 8 2" xfId="26949"/>
    <cellStyle name="Comma 2 6 7 9" xfId="26950"/>
    <cellStyle name="Comma 2 6 7 9 2" xfId="26951"/>
    <cellStyle name="Comma 2 6 8" xfId="26952"/>
    <cellStyle name="Comma 2 6 8 10" xfId="26953"/>
    <cellStyle name="Comma 2 6 8 10 2" xfId="26954"/>
    <cellStyle name="Comma 2 6 8 11" xfId="26955"/>
    <cellStyle name="Comma 2 6 8 11 2" xfId="26956"/>
    <cellStyle name="Comma 2 6 8 12" xfId="26957"/>
    <cellStyle name="Comma 2 6 8 2" xfId="26958"/>
    <cellStyle name="Comma 2 6 8 2 2" xfId="26959"/>
    <cellStyle name="Comma 2 6 8 3" xfId="26960"/>
    <cellStyle name="Comma 2 6 8 3 2" xfId="26961"/>
    <cellStyle name="Comma 2 6 8 4" xfId="26962"/>
    <cellStyle name="Comma 2 6 8 4 2" xfId="26963"/>
    <cellStyle name="Comma 2 6 8 5" xfId="26964"/>
    <cellStyle name="Comma 2 6 8 5 2" xfId="26965"/>
    <cellStyle name="Comma 2 6 8 6" xfId="26966"/>
    <cellStyle name="Comma 2 6 8 6 2" xfId="26967"/>
    <cellStyle name="Comma 2 6 8 7" xfId="26968"/>
    <cellStyle name="Comma 2 6 8 7 2" xfId="26969"/>
    <cellStyle name="Comma 2 6 8 8" xfId="26970"/>
    <cellStyle name="Comma 2 6 8 8 2" xfId="26971"/>
    <cellStyle name="Comma 2 6 8 9" xfId="26972"/>
    <cellStyle name="Comma 2 6 8 9 2" xfId="26973"/>
    <cellStyle name="Comma 2 6 9" xfId="26974"/>
    <cellStyle name="Comma 2 6 9 10" xfId="26975"/>
    <cellStyle name="Comma 2 6 9 10 2" xfId="26976"/>
    <cellStyle name="Comma 2 6 9 11" xfId="26977"/>
    <cellStyle name="Comma 2 6 9 11 2" xfId="26978"/>
    <cellStyle name="Comma 2 6 9 12" xfId="26979"/>
    <cellStyle name="Comma 2 6 9 2" xfId="26980"/>
    <cellStyle name="Comma 2 6 9 2 2" xfId="26981"/>
    <cellStyle name="Comma 2 6 9 3" xfId="26982"/>
    <cellStyle name="Comma 2 6 9 3 2" xfId="26983"/>
    <cellStyle name="Comma 2 6 9 4" xfId="26984"/>
    <cellStyle name="Comma 2 6 9 4 2" xfId="26985"/>
    <cellStyle name="Comma 2 6 9 5" xfId="26986"/>
    <cellStyle name="Comma 2 6 9 5 2" xfId="26987"/>
    <cellStyle name="Comma 2 6 9 6" xfId="26988"/>
    <cellStyle name="Comma 2 6 9 6 2" xfId="26989"/>
    <cellStyle name="Comma 2 6 9 7" xfId="26990"/>
    <cellStyle name="Comma 2 6 9 7 2" xfId="26991"/>
    <cellStyle name="Comma 2 6 9 8" xfId="26992"/>
    <cellStyle name="Comma 2 6 9 8 2" xfId="26993"/>
    <cellStyle name="Comma 2 6 9 9" xfId="26994"/>
    <cellStyle name="Comma 2 6 9 9 2" xfId="26995"/>
    <cellStyle name="Comma 2 7" xfId="26996"/>
    <cellStyle name="Comma 2 7 10" xfId="26997"/>
    <cellStyle name="Comma 2 7 11" xfId="26998"/>
    <cellStyle name="Comma 2 7 12" xfId="26999"/>
    <cellStyle name="Comma 2 7 13" xfId="27000"/>
    <cellStyle name="Comma 2 7 14" xfId="27001"/>
    <cellStyle name="Comma 2 7 15" xfId="27002"/>
    <cellStyle name="Comma 2 7 16" xfId="27003"/>
    <cellStyle name="Comma 2 7 17" xfId="27004"/>
    <cellStyle name="Comma 2 7 18" xfId="27005"/>
    <cellStyle name="Comma 2 7 19" xfId="27006"/>
    <cellStyle name="Comma 2 7 2" xfId="27007"/>
    <cellStyle name="Comma 2 7 20" xfId="27008"/>
    <cellStyle name="Comma 2 7 21" xfId="27009"/>
    <cellStyle name="Comma 2 7 22" xfId="27010"/>
    <cellStyle name="Comma 2 7 23" xfId="27011"/>
    <cellStyle name="Comma 2 7 24" xfId="27012"/>
    <cellStyle name="Comma 2 7 25" xfId="27013"/>
    <cellStyle name="Comma 2 7 26" xfId="27014"/>
    <cellStyle name="Comma 2 7 27" xfId="27015"/>
    <cellStyle name="Comma 2 7 28" xfId="27016"/>
    <cellStyle name="Comma 2 7 29" xfId="27017"/>
    <cellStyle name="Comma 2 7 3" xfId="27018"/>
    <cellStyle name="Comma 2 7 30" xfId="27019"/>
    <cellStyle name="Comma 2 7 31" xfId="27020"/>
    <cellStyle name="Comma 2 7 32" xfId="27021"/>
    <cellStyle name="Comma 2 7 33" xfId="27022"/>
    <cellStyle name="Comma 2 7 34" xfId="27023"/>
    <cellStyle name="Comma 2 7 35" xfId="27024"/>
    <cellStyle name="Comma 2 7 36" xfId="27025"/>
    <cellStyle name="Comma 2 7 37" xfId="27026"/>
    <cellStyle name="Comma 2 7 38" xfId="27027"/>
    <cellStyle name="Comma 2 7 4" xfId="27028"/>
    <cellStyle name="Comma 2 7 5" xfId="27029"/>
    <cellStyle name="Comma 2 7 6" xfId="27030"/>
    <cellStyle name="Comma 2 7 7" xfId="27031"/>
    <cellStyle name="Comma 2 7 8" xfId="27032"/>
    <cellStyle name="Comma 2 7 9" xfId="27033"/>
    <cellStyle name="Comma 2 8" xfId="27034"/>
    <cellStyle name="Comma 2 8 10" xfId="27035"/>
    <cellStyle name="Comma 2 8 11" xfId="27036"/>
    <cellStyle name="Comma 2 8 12" xfId="27037"/>
    <cellStyle name="Comma 2 8 13" xfId="27038"/>
    <cellStyle name="Comma 2 8 14" xfId="27039"/>
    <cellStyle name="Comma 2 8 15" xfId="27040"/>
    <cellStyle name="Comma 2 8 16" xfId="27041"/>
    <cellStyle name="Comma 2 8 17" xfId="27042"/>
    <cellStyle name="Comma 2 8 18" xfId="27043"/>
    <cellStyle name="Comma 2 8 19" xfId="27044"/>
    <cellStyle name="Comma 2 8 2" xfId="27045"/>
    <cellStyle name="Comma 2 8 20" xfId="27046"/>
    <cellStyle name="Comma 2 8 21" xfId="27047"/>
    <cellStyle name="Comma 2 8 22" xfId="27048"/>
    <cellStyle name="Comma 2 8 23" xfId="27049"/>
    <cellStyle name="Comma 2 8 24" xfId="27050"/>
    <cellStyle name="Comma 2 8 25" xfId="27051"/>
    <cellStyle name="Comma 2 8 26" xfId="27052"/>
    <cellStyle name="Comma 2 8 27" xfId="27053"/>
    <cellStyle name="Comma 2 8 28" xfId="27054"/>
    <cellStyle name="Comma 2 8 29" xfId="27055"/>
    <cellStyle name="Comma 2 8 3" xfId="27056"/>
    <cellStyle name="Comma 2 8 30" xfId="27057"/>
    <cellStyle name="Comma 2 8 31" xfId="27058"/>
    <cellStyle name="Comma 2 8 32" xfId="27059"/>
    <cellStyle name="Comma 2 8 33" xfId="27060"/>
    <cellStyle name="Comma 2 8 34" xfId="27061"/>
    <cellStyle name="Comma 2 8 35" xfId="27062"/>
    <cellStyle name="Comma 2 8 36" xfId="27063"/>
    <cellStyle name="Comma 2 8 37" xfId="27064"/>
    <cellStyle name="Comma 2 8 38" xfId="27065"/>
    <cellStyle name="Comma 2 8 4" xfId="27066"/>
    <cellStyle name="Comma 2 8 5" xfId="27067"/>
    <cellStyle name="Comma 2 8 6" xfId="27068"/>
    <cellStyle name="Comma 2 8 7" xfId="27069"/>
    <cellStyle name="Comma 2 8 8" xfId="27070"/>
    <cellStyle name="Comma 2 8 9" xfId="27071"/>
    <cellStyle name="Comma 2 9" xfId="27072"/>
    <cellStyle name="Comma 2 9 2" xfId="27073"/>
    <cellStyle name="Comma 2 9 3" xfId="27074"/>
    <cellStyle name="Comma 20" xfId="27075"/>
    <cellStyle name="Comma 20 2" xfId="27076"/>
    <cellStyle name="Comma 20 3" xfId="27077"/>
    <cellStyle name="Comma 21" xfId="27078"/>
    <cellStyle name="Comma 21 2" xfId="27079"/>
    <cellStyle name="Comma 21 3" xfId="27080"/>
    <cellStyle name="Comma 22" xfId="27081"/>
    <cellStyle name="Comma 22 2" xfId="27082"/>
    <cellStyle name="Comma 22 3" xfId="27083"/>
    <cellStyle name="Comma 23" xfId="27084"/>
    <cellStyle name="Comma 23 2" xfId="27085"/>
    <cellStyle name="Comma 23 3" xfId="27086"/>
    <cellStyle name="Comma 24" xfId="27087"/>
    <cellStyle name="Comma 24 2" xfId="27088"/>
    <cellStyle name="Comma 24 3" xfId="27089"/>
    <cellStyle name="Comma 25" xfId="27090"/>
    <cellStyle name="Comma 25 2" xfId="27091"/>
    <cellStyle name="Comma 25 3" xfId="27092"/>
    <cellStyle name="Comma 26" xfId="27093"/>
    <cellStyle name="Comma 26 2" xfId="27094"/>
    <cellStyle name="Comma 26 3" xfId="27095"/>
    <cellStyle name="Comma 27" xfId="27096"/>
    <cellStyle name="Comma 27 2" xfId="27097"/>
    <cellStyle name="Comma 27 3" xfId="27098"/>
    <cellStyle name="Comma 28" xfId="27099"/>
    <cellStyle name="Comma 28 2" xfId="27100"/>
    <cellStyle name="Comma 28 3" xfId="27101"/>
    <cellStyle name="Comma 29" xfId="27102"/>
    <cellStyle name="Comma 29 2" xfId="27103"/>
    <cellStyle name="Comma 29 3" xfId="27104"/>
    <cellStyle name="Comma 3" xfId="27105"/>
    <cellStyle name="Comma 3 10" xfId="27106"/>
    <cellStyle name="Comma 3 10 2" xfId="27107"/>
    <cellStyle name="Comma 3 10 3" xfId="27108"/>
    <cellStyle name="Comma 3 11" xfId="27109"/>
    <cellStyle name="Comma 3 11 2" xfId="27110"/>
    <cellStyle name="Comma 3 11 3" xfId="27111"/>
    <cellStyle name="Comma 3 12" xfId="27112"/>
    <cellStyle name="Comma 3 12 2" xfId="27113"/>
    <cellStyle name="Comma 3 12 3" xfId="27114"/>
    <cellStyle name="Comma 3 13" xfId="27115"/>
    <cellStyle name="Comma 3 13 2" xfId="27116"/>
    <cellStyle name="Comma 3 13 3" xfId="27117"/>
    <cellStyle name="Comma 3 14" xfId="27118"/>
    <cellStyle name="Comma 3 14 2" xfId="27119"/>
    <cellStyle name="Comma 3 14 3" xfId="27120"/>
    <cellStyle name="Comma 3 15" xfId="27121"/>
    <cellStyle name="Comma 3 15 2" xfId="27122"/>
    <cellStyle name="Comma 3 15 3" xfId="27123"/>
    <cellStyle name="Comma 3 16" xfId="27124"/>
    <cellStyle name="Comma 3 16 2" xfId="27125"/>
    <cellStyle name="Comma 3 16 3" xfId="27126"/>
    <cellStyle name="Comma 3 17" xfId="27127"/>
    <cellStyle name="Comma 3 18" xfId="36048"/>
    <cellStyle name="Comma 3 2" xfId="27128"/>
    <cellStyle name="Comma 3 2 10" xfId="27129"/>
    <cellStyle name="Comma 3 2 11" xfId="27130"/>
    <cellStyle name="Comma 3 2 12" xfId="27131"/>
    <cellStyle name="Comma 3 2 13" xfId="27132"/>
    <cellStyle name="Comma 3 2 14" xfId="27133"/>
    <cellStyle name="Comma 3 2 15" xfId="27134"/>
    <cellStyle name="Comma 3 2 16" xfId="27135"/>
    <cellStyle name="Comma 3 2 17" xfId="27136"/>
    <cellStyle name="Comma 3 2 18" xfId="27137"/>
    <cellStyle name="Comma 3 2 19" xfId="27138"/>
    <cellStyle name="Comma 3 2 2" xfId="27139"/>
    <cellStyle name="Comma 3 2 20" xfId="27140"/>
    <cellStyle name="Comma 3 2 21" xfId="27141"/>
    <cellStyle name="Comma 3 2 22" xfId="27142"/>
    <cellStyle name="Comma 3 2 23" xfId="27143"/>
    <cellStyle name="Comma 3 2 24" xfId="27144"/>
    <cellStyle name="Comma 3 2 25" xfId="27145"/>
    <cellStyle name="Comma 3 2 26" xfId="27146"/>
    <cellStyle name="Comma 3 2 27" xfId="27147"/>
    <cellStyle name="Comma 3 2 28" xfId="27148"/>
    <cellStyle name="Comma 3 2 29" xfId="27149"/>
    <cellStyle name="Comma 3 2 3" xfId="27150"/>
    <cellStyle name="Comma 3 2 30" xfId="27151"/>
    <cellStyle name="Comma 3 2 31" xfId="27152"/>
    <cellStyle name="Comma 3 2 32" xfId="27153"/>
    <cellStyle name="Comma 3 2 33" xfId="27154"/>
    <cellStyle name="Comma 3 2 34" xfId="27155"/>
    <cellStyle name="Comma 3 2 35" xfId="27156"/>
    <cellStyle name="Comma 3 2 36" xfId="27157"/>
    <cellStyle name="Comma 3 2 37" xfId="27158"/>
    <cellStyle name="Comma 3 2 38" xfId="27159"/>
    <cellStyle name="Comma 3 2 4" xfId="27160"/>
    <cellStyle name="Comma 3 2 5" xfId="27161"/>
    <cellStyle name="Comma 3 2 6" xfId="27162"/>
    <cellStyle name="Comma 3 2 7" xfId="27163"/>
    <cellStyle name="Comma 3 2 8" xfId="27164"/>
    <cellStyle name="Comma 3 2 9" xfId="27165"/>
    <cellStyle name="Comma 3 3" xfId="27166"/>
    <cellStyle name="Comma 3 3 2" xfId="27167"/>
    <cellStyle name="Comma 3 3 3" xfId="27168"/>
    <cellStyle name="Comma 3 4" xfId="27169"/>
    <cellStyle name="Comma 3 4 2" xfId="27170"/>
    <cellStyle name="Comma 3 4 3" xfId="27171"/>
    <cellStyle name="Comma 3 5" xfId="27172"/>
    <cellStyle name="Comma 3 5 2" xfId="27173"/>
    <cellStyle name="Comma 3 5 3" xfId="27174"/>
    <cellStyle name="Comma 3 6" xfId="27175"/>
    <cellStyle name="Comma 3 6 2" xfId="27176"/>
    <cellStyle name="Comma 3 6 3" xfId="27177"/>
    <cellStyle name="Comma 3 7" xfId="27178"/>
    <cellStyle name="Comma 3 7 2" xfId="27179"/>
    <cellStyle name="Comma 3 7 3" xfId="27180"/>
    <cellStyle name="Comma 3 8" xfId="27181"/>
    <cellStyle name="Comma 3 8 2" xfId="27182"/>
    <cellStyle name="Comma 3 8 3" xfId="27183"/>
    <cellStyle name="Comma 3 9" xfId="27184"/>
    <cellStyle name="Comma 3 9 2" xfId="27185"/>
    <cellStyle name="Comma 3 9 3" xfId="27186"/>
    <cellStyle name="Comma 3_consumption scenario A" xfId="37624"/>
    <cellStyle name="Comma 30" xfId="27187"/>
    <cellStyle name="Comma 30 2" xfId="27188"/>
    <cellStyle name="Comma 30 3" xfId="27189"/>
    <cellStyle name="Comma 31" xfId="27190"/>
    <cellStyle name="Comma 31 2" xfId="27191"/>
    <cellStyle name="Comma 31 3" xfId="27192"/>
    <cellStyle name="Comma 32" xfId="27193"/>
    <cellStyle name="Comma 32 2" xfId="27194"/>
    <cellStyle name="Comma 32 3" xfId="27195"/>
    <cellStyle name="Comma 33" xfId="27196"/>
    <cellStyle name="Comma 33 2" xfId="27197"/>
    <cellStyle name="Comma 33 3" xfId="27198"/>
    <cellStyle name="Comma 34" xfId="27199"/>
    <cellStyle name="Comma 35" xfId="27200"/>
    <cellStyle name="Comma 36" xfId="27201"/>
    <cellStyle name="Comma 37" xfId="27202"/>
    <cellStyle name="Comma 38" xfId="27203"/>
    <cellStyle name="Comma 38 2" xfId="27204"/>
    <cellStyle name="Comma 38 3" xfId="27205"/>
    <cellStyle name="Comma 39" xfId="27206"/>
    <cellStyle name="Comma 4" xfId="27207"/>
    <cellStyle name="Comma 4 2" xfId="27208"/>
    <cellStyle name="Comma 4 2 10" xfId="27209"/>
    <cellStyle name="Comma 4 2 11" xfId="27210"/>
    <cellStyle name="Comma 4 2 12" xfId="27211"/>
    <cellStyle name="Comma 4 2 13" xfId="27212"/>
    <cellStyle name="Comma 4 2 14" xfId="27213"/>
    <cellStyle name="Comma 4 2 15" xfId="27214"/>
    <cellStyle name="Comma 4 2 16" xfId="27215"/>
    <cellStyle name="Comma 4 2 17" xfId="27216"/>
    <cellStyle name="Comma 4 2 18" xfId="27217"/>
    <cellStyle name="Comma 4 2 19" xfId="27218"/>
    <cellStyle name="Comma 4 2 2" xfId="27219"/>
    <cellStyle name="Comma 4 2 20" xfId="27220"/>
    <cellStyle name="Comma 4 2 21" xfId="27221"/>
    <cellStyle name="Comma 4 2 22" xfId="27222"/>
    <cellStyle name="Comma 4 2 23" xfId="27223"/>
    <cellStyle name="Comma 4 2 24" xfId="27224"/>
    <cellStyle name="Comma 4 2 25" xfId="27225"/>
    <cellStyle name="Comma 4 2 26" xfId="27226"/>
    <cellStyle name="Comma 4 2 27" xfId="27227"/>
    <cellStyle name="Comma 4 2 28" xfId="27228"/>
    <cellStyle name="Comma 4 2 29" xfId="27229"/>
    <cellStyle name="Comma 4 2 3" xfId="27230"/>
    <cellStyle name="Comma 4 2 30" xfId="27231"/>
    <cellStyle name="Comma 4 2 31" xfId="27232"/>
    <cellStyle name="Comma 4 2 32" xfId="27233"/>
    <cellStyle name="Comma 4 2 33" xfId="27234"/>
    <cellStyle name="Comma 4 2 34" xfId="27235"/>
    <cellStyle name="Comma 4 2 35" xfId="27236"/>
    <cellStyle name="Comma 4 2 36" xfId="27237"/>
    <cellStyle name="Comma 4 2 37" xfId="27238"/>
    <cellStyle name="Comma 4 2 38" xfId="27239"/>
    <cellStyle name="Comma 4 2 4" xfId="27240"/>
    <cellStyle name="Comma 4 2 5" xfId="27241"/>
    <cellStyle name="Comma 4 2 6" xfId="27242"/>
    <cellStyle name="Comma 4 2 7" xfId="27243"/>
    <cellStyle name="Comma 4 2 8" xfId="27244"/>
    <cellStyle name="Comma 4 2 9" xfId="27245"/>
    <cellStyle name="Comma 4 3" xfId="27246"/>
    <cellStyle name="Comma 4 4" xfId="27247"/>
    <cellStyle name="Comma 4 5" xfId="36061"/>
    <cellStyle name="Comma 4_consumption scenario A" xfId="37625"/>
    <cellStyle name="Comma 40" xfId="27248"/>
    <cellStyle name="Comma 41" xfId="27249"/>
    <cellStyle name="Comma 42" xfId="38035"/>
    <cellStyle name="Comma 43" xfId="36116"/>
    <cellStyle name="Comma 44" xfId="27250"/>
    <cellStyle name="Comma 44 2" xfId="27251"/>
    <cellStyle name="Comma 44 3" xfId="27252"/>
    <cellStyle name="Comma 45" xfId="27253"/>
    <cellStyle name="Comma 45 2" xfId="27254"/>
    <cellStyle name="Comma 45 3" xfId="27255"/>
    <cellStyle name="Comma 46" xfId="27256"/>
    <cellStyle name="Comma 46 2" xfId="27257"/>
    <cellStyle name="Comma 46 3" xfId="27258"/>
    <cellStyle name="Comma 47" xfId="27259"/>
    <cellStyle name="Comma 47 2" xfId="27260"/>
    <cellStyle name="Comma 47 3" xfId="27261"/>
    <cellStyle name="Comma 48" xfId="38831"/>
    <cellStyle name="Comma 49" xfId="5412"/>
    <cellStyle name="Comma 5" xfId="27262"/>
    <cellStyle name="Comma 5 2" xfId="27263"/>
    <cellStyle name="Comma 5 3" xfId="27264"/>
    <cellStyle name="Comma 5 4" xfId="35975"/>
    <cellStyle name="Comma 5_consumption scenario A" xfId="37626"/>
    <cellStyle name="Comma 50" xfId="39332"/>
    <cellStyle name="Comma 51" xfId="27265"/>
    <cellStyle name="Comma 52" xfId="27266"/>
    <cellStyle name="Comma 53" xfId="27267"/>
    <cellStyle name="Comma 54" xfId="40861"/>
    <cellStyle name="Comma 55" xfId="27268"/>
    <cellStyle name="Comma 55 2" xfId="27269"/>
    <cellStyle name="Comma 58" xfId="27270"/>
    <cellStyle name="Comma 6" xfId="27271"/>
    <cellStyle name="Comma 6 10" xfId="27272"/>
    <cellStyle name="Comma 6 10 10" xfId="27273"/>
    <cellStyle name="Comma 6 10 10 2" xfId="27274"/>
    <cellStyle name="Comma 6 10 11" xfId="27275"/>
    <cellStyle name="Comma 6 10 11 2" xfId="27276"/>
    <cellStyle name="Comma 6 10 12" xfId="27277"/>
    <cellStyle name="Comma 6 10 2" xfId="27278"/>
    <cellStyle name="Comma 6 10 2 2" xfId="27279"/>
    <cellStyle name="Comma 6 10 3" xfId="27280"/>
    <cellStyle name="Comma 6 10 3 2" xfId="27281"/>
    <cellStyle name="Comma 6 10 4" xfId="27282"/>
    <cellStyle name="Comma 6 10 4 2" xfId="27283"/>
    <cellStyle name="Comma 6 10 5" xfId="27284"/>
    <cellStyle name="Comma 6 10 5 2" xfId="27285"/>
    <cellStyle name="Comma 6 10 6" xfId="27286"/>
    <cellStyle name="Comma 6 10 6 2" xfId="27287"/>
    <cellStyle name="Comma 6 10 7" xfId="27288"/>
    <cellStyle name="Comma 6 10 7 2" xfId="27289"/>
    <cellStyle name="Comma 6 10 8" xfId="27290"/>
    <cellStyle name="Comma 6 10 8 2" xfId="27291"/>
    <cellStyle name="Comma 6 10 9" xfId="27292"/>
    <cellStyle name="Comma 6 10 9 2" xfId="27293"/>
    <cellStyle name="Comma 6 11" xfId="27294"/>
    <cellStyle name="Comma 6 11 10" xfId="27295"/>
    <cellStyle name="Comma 6 11 10 2" xfId="27296"/>
    <cellStyle name="Comma 6 11 11" xfId="27297"/>
    <cellStyle name="Comma 6 11 11 2" xfId="27298"/>
    <cellStyle name="Comma 6 11 12" xfId="27299"/>
    <cellStyle name="Comma 6 11 2" xfId="27300"/>
    <cellStyle name="Comma 6 11 2 2" xfId="27301"/>
    <cellStyle name="Comma 6 11 3" xfId="27302"/>
    <cellStyle name="Comma 6 11 3 2" xfId="27303"/>
    <cellStyle name="Comma 6 11 4" xfId="27304"/>
    <cellStyle name="Comma 6 11 4 2" xfId="27305"/>
    <cellStyle name="Comma 6 11 5" xfId="27306"/>
    <cellStyle name="Comma 6 11 5 2" xfId="27307"/>
    <cellStyle name="Comma 6 11 6" xfId="27308"/>
    <cellStyle name="Comma 6 11 6 2" xfId="27309"/>
    <cellStyle name="Comma 6 11 7" xfId="27310"/>
    <cellStyle name="Comma 6 11 7 2" xfId="27311"/>
    <cellStyle name="Comma 6 11 8" xfId="27312"/>
    <cellStyle name="Comma 6 11 8 2" xfId="27313"/>
    <cellStyle name="Comma 6 11 9" xfId="27314"/>
    <cellStyle name="Comma 6 11 9 2" xfId="27315"/>
    <cellStyle name="Comma 6 12" xfId="27316"/>
    <cellStyle name="Comma 6 12 10" xfId="27317"/>
    <cellStyle name="Comma 6 12 10 2" xfId="27318"/>
    <cellStyle name="Comma 6 12 11" xfId="27319"/>
    <cellStyle name="Comma 6 12 11 2" xfId="27320"/>
    <cellStyle name="Comma 6 12 12" xfId="27321"/>
    <cellStyle name="Comma 6 12 2" xfId="27322"/>
    <cellStyle name="Comma 6 12 2 2" xfId="27323"/>
    <cellStyle name="Comma 6 12 3" xfId="27324"/>
    <cellStyle name="Comma 6 12 3 2" xfId="27325"/>
    <cellStyle name="Comma 6 12 4" xfId="27326"/>
    <cellStyle name="Comma 6 12 4 2" xfId="27327"/>
    <cellStyle name="Comma 6 12 5" xfId="27328"/>
    <cellStyle name="Comma 6 12 5 2" xfId="27329"/>
    <cellStyle name="Comma 6 12 6" xfId="27330"/>
    <cellStyle name="Comma 6 12 6 2" xfId="27331"/>
    <cellStyle name="Comma 6 12 7" xfId="27332"/>
    <cellStyle name="Comma 6 12 7 2" xfId="27333"/>
    <cellStyle name="Comma 6 12 8" xfId="27334"/>
    <cellStyle name="Comma 6 12 8 2" xfId="27335"/>
    <cellStyle name="Comma 6 12 9" xfId="27336"/>
    <cellStyle name="Comma 6 12 9 2" xfId="27337"/>
    <cellStyle name="Comma 6 13" xfId="27338"/>
    <cellStyle name="Comma 6 13 10" xfId="27339"/>
    <cellStyle name="Comma 6 13 10 2" xfId="27340"/>
    <cellStyle name="Comma 6 13 11" xfId="27341"/>
    <cellStyle name="Comma 6 13 11 2" xfId="27342"/>
    <cellStyle name="Comma 6 13 12" xfId="27343"/>
    <cellStyle name="Comma 6 13 2" xfId="27344"/>
    <cellStyle name="Comma 6 13 2 2" xfId="27345"/>
    <cellStyle name="Comma 6 13 3" xfId="27346"/>
    <cellStyle name="Comma 6 13 3 2" xfId="27347"/>
    <cellStyle name="Comma 6 13 4" xfId="27348"/>
    <cellStyle name="Comma 6 13 4 2" xfId="27349"/>
    <cellStyle name="Comma 6 13 5" xfId="27350"/>
    <cellStyle name="Comma 6 13 5 2" xfId="27351"/>
    <cellStyle name="Comma 6 13 6" xfId="27352"/>
    <cellStyle name="Comma 6 13 6 2" xfId="27353"/>
    <cellStyle name="Comma 6 13 7" xfId="27354"/>
    <cellStyle name="Comma 6 13 7 2" xfId="27355"/>
    <cellStyle name="Comma 6 13 8" xfId="27356"/>
    <cellStyle name="Comma 6 13 8 2" xfId="27357"/>
    <cellStyle name="Comma 6 13 9" xfId="27358"/>
    <cellStyle name="Comma 6 13 9 2" xfId="27359"/>
    <cellStyle name="Comma 6 14" xfId="27360"/>
    <cellStyle name="Comma 6 14 10" xfId="27361"/>
    <cellStyle name="Comma 6 14 10 2" xfId="27362"/>
    <cellStyle name="Comma 6 14 11" xfId="27363"/>
    <cellStyle name="Comma 6 14 11 2" xfId="27364"/>
    <cellStyle name="Comma 6 14 12" xfId="27365"/>
    <cellStyle name="Comma 6 14 2" xfId="27366"/>
    <cellStyle name="Comma 6 14 2 2" xfId="27367"/>
    <cellStyle name="Comma 6 14 3" xfId="27368"/>
    <cellStyle name="Comma 6 14 3 2" xfId="27369"/>
    <cellStyle name="Comma 6 14 4" xfId="27370"/>
    <cellStyle name="Comma 6 14 4 2" xfId="27371"/>
    <cellStyle name="Comma 6 14 5" xfId="27372"/>
    <cellStyle name="Comma 6 14 5 2" xfId="27373"/>
    <cellStyle name="Comma 6 14 6" xfId="27374"/>
    <cellStyle name="Comma 6 14 6 2" xfId="27375"/>
    <cellStyle name="Comma 6 14 7" xfId="27376"/>
    <cellStyle name="Comma 6 14 7 2" xfId="27377"/>
    <cellStyle name="Comma 6 14 8" xfId="27378"/>
    <cellStyle name="Comma 6 14 8 2" xfId="27379"/>
    <cellStyle name="Comma 6 14 9" xfId="27380"/>
    <cellStyle name="Comma 6 14 9 2" xfId="27381"/>
    <cellStyle name="Comma 6 15" xfId="27382"/>
    <cellStyle name="Comma 6 15 10" xfId="27383"/>
    <cellStyle name="Comma 6 15 10 2" xfId="27384"/>
    <cellStyle name="Comma 6 15 11" xfId="27385"/>
    <cellStyle name="Comma 6 15 11 2" xfId="27386"/>
    <cellStyle name="Comma 6 15 12" xfId="27387"/>
    <cellStyle name="Comma 6 15 2" xfId="27388"/>
    <cellStyle name="Comma 6 15 2 2" xfId="27389"/>
    <cellStyle name="Comma 6 15 3" xfId="27390"/>
    <cellStyle name="Comma 6 15 3 2" xfId="27391"/>
    <cellStyle name="Comma 6 15 4" xfId="27392"/>
    <cellStyle name="Comma 6 15 4 2" xfId="27393"/>
    <cellStyle name="Comma 6 15 5" xfId="27394"/>
    <cellStyle name="Comma 6 15 5 2" xfId="27395"/>
    <cellStyle name="Comma 6 15 6" xfId="27396"/>
    <cellStyle name="Comma 6 15 6 2" xfId="27397"/>
    <cellStyle name="Comma 6 15 7" xfId="27398"/>
    <cellStyle name="Comma 6 15 7 2" xfId="27399"/>
    <cellStyle name="Comma 6 15 8" xfId="27400"/>
    <cellStyle name="Comma 6 15 8 2" xfId="27401"/>
    <cellStyle name="Comma 6 15 9" xfId="27402"/>
    <cellStyle name="Comma 6 15 9 2" xfId="27403"/>
    <cellStyle name="Comma 6 16" xfId="27404"/>
    <cellStyle name="Comma 6 16 10" xfId="27405"/>
    <cellStyle name="Comma 6 16 10 2" xfId="27406"/>
    <cellStyle name="Comma 6 16 11" xfId="27407"/>
    <cellStyle name="Comma 6 16 11 2" xfId="27408"/>
    <cellStyle name="Comma 6 16 12" xfId="27409"/>
    <cellStyle name="Comma 6 16 2" xfId="27410"/>
    <cellStyle name="Comma 6 16 2 2" xfId="27411"/>
    <cellStyle name="Comma 6 16 3" xfId="27412"/>
    <cellStyle name="Comma 6 16 3 2" xfId="27413"/>
    <cellStyle name="Comma 6 16 4" xfId="27414"/>
    <cellStyle name="Comma 6 16 4 2" xfId="27415"/>
    <cellStyle name="Comma 6 16 5" xfId="27416"/>
    <cellStyle name="Comma 6 16 5 2" xfId="27417"/>
    <cellStyle name="Comma 6 16 6" xfId="27418"/>
    <cellStyle name="Comma 6 16 6 2" xfId="27419"/>
    <cellStyle name="Comma 6 16 7" xfId="27420"/>
    <cellStyle name="Comma 6 16 7 2" xfId="27421"/>
    <cellStyle name="Comma 6 16 8" xfId="27422"/>
    <cellStyle name="Comma 6 16 8 2" xfId="27423"/>
    <cellStyle name="Comma 6 16 9" xfId="27424"/>
    <cellStyle name="Comma 6 16 9 2" xfId="27425"/>
    <cellStyle name="Comma 6 17" xfId="27426"/>
    <cellStyle name="Comma 6 17 10" xfId="27427"/>
    <cellStyle name="Comma 6 17 10 2" xfId="27428"/>
    <cellStyle name="Comma 6 17 11" xfId="27429"/>
    <cellStyle name="Comma 6 17 11 2" xfId="27430"/>
    <cellStyle name="Comma 6 17 12" xfId="27431"/>
    <cellStyle name="Comma 6 17 2" xfId="27432"/>
    <cellStyle name="Comma 6 17 2 2" xfId="27433"/>
    <cellStyle name="Comma 6 17 3" xfId="27434"/>
    <cellStyle name="Comma 6 17 3 2" xfId="27435"/>
    <cellStyle name="Comma 6 17 4" xfId="27436"/>
    <cellStyle name="Comma 6 17 4 2" xfId="27437"/>
    <cellStyle name="Comma 6 17 5" xfId="27438"/>
    <cellStyle name="Comma 6 17 5 2" xfId="27439"/>
    <cellStyle name="Comma 6 17 6" xfId="27440"/>
    <cellStyle name="Comma 6 17 6 2" xfId="27441"/>
    <cellStyle name="Comma 6 17 7" xfId="27442"/>
    <cellStyle name="Comma 6 17 7 2" xfId="27443"/>
    <cellStyle name="Comma 6 17 8" xfId="27444"/>
    <cellStyle name="Comma 6 17 8 2" xfId="27445"/>
    <cellStyle name="Comma 6 17 9" xfId="27446"/>
    <cellStyle name="Comma 6 17 9 2" xfId="27447"/>
    <cellStyle name="Comma 6 18" xfId="27448"/>
    <cellStyle name="Comma 6 18 10" xfId="27449"/>
    <cellStyle name="Comma 6 18 10 2" xfId="27450"/>
    <cellStyle name="Comma 6 18 11" xfId="27451"/>
    <cellStyle name="Comma 6 18 11 2" xfId="27452"/>
    <cellStyle name="Comma 6 18 12" xfId="27453"/>
    <cellStyle name="Comma 6 18 2" xfId="27454"/>
    <cellStyle name="Comma 6 18 2 2" xfId="27455"/>
    <cellStyle name="Comma 6 18 3" xfId="27456"/>
    <cellStyle name="Comma 6 18 3 2" xfId="27457"/>
    <cellStyle name="Comma 6 18 4" xfId="27458"/>
    <cellStyle name="Comma 6 18 4 2" xfId="27459"/>
    <cellStyle name="Comma 6 18 5" xfId="27460"/>
    <cellStyle name="Comma 6 18 5 2" xfId="27461"/>
    <cellStyle name="Comma 6 18 6" xfId="27462"/>
    <cellStyle name="Comma 6 18 6 2" xfId="27463"/>
    <cellStyle name="Comma 6 18 7" xfId="27464"/>
    <cellStyle name="Comma 6 18 7 2" xfId="27465"/>
    <cellStyle name="Comma 6 18 8" xfId="27466"/>
    <cellStyle name="Comma 6 18 8 2" xfId="27467"/>
    <cellStyle name="Comma 6 18 9" xfId="27468"/>
    <cellStyle name="Comma 6 18 9 2" xfId="27469"/>
    <cellStyle name="Comma 6 19" xfId="27470"/>
    <cellStyle name="Comma 6 19 10" xfId="27471"/>
    <cellStyle name="Comma 6 19 10 2" xfId="27472"/>
    <cellStyle name="Comma 6 19 11" xfId="27473"/>
    <cellStyle name="Comma 6 19 11 2" xfId="27474"/>
    <cellStyle name="Comma 6 19 12" xfId="27475"/>
    <cellStyle name="Comma 6 19 2" xfId="27476"/>
    <cellStyle name="Comma 6 19 2 2" xfId="27477"/>
    <cellStyle name="Comma 6 19 3" xfId="27478"/>
    <cellStyle name="Comma 6 19 3 2" xfId="27479"/>
    <cellStyle name="Comma 6 19 4" xfId="27480"/>
    <cellStyle name="Comma 6 19 4 2" xfId="27481"/>
    <cellStyle name="Comma 6 19 5" xfId="27482"/>
    <cellStyle name="Comma 6 19 5 2" xfId="27483"/>
    <cellStyle name="Comma 6 19 6" xfId="27484"/>
    <cellStyle name="Comma 6 19 6 2" xfId="27485"/>
    <cellStyle name="Comma 6 19 7" xfId="27486"/>
    <cellStyle name="Comma 6 19 7 2" xfId="27487"/>
    <cellStyle name="Comma 6 19 8" xfId="27488"/>
    <cellStyle name="Comma 6 19 8 2" xfId="27489"/>
    <cellStyle name="Comma 6 19 9" xfId="27490"/>
    <cellStyle name="Comma 6 19 9 2" xfId="27491"/>
    <cellStyle name="Comma 6 2" xfId="27492"/>
    <cellStyle name="Comma 6 2 10" xfId="27493"/>
    <cellStyle name="Comma 6 2 10 10" xfId="27494"/>
    <cellStyle name="Comma 6 2 10 10 2" xfId="27495"/>
    <cellStyle name="Comma 6 2 10 11" xfId="27496"/>
    <cellStyle name="Comma 6 2 10 11 2" xfId="27497"/>
    <cellStyle name="Comma 6 2 10 12" xfId="27498"/>
    <cellStyle name="Comma 6 2 10 2" xfId="27499"/>
    <cellStyle name="Comma 6 2 10 2 2" xfId="27500"/>
    <cellStyle name="Comma 6 2 10 3" xfId="27501"/>
    <cellStyle name="Comma 6 2 10 3 2" xfId="27502"/>
    <cellStyle name="Comma 6 2 10 4" xfId="27503"/>
    <cellStyle name="Comma 6 2 10 4 2" xfId="27504"/>
    <cellStyle name="Comma 6 2 10 5" xfId="27505"/>
    <cellStyle name="Comma 6 2 10 5 2" xfId="27506"/>
    <cellStyle name="Comma 6 2 10 6" xfId="27507"/>
    <cellStyle name="Comma 6 2 10 6 2" xfId="27508"/>
    <cellStyle name="Comma 6 2 10 7" xfId="27509"/>
    <cellStyle name="Comma 6 2 10 7 2" xfId="27510"/>
    <cellStyle name="Comma 6 2 10 8" xfId="27511"/>
    <cellStyle name="Comma 6 2 10 8 2" xfId="27512"/>
    <cellStyle name="Comma 6 2 10 9" xfId="27513"/>
    <cellStyle name="Comma 6 2 10 9 2" xfId="27514"/>
    <cellStyle name="Comma 6 2 11" xfId="27515"/>
    <cellStyle name="Comma 6 2 11 10" xfId="27516"/>
    <cellStyle name="Comma 6 2 11 10 2" xfId="27517"/>
    <cellStyle name="Comma 6 2 11 11" xfId="27518"/>
    <cellStyle name="Comma 6 2 11 11 2" xfId="27519"/>
    <cellStyle name="Comma 6 2 11 12" xfId="27520"/>
    <cellStyle name="Comma 6 2 11 2" xfId="27521"/>
    <cellStyle name="Comma 6 2 11 2 2" xfId="27522"/>
    <cellStyle name="Comma 6 2 11 3" xfId="27523"/>
    <cellStyle name="Comma 6 2 11 3 2" xfId="27524"/>
    <cellStyle name="Comma 6 2 11 4" xfId="27525"/>
    <cellStyle name="Comma 6 2 11 4 2" xfId="27526"/>
    <cellStyle name="Comma 6 2 11 5" xfId="27527"/>
    <cellStyle name="Comma 6 2 11 5 2" xfId="27528"/>
    <cellStyle name="Comma 6 2 11 6" xfId="27529"/>
    <cellStyle name="Comma 6 2 11 6 2" xfId="27530"/>
    <cellStyle name="Comma 6 2 11 7" xfId="27531"/>
    <cellStyle name="Comma 6 2 11 7 2" xfId="27532"/>
    <cellStyle name="Comma 6 2 11 8" xfId="27533"/>
    <cellStyle name="Comma 6 2 11 8 2" xfId="27534"/>
    <cellStyle name="Comma 6 2 11 9" xfId="27535"/>
    <cellStyle name="Comma 6 2 11 9 2" xfId="27536"/>
    <cellStyle name="Comma 6 2 12" xfId="27537"/>
    <cellStyle name="Comma 6 2 12 10" xfId="27538"/>
    <cellStyle name="Comma 6 2 12 10 2" xfId="27539"/>
    <cellStyle name="Comma 6 2 12 11" xfId="27540"/>
    <cellStyle name="Comma 6 2 12 11 2" xfId="27541"/>
    <cellStyle name="Comma 6 2 12 12" xfId="27542"/>
    <cellStyle name="Comma 6 2 12 2" xfId="27543"/>
    <cellStyle name="Comma 6 2 12 2 2" xfId="27544"/>
    <cellStyle name="Comma 6 2 12 3" xfId="27545"/>
    <cellStyle name="Comma 6 2 12 3 2" xfId="27546"/>
    <cellStyle name="Comma 6 2 12 4" xfId="27547"/>
    <cellStyle name="Comma 6 2 12 4 2" xfId="27548"/>
    <cellStyle name="Comma 6 2 12 5" xfId="27549"/>
    <cellStyle name="Comma 6 2 12 5 2" xfId="27550"/>
    <cellStyle name="Comma 6 2 12 6" xfId="27551"/>
    <cellStyle name="Comma 6 2 12 6 2" xfId="27552"/>
    <cellStyle name="Comma 6 2 12 7" xfId="27553"/>
    <cellStyle name="Comma 6 2 12 7 2" xfId="27554"/>
    <cellStyle name="Comma 6 2 12 8" xfId="27555"/>
    <cellStyle name="Comma 6 2 12 8 2" xfId="27556"/>
    <cellStyle name="Comma 6 2 12 9" xfId="27557"/>
    <cellStyle name="Comma 6 2 12 9 2" xfId="27558"/>
    <cellStyle name="Comma 6 2 13" xfId="27559"/>
    <cellStyle name="Comma 6 2 13 10" xfId="27560"/>
    <cellStyle name="Comma 6 2 13 10 2" xfId="27561"/>
    <cellStyle name="Comma 6 2 13 11" xfId="27562"/>
    <cellStyle name="Comma 6 2 13 11 2" xfId="27563"/>
    <cellStyle name="Comma 6 2 13 12" xfId="27564"/>
    <cellStyle name="Comma 6 2 13 2" xfId="27565"/>
    <cellStyle name="Comma 6 2 13 2 2" xfId="27566"/>
    <cellStyle name="Comma 6 2 13 3" xfId="27567"/>
    <cellStyle name="Comma 6 2 13 3 2" xfId="27568"/>
    <cellStyle name="Comma 6 2 13 4" xfId="27569"/>
    <cellStyle name="Comma 6 2 13 4 2" xfId="27570"/>
    <cellStyle name="Comma 6 2 13 5" xfId="27571"/>
    <cellStyle name="Comma 6 2 13 5 2" xfId="27572"/>
    <cellStyle name="Comma 6 2 13 6" xfId="27573"/>
    <cellStyle name="Comma 6 2 13 6 2" xfId="27574"/>
    <cellStyle name="Comma 6 2 13 7" xfId="27575"/>
    <cellStyle name="Comma 6 2 13 7 2" xfId="27576"/>
    <cellStyle name="Comma 6 2 13 8" xfId="27577"/>
    <cellStyle name="Comma 6 2 13 8 2" xfId="27578"/>
    <cellStyle name="Comma 6 2 13 9" xfId="27579"/>
    <cellStyle name="Comma 6 2 13 9 2" xfId="27580"/>
    <cellStyle name="Comma 6 2 14" xfId="27581"/>
    <cellStyle name="Comma 6 2 14 10" xfId="27582"/>
    <cellStyle name="Comma 6 2 14 10 2" xfId="27583"/>
    <cellStyle name="Comma 6 2 14 11" xfId="27584"/>
    <cellStyle name="Comma 6 2 14 11 2" xfId="27585"/>
    <cellStyle name="Comma 6 2 14 12" xfId="27586"/>
    <cellStyle name="Comma 6 2 14 2" xfId="27587"/>
    <cellStyle name="Comma 6 2 14 2 2" xfId="27588"/>
    <cellStyle name="Comma 6 2 14 3" xfId="27589"/>
    <cellStyle name="Comma 6 2 14 3 2" xfId="27590"/>
    <cellStyle name="Comma 6 2 14 4" xfId="27591"/>
    <cellStyle name="Comma 6 2 14 4 2" xfId="27592"/>
    <cellStyle name="Comma 6 2 14 5" xfId="27593"/>
    <cellStyle name="Comma 6 2 14 5 2" xfId="27594"/>
    <cellStyle name="Comma 6 2 14 6" xfId="27595"/>
    <cellStyle name="Comma 6 2 14 6 2" xfId="27596"/>
    <cellStyle name="Comma 6 2 14 7" xfId="27597"/>
    <cellStyle name="Comma 6 2 14 7 2" xfId="27598"/>
    <cellStyle name="Comma 6 2 14 8" xfId="27599"/>
    <cellStyle name="Comma 6 2 14 8 2" xfId="27600"/>
    <cellStyle name="Comma 6 2 14 9" xfId="27601"/>
    <cellStyle name="Comma 6 2 14 9 2" xfId="27602"/>
    <cellStyle name="Comma 6 2 15" xfId="27603"/>
    <cellStyle name="Comma 6 2 15 10" xfId="27604"/>
    <cellStyle name="Comma 6 2 15 10 2" xfId="27605"/>
    <cellStyle name="Comma 6 2 15 11" xfId="27606"/>
    <cellStyle name="Comma 6 2 15 11 2" xfId="27607"/>
    <cellStyle name="Comma 6 2 15 12" xfId="27608"/>
    <cellStyle name="Comma 6 2 15 2" xfId="27609"/>
    <cellStyle name="Comma 6 2 15 2 2" xfId="27610"/>
    <cellStyle name="Comma 6 2 15 3" xfId="27611"/>
    <cellStyle name="Comma 6 2 15 3 2" xfId="27612"/>
    <cellStyle name="Comma 6 2 15 4" xfId="27613"/>
    <cellStyle name="Comma 6 2 15 4 2" xfId="27614"/>
    <cellStyle name="Comma 6 2 15 5" xfId="27615"/>
    <cellStyle name="Comma 6 2 15 5 2" xfId="27616"/>
    <cellStyle name="Comma 6 2 15 6" xfId="27617"/>
    <cellStyle name="Comma 6 2 15 6 2" xfId="27618"/>
    <cellStyle name="Comma 6 2 15 7" xfId="27619"/>
    <cellStyle name="Comma 6 2 15 7 2" xfId="27620"/>
    <cellStyle name="Comma 6 2 15 8" xfId="27621"/>
    <cellStyle name="Comma 6 2 15 8 2" xfId="27622"/>
    <cellStyle name="Comma 6 2 15 9" xfId="27623"/>
    <cellStyle name="Comma 6 2 15 9 2" xfId="27624"/>
    <cellStyle name="Comma 6 2 16" xfId="27625"/>
    <cellStyle name="Comma 6 2 16 10" xfId="27626"/>
    <cellStyle name="Comma 6 2 16 10 2" xfId="27627"/>
    <cellStyle name="Comma 6 2 16 11" xfId="27628"/>
    <cellStyle name="Comma 6 2 16 11 2" xfId="27629"/>
    <cellStyle name="Comma 6 2 16 12" xfId="27630"/>
    <cellStyle name="Comma 6 2 16 2" xfId="27631"/>
    <cellStyle name="Comma 6 2 16 2 2" xfId="27632"/>
    <cellStyle name="Comma 6 2 16 3" xfId="27633"/>
    <cellStyle name="Comma 6 2 16 3 2" xfId="27634"/>
    <cellStyle name="Comma 6 2 16 4" xfId="27635"/>
    <cellStyle name="Comma 6 2 16 4 2" xfId="27636"/>
    <cellStyle name="Comma 6 2 16 5" xfId="27637"/>
    <cellStyle name="Comma 6 2 16 5 2" xfId="27638"/>
    <cellStyle name="Comma 6 2 16 6" xfId="27639"/>
    <cellStyle name="Comma 6 2 16 6 2" xfId="27640"/>
    <cellStyle name="Comma 6 2 16 7" xfId="27641"/>
    <cellStyle name="Comma 6 2 16 7 2" xfId="27642"/>
    <cellStyle name="Comma 6 2 16 8" xfId="27643"/>
    <cellStyle name="Comma 6 2 16 8 2" xfId="27644"/>
    <cellStyle name="Comma 6 2 16 9" xfId="27645"/>
    <cellStyle name="Comma 6 2 16 9 2" xfId="27646"/>
    <cellStyle name="Comma 6 2 17" xfId="27647"/>
    <cellStyle name="Comma 6 2 17 10" xfId="27648"/>
    <cellStyle name="Comma 6 2 17 10 2" xfId="27649"/>
    <cellStyle name="Comma 6 2 17 11" xfId="27650"/>
    <cellStyle name="Comma 6 2 17 11 2" xfId="27651"/>
    <cellStyle name="Comma 6 2 17 12" xfId="27652"/>
    <cellStyle name="Comma 6 2 17 2" xfId="27653"/>
    <cellStyle name="Comma 6 2 17 2 2" xfId="27654"/>
    <cellStyle name="Comma 6 2 17 3" xfId="27655"/>
    <cellStyle name="Comma 6 2 17 3 2" xfId="27656"/>
    <cellStyle name="Comma 6 2 17 4" xfId="27657"/>
    <cellStyle name="Comma 6 2 17 4 2" xfId="27658"/>
    <cellStyle name="Comma 6 2 17 5" xfId="27659"/>
    <cellStyle name="Comma 6 2 17 5 2" xfId="27660"/>
    <cellStyle name="Comma 6 2 17 6" xfId="27661"/>
    <cellStyle name="Comma 6 2 17 6 2" xfId="27662"/>
    <cellStyle name="Comma 6 2 17 7" xfId="27663"/>
    <cellStyle name="Comma 6 2 17 7 2" xfId="27664"/>
    <cellStyle name="Comma 6 2 17 8" xfId="27665"/>
    <cellStyle name="Comma 6 2 17 8 2" xfId="27666"/>
    <cellStyle name="Comma 6 2 17 9" xfId="27667"/>
    <cellStyle name="Comma 6 2 17 9 2" xfId="27668"/>
    <cellStyle name="Comma 6 2 18" xfId="27669"/>
    <cellStyle name="Comma 6 2 18 10" xfId="27670"/>
    <cellStyle name="Comma 6 2 18 10 2" xfId="27671"/>
    <cellStyle name="Comma 6 2 18 11" xfId="27672"/>
    <cellStyle name="Comma 6 2 18 11 2" xfId="27673"/>
    <cellStyle name="Comma 6 2 18 12" xfId="27674"/>
    <cellStyle name="Comma 6 2 18 2" xfId="27675"/>
    <cellStyle name="Comma 6 2 18 2 2" xfId="27676"/>
    <cellStyle name="Comma 6 2 18 3" xfId="27677"/>
    <cellStyle name="Comma 6 2 18 3 2" xfId="27678"/>
    <cellStyle name="Comma 6 2 18 4" xfId="27679"/>
    <cellStyle name="Comma 6 2 18 4 2" xfId="27680"/>
    <cellStyle name="Comma 6 2 18 5" xfId="27681"/>
    <cellStyle name="Comma 6 2 18 5 2" xfId="27682"/>
    <cellStyle name="Comma 6 2 18 6" xfId="27683"/>
    <cellStyle name="Comma 6 2 18 6 2" xfId="27684"/>
    <cellStyle name="Comma 6 2 18 7" xfId="27685"/>
    <cellStyle name="Comma 6 2 18 7 2" xfId="27686"/>
    <cellStyle name="Comma 6 2 18 8" xfId="27687"/>
    <cellStyle name="Comma 6 2 18 8 2" xfId="27688"/>
    <cellStyle name="Comma 6 2 18 9" xfId="27689"/>
    <cellStyle name="Comma 6 2 18 9 2" xfId="27690"/>
    <cellStyle name="Comma 6 2 19" xfId="27691"/>
    <cellStyle name="Comma 6 2 19 10" xfId="27692"/>
    <cellStyle name="Comma 6 2 19 10 2" xfId="27693"/>
    <cellStyle name="Comma 6 2 19 11" xfId="27694"/>
    <cellStyle name="Comma 6 2 19 11 2" xfId="27695"/>
    <cellStyle name="Comma 6 2 19 12" xfId="27696"/>
    <cellStyle name="Comma 6 2 19 2" xfId="27697"/>
    <cellStyle name="Comma 6 2 19 2 2" xfId="27698"/>
    <cellStyle name="Comma 6 2 19 3" xfId="27699"/>
    <cellStyle name="Comma 6 2 19 3 2" xfId="27700"/>
    <cellStyle name="Comma 6 2 19 4" xfId="27701"/>
    <cellStyle name="Comma 6 2 19 4 2" xfId="27702"/>
    <cellStyle name="Comma 6 2 19 5" xfId="27703"/>
    <cellStyle name="Comma 6 2 19 5 2" xfId="27704"/>
    <cellStyle name="Comma 6 2 19 6" xfId="27705"/>
    <cellStyle name="Comma 6 2 19 6 2" xfId="27706"/>
    <cellStyle name="Comma 6 2 19 7" xfId="27707"/>
    <cellStyle name="Comma 6 2 19 7 2" xfId="27708"/>
    <cellStyle name="Comma 6 2 19 8" xfId="27709"/>
    <cellStyle name="Comma 6 2 19 8 2" xfId="27710"/>
    <cellStyle name="Comma 6 2 19 9" xfId="27711"/>
    <cellStyle name="Comma 6 2 19 9 2" xfId="27712"/>
    <cellStyle name="Comma 6 2 2" xfId="27713"/>
    <cellStyle name="Comma 6 2 2 10" xfId="27714"/>
    <cellStyle name="Comma 6 2 2 10 2" xfId="27715"/>
    <cellStyle name="Comma 6 2 2 11" xfId="27716"/>
    <cellStyle name="Comma 6 2 2 11 2" xfId="27717"/>
    <cellStyle name="Comma 6 2 2 12" xfId="27718"/>
    <cellStyle name="Comma 6 2 2 13" xfId="38551"/>
    <cellStyle name="Comma 6 2 2 14" xfId="39847"/>
    <cellStyle name="Comma 6 2 2 15" xfId="41388"/>
    <cellStyle name="Comma 6 2 2 2" xfId="27719"/>
    <cellStyle name="Comma 6 2 2 2 2" xfId="27720"/>
    <cellStyle name="Comma 6 2 2 2 3" xfId="40565"/>
    <cellStyle name="Comma 6 2 2 2 4" xfId="42106"/>
    <cellStyle name="Comma 6 2 2 2_consumption scenario A" xfId="37630"/>
    <cellStyle name="Comma 6 2 2 3" xfId="27721"/>
    <cellStyle name="Comma 6 2 2 3 2" xfId="27722"/>
    <cellStyle name="Comma 6 2 2 4" xfId="27723"/>
    <cellStyle name="Comma 6 2 2 4 2" xfId="27724"/>
    <cellStyle name="Comma 6 2 2 5" xfId="27725"/>
    <cellStyle name="Comma 6 2 2 5 2" xfId="27726"/>
    <cellStyle name="Comma 6 2 2 6" xfId="27727"/>
    <cellStyle name="Comma 6 2 2 6 2" xfId="27728"/>
    <cellStyle name="Comma 6 2 2 7" xfId="27729"/>
    <cellStyle name="Comma 6 2 2 7 2" xfId="27730"/>
    <cellStyle name="Comma 6 2 2 8" xfId="27731"/>
    <cellStyle name="Comma 6 2 2 8 2" xfId="27732"/>
    <cellStyle name="Comma 6 2 2 9" xfId="27733"/>
    <cellStyle name="Comma 6 2 2 9 2" xfId="27734"/>
    <cellStyle name="Comma 6 2 2_consumption scenario A" xfId="37629"/>
    <cellStyle name="Comma 6 2 20" xfId="27735"/>
    <cellStyle name="Comma 6 2 20 10" xfId="27736"/>
    <cellStyle name="Comma 6 2 20 10 2" xfId="27737"/>
    <cellStyle name="Comma 6 2 20 11" xfId="27738"/>
    <cellStyle name="Comma 6 2 20 11 2" xfId="27739"/>
    <cellStyle name="Comma 6 2 20 12" xfId="27740"/>
    <cellStyle name="Comma 6 2 20 2" xfId="27741"/>
    <cellStyle name="Comma 6 2 20 2 2" xfId="27742"/>
    <cellStyle name="Comma 6 2 20 3" xfId="27743"/>
    <cellStyle name="Comma 6 2 20 3 2" xfId="27744"/>
    <cellStyle name="Comma 6 2 20 4" xfId="27745"/>
    <cellStyle name="Comma 6 2 20 4 2" xfId="27746"/>
    <cellStyle name="Comma 6 2 20 5" xfId="27747"/>
    <cellStyle name="Comma 6 2 20 5 2" xfId="27748"/>
    <cellStyle name="Comma 6 2 20 6" xfId="27749"/>
    <cellStyle name="Comma 6 2 20 6 2" xfId="27750"/>
    <cellStyle name="Comma 6 2 20 7" xfId="27751"/>
    <cellStyle name="Comma 6 2 20 7 2" xfId="27752"/>
    <cellStyle name="Comma 6 2 20 8" xfId="27753"/>
    <cellStyle name="Comma 6 2 20 8 2" xfId="27754"/>
    <cellStyle name="Comma 6 2 20 9" xfId="27755"/>
    <cellStyle name="Comma 6 2 20 9 2" xfId="27756"/>
    <cellStyle name="Comma 6 2 21" xfId="27757"/>
    <cellStyle name="Comma 6 2 21 10" xfId="27758"/>
    <cellStyle name="Comma 6 2 21 10 2" xfId="27759"/>
    <cellStyle name="Comma 6 2 21 11" xfId="27760"/>
    <cellStyle name="Comma 6 2 21 11 2" xfId="27761"/>
    <cellStyle name="Comma 6 2 21 12" xfId="27762"/>
    <cellStyle name="Comma 6 2 21 2" xfId="27763"/>
    <cellStyle name="Comma 6 2 21 2 2" xfId="27764"/>
    <cellStyle name="Comma 6 2 21 3" xfId="27765"/>
    <cellStyle name="Comma 6 2 21 3 2" xfId="27766"/>
    <cellStyle name="Comma 6 2 21 4" xfId="27767"/>
    <cellStyle name="Comma 6 2 21 4 2" xfId="27768"/>
    <cellStyle name="Comma 6 2 21 5" xfId="27769"/>
    <cellStyle name="Comma 6 2 21 5 2" xfId="27770"/>
    <cellStyle name="Comma 6 2 21 6" xfId="27771"/>
    <cellStyle name="Comma 6 2 21 6 2" xfId="27772"/>
    <cellStyle name="Comma 6 2 21 7" xfId="27773"/>
    <cellStyle name="Comma 6 2 21 7 2" xfId="27774"/>
    <cellStyle name="Comma 6 2 21 8" xfId="27775"/>
    <cellStyle name="Comma 6 2 21 8 2" xfId="27776"/>
    <cellStyle name="Comma 6 2 21 9" xfId="27777"/>
    <cellStyle name="Comma 6 2 21 9 2" xfId="27778"/>
    <cellStyle name="Comma 6 2 22" xfId="27779"/>
    <cellStyle name="Comma 6 2 22 10" xfId="27780"/>
    <cellStyle name="Comma 6 2 22 10 2" xfId="27781"/>
    <cellStyle name="Comma 6 2 22 11" xfId="27782"/>
    <cellStyle name="Comma 6 2 22 11 2" xfId="27783"/>
    <cellStyle name="Comma 6 2 22 12" xfId="27784"/>
    <cellStyle name="Comma 6 2 22 2" xfId="27785"/>
    <cellStyle name="Comma 6 2 22 2 2" xfId="27786"/>
    <cellStyle name="Comma 6 2 22 3" xfId="27787"/>
    <cellStyle name="Comma 6 2 22 3 2" xfId="27788"/>
    <cellStyle name="Comma 6 2 22 4" xfId="27789"/>
    <cellStyle name="Comma 6 2 22 4 2" xfId="27790"/>
    <cellStyle name="Comma 6 2 22 5" xfId="27791"/>
    <cellStyle name="Comma 6 2 22 5 2" xfId="27792"/>
    <cellStyle name="Comma 6 2 22 6" xfId="27793"/>
    <cellStyle name="Comma 6 2 22 6 2" xfId="27794"/>
    <cellStyle name="Comma 6 2 22 7" xfId="27795"/>
    <cellStyle name="Comma 6 2 22 7 2" xfId="27796"/>
    <cellStyle name="Comma 6 2 22 8" xfId="27797"/>
    <cellStyle name="Comma 6 2 22 8 2" xfId="27798"/>
    <cellStyle name="Comma 6 2 22 9" xfId="27799"/>
    <cellStyle name="Comma 6 2 22 9 2" xfId="27800"/>
    <cellStyle name="Comma 6 2 23" xfId="27801"/>
    <cellStyle name="Comma 6 2 23 10" xfId="27802"/>
    <cellStyle name="Comma 6 2 23 10 2" xfId="27803"/>
    <cellStyle name="Comma 6 2 23 11" xfId="27804"/>
    <cellStyle name="Comma 6 2 23 11 2" xfId="27805"/>
    <cellStyle name="Comma 6 2 23 12" xfId="27806"/>
    <cellStyle name="Comma 6 2 23 2" xfId="27807"/>
    <cellStyle name="Comma 6 2 23 2 2" xfId="27808"/>
    <cellStyle name="Comma 6 2 23 3" xfId="27809"/>
    <cellStyle name="Comma 6 2 23 3 2" xfId="27810"/>
    <cellStyle name="Comma 6 2 23 4" xfId="27811"/>
    <cellStyle name="Comma 6 2 23 4 2" xfId="27812"/>
    <cellStyle name="Comma 6 2 23 5" xfId="27813"/>
    <cellStyle name="Comma 6 2 23 5 2" xfId="27814"/>
    <cellStyle name="Comma 6 2 23 6" xfId="27815"/>
    <cellStyle name="Comma 6 2 23 6 2" xfId="27816"/>
    <cellStyle name="Comma 6 2 23 7" xfId="27817"/>
    <cellStyle name="Comma 6 2 23 7 2" xfId="27818"/>
    <cellStyle name="Comma 6 2 23 8" xfId="27819"/>
    <cellStyle name="Comma 6 2 23 8 2" xfId="27820"/>
    <cellStyle name="Comma 6 2 23 9" xfId="27821"/>
    <cellStyle name="Comma 6 2 23 9 2" xfId="27822"/>
    <cellStyle name="Comma 6 2 24" xfId="27823"/>
    <cellStyle name="Comma 6 2 24 10" xfId="27824"/>
    <cellStyle name="Comma 6 2 24 10 2" xfId="27825"/>
    <cellStyle name="Comma 6 2 24 11" xfId="27826"/>
    <cellStyle name="Comma 6 2 24 11 2" xfId="27827"/>
    <cellStyle name="Comma 6 2 24 12" xfId="27828"/>
    <cellStyle name="Comma 6 2 24 2" xfId="27829"/>
    <cellStyle name="Comma 6 2 24 2 2" xfId="27830"/>
    <cellStyle name="Comma 6 2 24 3" xfId="27831"/>
    <cellStyle name="Comma 6 2 24 3 2" xfId="27832"/>
    <cellStyle name="Comma 6 2 24 4" xfId="27833"/>
    <cellStyle name="Comma 6 2 24 4 2" xfId="27834"/>
    <cellStyle name="Comma 6 2 24 5" xfId="27835"/>
    <cellStyle name="Comma 6 2 24 5 2" xfId="27836"/>
    <cellStyle name="Comma 6 2 24 6" xfId="27837"/>
    <cellStyle name="Comma 6 2 24 6 2" xfId="27838"/>
    <cellStyle name="Comma 6 2 24 7" xfId="27839"/>
    <cellStyle name="Comma 6 2 24 7 2" xfId="27840"/>
    <cellStyle name="Comma 6 2 24 8" xfId="27841"/>
    <cellStyle name="Comma 6 2 24 8 2" xfId="27842"/>
    <cellStyle name="Comma 6 2 24 9" xfId="27843"/>
    <cellStyle name="Comma 6 2 24 9 2" xfId="27844"/>
    <cellStyle name="Comma 6 2 25" xfId="27845"/>
    <cellStyle name="Comma 6 2 25 10" xfId="27846"/>
    <cellStyle name="Comma 6 2 25 10 2" xfId="27847"/>
    <cellStyle name="Comma 6 2 25 11" xfId="27848"/>
    <cellStyle name="Comma 6 2 25 11 2" xfId="27849"/>
    <cellStyle name="Comma 6 2 25 12" xfId="27850"/>
    <cellStyle name="Comma 6 2 25 2" xfId="27851"/>
    <cellStyle name="Comma 6 2 25 2 2" xfId="27852"/>
    <cellStyle name="Comma 6 2 25 3" xfId="27853"/>
    <cellStyle name="Comma 6 2 25 3 2" xfId="27854"/>
    <cellStyle name="Comma 6 2 25 4" xfId="27855"/>
    <cellStyle name="Comma 6 2 25 4 2" xfId="27856"/>
    <cellStyle name="Comma 6 2 25 5" xfId="27857"/>
    <cellStyle name="Comma 6 2 25 5 2" xfId="27858"/>
    <cellStyle name="Comma 6 2 25 6" xfId="27859"/>
    <cellStyle name="Comma 6 2 25 6 2" xfId="27860"/>
    <cellStyle name="Comma 6 2 25 7" xfId="27861"/>
    <cellStyle name="Comma 6 2 25 7 2" xfId="27862"/>
    <cellStyle name="Comma 6 2 25 8" xfId="27863"/>
    <cellStyle name="Comma 6 2 25 8 2" xfId="27864"/>
    <cellStyle name="Comma 6 2 25 9" xfId="27865"/>
    <cellStyle name="Comma 6 2 25 9 2" xfId="27866"/>
    <cellStyle name="Comma 6 2 26" xfId="27867"/>
    <cellStyle name="Comma 6 2 26 10" xfId="27868"/>
    <cellStyle name="Comma 6 2 26 10 2" xfId="27869"/>
    <cellStyle name="Comma 6 2 26 11" xfId="27870"/>
    <cellStyle name="Comma 6 2 26 11 2" xfId="27871"/>
    <cellStyle name="Comma 6 2 26 12" xfId="27872"/>
    <cellStyle name="Comma 6 2 26 2" xfId="27873"/>
    <cellStyle name="Comma 6 2 26 2 2" xfId="27874"/>
    <cellStyle name="Comma 6 2 26 3" xfId="27875"/>
    <cellStyle name="Comma 6 2 26 3 2" xfId="27876"/>
    <cellStyle name="Comma 6 2 26 4" xfId="27877"/>
    <cellStyle name="Comma 6 2 26 4 2" xfId="27878"/>
    <cellStyle name="Comma 6 2 26 5" xfId="27879"/>
    <cellStyle name="Comma 6 2 26 5 2" xfId="27880"/>
    <cellStyle name="Comma 6 2 26 6" xfId="27881"/>
    <cellStyle name="Comma 6 2 26 6 2" xfId="27882"/>
    <cellStyle name="Comma 6 2 26 7" xfId="27883"/>
    <cellStyle name="Comma 6 2 26 7 2" xfId="27884"/>
    <cellStyle name="Comma 6 2 26 8" xfId="27885"/>
    <cellStyle name="Comma 6 2 26 8 2" xfId="27886"/>
    <cellStyle name="Comma 6 2 26 9" xfId="27887"/>
    <cellStyle name="Comma 6 2 26 9 2" xfId="27888"/>
    <cellStyle name="Comma 6 2 27" xfId="27889"/>
    <cellStyle name="Comma 6 2 27 10" xfId="27890"/>
    <cellStyle name="Comma 6 2 27 10 2" xfId="27891"/>
    <cellStyle name="Comma 6 2 27 11" xfId="27892"/>
    <cellStyle name="Comma 6 2 27 11 2" xfId="27893"/>
    <cellStyle name="Comma 6 2 27 12" xfId="27894"/>
    <cellStyle name="Comma 6 2 27 2" xfId="27895"/>
    <cellStyle name="Comma 6 2 27 2 2" xfId="27896"/>
    <cellStyle name="Comma 6 2 27 3" xfId="27897"/>
    <cellStyle name="Comma 6 2 27 3 2" xfId="27898"/>
    <cellStyle name="Comma 6 2 27 4" xfId="27899"/>
    <cellStyle name="Comma 6 2 27 4 2" xfId="27900"/>
    <cellStyle name="Comma 6 2 27 5" xfId="27901"/>
    <cellStyle name="Comma 6 2 27 5 2" xfId="27902"/>
    <cellStyle name="Comma 6 2 27 6" xfId="27903"/>
    <cellStyle name="Comma 6 2 27 6 2" xfId="27904"/>
    <cellStyle name="Comma 6 2 27 7" xfId="27905"/>
    <cellStyle name="Comma 6 2 27 7 2" xfId="27906"/>
    <cellStyle name="Comma 6 2 27 8" xfId="27907"/>
    <cellStyle name="Comma 6 2 27 8 2" xfId="27908"/>
    <cellStyle name="Comma 6 2 27 9" xfId="27909"/>
    <cellStyle name="Comma 6 2 27 9 2" xfId="27910"/>
    <cellStyle name="Comma 6 2 28" xfId="27911"/>
    <cellStyle name="Comma 6 2 28 10" xfId="27912"/>
    <cellStyle name="Comma 6 2 28 10 2" xfId="27913"/>
    <cellStyle name="Comma 6 2 28 11" xfId="27914"/>
    <cellStyle name="Comma 6 2 28 11 2" xfId="27915"/>
    <cellStyle name="Comma 6 2 28 12" xfId="27916"/>
    <cellStyle name="Comma 6 2 28 2" xfId="27917"/>
    <cellStyle name="Comma 6 2 28 2 2" xfId="27918"/>
    <cellStyle name="Comma 6 2 28 3" xfId="27919"/>
    <cellStyle name="Comma 6 2 28 3 2" xfId="27920"/>
    <cellStyle name="Comma 6 2 28 4" xfId="27921"/>
    <cellStyle name="Comma 6 2 28 4 2" xfId="27922"/>
    <cellStyle name="Comma 6 2 28 5" xfId="27923"/>
    <cellStyle name="Comma 6 2 28 5 2" xfId="27924"/>
    <cellStyle name="Comma 6 2 28 6" xfId="27925"/>
    <cellStyle name="Comma 6 2 28 6 2" xfId="27926"/>
    <cellStyle name="Comma 6 2 28 7" xfId="27927"/>
    <cellStyle name="Comma 6 2 28 7 2" xfId="27928"/>
    <cellStyle name="Comma 6 2 28 8" xfId="27929"/>
    <cellStyle name="Comma 6 2 28 8 2" xfId="27930"/>
    <cellStyle name="Comma 6 2 28 9" xfId="27931"/>
    <cellStyle name="Comma 6 2 28 9 2" xfId="27932"/>
    <cellStyle name="Comma 6 2 29" xfId="27933"/>
    <cellStyle name="Comma 6 2 29 10" xfId="27934"/>
    <cellStyle name="Comma 6 2 29 10 2" xfId="27935"/>
    <cellStyle name="Comma 6 2 29 11" xfId="27936"/>
    <cellStyle name="Comma 6 2 29 11 2" xfId="27937"/>
    <cellStyle name="Comma 6 2 29 12" xfId="27938"/>
    <cellStyle name="Comma 6 2 29 2" xfId="27939"/>
    <cellStyle name="Comma 6 2 29 2 2" xfId="27940"/>
    <cellStyle name="Comma 6 2 29 3" xfId="27941"/>
    <cellStyle name="Comma 6 2 29 3 2" xfId="27942"/>
    <cellStyle name="Comma 6 2 29 4" xfId="27943"/>
    <cellStyle name="Comma 6 2 29 4 2" xfId="27944"/>
    <cellStyle name="Comma 6 2 29 5" xfId="27945"/>
    <cellStyle name="Comma 6 2 29 5 2" xfId="27946"/>
    <cellStyle name="Comma 6 2 29 6" xfId="27947"/>
    <cellStyle name="Comma 6 2 29 6 2" xfId="27948"/>
    <cellStyle name="Comma 6 2 29 7" xfId="27949"/>
    <cellStyle name="Comma 6 2 29 7 2" xfId="27950"/>
    <cellStyle name="Comma 6 2 29 8" xfId="27951"/>
    <cellStyle name="Comma 6 2 29 8 2" xfId="27952"/>
    <cellStyle name="Comma 6 2 29 9" xfId="27953"/>
    <cellStyle name="Comma 6 2 29 9 2" xfId="27954"/>
    <cellStyle name="Comma 6 2 3" xfId="27955"/>
    <cellStyle name="Comma 6 2 3 10" xfId="27956"/>
    <cellStyle name="Comma 6 2 3 10 2" xfId="27957"/>
    <cellStyle name="Comma 6 2 3 11" xfId="27958"/>
    <cellStyle name="Comma 6 2 3 11 2" xfId="27959"/>
    <cellStyle name="Comma 6 2 3 12" xfId="27960"/>
    <cellStyle name="Comma 6 2 3 13" xfId="40248"/>
    <cellStyle name="Comma 6 2 3 14" xfId="41789"/>
    <cellStyle name="Comma 6 2 3 2" xfId="27961"/>
    <cellStyle name="Comma 6 2 3 2 2" xfId="27962"/>
    <cellStyle name="Comma 6 2 3 3" xfId="27963"/>
    <cellStyle name="Comma 6 2 3 3 2" xfId="27964"/>
    <cellStyle name="Comma 6 2 3 4" xfId="27965"/>
    <cellStyle name="Comma 6 2 3 4 2" xfId="27966"/>
    <cellStyle name="Comma 6 2 3 5" xfId="27967"/>
    <cellStyle name="Comma 6 2 3 5 2" xfId="27968"/>
    <cellStyle name="Comma 6 2 3 6" xfId="27969"/>
    <cellStyle name="Comma 6 2 3 6 2" xfId="27970"/>
    <cellStyle name="Comma 6 2 3 7" xfId="27971"/>
    <cellStyle name="Comma 6 2 3 7 2" xfId="27972"/>
    <cellStyle name="Comma 6 2 3 8" xfId="27973"/>
    <cellStyle name="Comma 6 2 3 8 2" xfId="27974"/>
    <cellStyle name="Comma 6 2 3 9" xfId="27975"/>
    <cellStyle name="Comma 6 2 3 9 2" xfId="27976"/>
    <cellStyle name="Comma 6 2 3_consumption scenario A" xfId="37631"/>
    <cellStyle name="Comma 6 2 30" xfId="27977"/>
    <cellStyle name="Comma 6 2 30 10" xfId="27978"/>
    <cellStyle name="Comma 6 2 30 10 2" xfId="27979"/>
    <cellStyle name="Comma 6 2 30 11" xfId="27980"/>
    <cellStyle name="Comma 6 2 30 11 2" xfId="27981"/>
    <cellStyle name="Comma 6 2 30 12" xfId="27982"/>
    <cellStyle name="Comma 6 2 30 2" xfId="27983"/>
    <cellStyle name="Comma 6 2 30 2 2" xfId="27984"/>
    <cellStyle name="Comma 6 2 30 3" xfId="27985"/>
    <cellStyle name="Comma 6 2 30 3 2" xfId="27986"/>
    <cellStyle name="Comma 6 2 30 4" xfId="27987"/>
    <cellStyle name="Comma 6 2 30 4 2" xfId="27988"/>
    <cellStyle name="Comma 6 2 30 5" xfId="27989"/>
    <cellStyle name="Comma 6 2 30 5 2" xfId="27990"/>
    <cellStyle name="Comma 6 2 30 6" xfId="27991"/>
    <cellStyle name="Comma 6 2 30 6 2" xfId="27992"/>
    <cellStyle name="Comma 6 2 30 7" xfId="27993"/>
    <cellStyle name="Comma 6 2 30 7 2" xfId="27994"/>
    <cellStyle name="Comma 6 2 30 8" xfId="27995"/>
    <cellStyle name="Comma 6 2 30 8 2" xfId="27996"/>
    <cellStyle name="Comma 6 2 30 9" xfId="27997"/>
    <cellStyle name="Comma 6 2 30 9 2" xfId="27998"/>
    <cellStyle name="Comma 6 2 31" xfId="27999"/>
    <cellStyle name="Comma 6 2 31 10" xfId="28000"/>
    <cellStyle name="Comma 6 2 31 10 2" xfId="28001"/>
    <cellStyle name="Comma 6 2 31 11" xfId="28002"/>
    <cellStyle name="Comma 6 2 31 11 2" xfId="28003"/>
    <cellStyle name="Comma 6 2 31 12" xfId="28004"/>
    <cellStyle name="Comma 6 2 31 2" xfId="28005"/>
    <cellStyle name="Comma 6 2 31 2 2" xfId="28006"/>
    <cellStyle name="Comma 6 2 31 3" xfId="28007"/>
    <cellStyle name="Comma 6 2 31 3 2" xfId="28008"/>
    <cellStyle name="Comma 6 2 31 4" xfId="28009"/>
    <cellStyle name="Comma 6 2 31 4 2" xfId="28010"/>
    <cellStyle name="Comma 6 2 31 5" xfId="28011"/>
    <cellStyle name="Comma 6 2 31 5 2" xfId="28012"/>
    <cellStyle name="Comma 6 2 31 6" xfId="28013"/>
    <cellStyle name="Comma 6 2 31 6 2" xfId="28014"/>
    <cellStyle name="Comma 6 2 31 7" xfId="28015"/>
    <cellStyle name="Comma 6 2 31 7 2" xfId="28016"/>
    <cellStyle name="Comma 6 2 31 8" xfId="28017"/>
    <cellStyle name="Comma 6 2 31 8 2" xfId="28018"/>
    <cellStyle name="Comma 6 2 31 9" xfId="28019"/>
    <cellStyle name="Comma 6 2 31 9 2" xfId="28020"/>
    <cellStyle name="Comma 6 2 32" xfId="28021"/>
    <cellStyle name="Comma 6 2 32 10" xfId="28022"/>
    <cellStyle name="Comma 6 2 32 10 2" xfId="28023"/>
    <cellStyle name="Comma 6 2 32 11" xfId="28024"/>
    <cellStyle name="Comma 6 2 32 11 2" xfId="28025"/>
    <cellStyle name="Comma 6 2 32 12" xfId="28026"/>
    <cellStyle name="Comma 6 2 32 2" xfId="28027"/>
    <cellStyle name="Comma 6 2 32 2 2" xfId="28028"/>
    <cellStyle name="Comma 6 2 32 3" xfId="28029"/>
    <cellStyle name="Comma 6 2 32 3 2" xfId="28030"/>
    <cellStyle name="Comma 6 2 32 4" xfId="28031"/>
    <cellStyle name="Comma 6 2 32 4 2" xfId="28032"/>
    <cellStyle name="Comma 6 2 32 5" xfId="28033"/>
    <cellStyle name="Comma 6 2 32 5 2" xfId="28034"/>
    <cellStyle name="Comma 6 2 32 6" xfId="28035"/>
    <cellStyle name="Comma 6 2 32 6 2" xfId="28036"/>
    <cellStyle name="Comma 6 2 32 7" xfId="28037"/>
    <cellStyle name="Comma 6 2 32 7 2" xfId="28038"/>
    <cellStyle name="Comma 6 2 32 8" xfId="28039"/>
    <cellStyle name="Comma 6 2 32 8 2" xfId="28040"/>
    <cellStyle name="Comma 6 2 32 9" xfId="28041"/>
    <cellStyle name="Comma 6 2 32 9 2" xfId="28042"/>
    <cellStyle name="Comma 6 2 33" xfId="28043"/>
    <cellStyle name="Comma 6 2 33 10" xfId="28044"/>
    <cellStyle name="Comma 6 2 33 10 2" xfId="28045"/>
    <cellStyle name="Comma 6 2 33 11" xfId="28046"/>
    <cellStyle name="Comma 6 2 33 11 2" xfId="28047"/>
    <cellStyle name="Comma 6 2 33 12" xfId="28048"/>
    <cellStyle name="Comma 6 2 33 2" xfId="28049"/>
    <cellStyle name="Comma 6 2 33 2 2" xfId="28050"/>
    <cellStyle name="Comma 6 2 33 3" xfId="28051"/>
    <cellStyle name="Comma 6 2 33 3 2" xfId="28052"/>
    <cellStyle name="Comma 6 2 33 4" xfId="28053"/>
    <cellStyle name="Comma 6 2 33 4 2" xfId="28054"/>
    <cellStyle name="Comma 6 2 33 5" xfId="28055"/>
    <cellStyle name="Comma 6 2 33 5 2" xfId="28056"/>
    <cellStyle name="Comma 6 2 33 6" xfId="28057"/>
    <cellStyle name="Comma 6 2 33 6 2" xfId="28058"/>
    <cellStyle name="Comma 6 2 33 7" xfId="28059"/>
    <cellStyle name="Comma 6 2 33 7 2" xfId="28060"/>
    <cellStyle name="Comma 6 2 33 8" xfId="28061"/>
    <cellStyle name="Comma 6 2 33 8 2" xfId="28062"/>
    <cellStyle name="Comma 6 2 33 9" xfId="28063"/>
    <cellStyle name="Comma 6 2 33 9 2" xfId="28064"/>
    <cellStyle name="Comma 6 2 34" xfId="28065"/>
    <cellStyle name="Comma 6 2 34 10" xfId="28066"/>
    <cellStyle name="Comma 6 2 34 10 2" xfId="28067"/>
    <cellStyle name="Comma 6 2 34 11" xfId="28068"/>
    <cellStyle name="Comma 6 2 34 11 2" xfId="28069"/>
    <cellStyle name="Comma 6 2 34 12" xfId="28070"/>
    <cellStyle name="Comma 6 2 34 2" xfId="28071"/>
    <cellStyle name="Comma 6 2 34 2 2" xfId="28072"/>
    <cellStyle name="Comma 6 2 34 3" xfId="28073"/>
    <cellStyle name="Comma 6 2 34 3 2" xfId="28074"/>
    <cellStyle name="Comma 6 2 34 4" xfId="28075"/>
    <cellStyle name="Comma 6 2 34 4 2" xfId="28076"/>
    <cellStyle name="Comma 6 2 34 5" xfId="28077"/>
    <cellStyle name="Comma 6 2 34 5 2" xfId="28078"/>
    <cellStyle name="Comma 6 2 34 6" xfId="28079"/>
    <cellStyle name="Comma 6 2 34 6 2" xfId="28080"/>
    <cellStyle name="Comma 6 2 34 7" xfId="28081"/>
    <cellStyle name="Comma 6 2 34 7 2" xfId="28082"/>
    <cellStyle name="Comma 6 2 34 8" xfId="28083"/>
    <cellStyle name="Comma 6 2 34 8 2" xfId="28084"/>
    <cellStyle name="Comma 6 2 34 9" xfId="28085"/>
    <cellStyle name="Comma 6 2 34 9 2" xfId="28086"/>
    <cellStyle name="Comma 6 2 35" xfId="28087"/>
    <cellStyle name="Comma 6 2 35 10" xfId="28088"/>
    <cellStyle name="Comma 6 2 35 10 2" xfId="28089"/>
    <cellStyle name="Comma 6 2 35 11" xfId="28090"/>
    <cellStyle name="Comma 6 2 35 11 2" xfId="28091"/>
    <cellStyle name="Comma 6 2 35 12" xfId="28092"/>
    <cellStyle name="Comma 6 2 35 2" xfId="28093"/>
    <cellStyle name="Comma 6 2 35 2 2" xfId="28094"/>
    <cellStyle name="Comma 6 2 35 3" xfId="28095"/>
    <cellStyle name="Comma 6 2 35 3 2" xfId="28096"/>
    <cellStyle name="Comma 6 2 35 4" xfId="28097"/>
    <cellStyle name="Comma 6 2 35 4 2" xfId="28098"/>
    <cellStyle name="Comma 6 2 35 5" xfId="28099"/>
    <cellStyle name="Comma 6 2 35 5 2" xfId="28100"/>
    <cellStyle name="Comma 6 2 35 6" xfId="28101"/>
    <cellStyle name="Comma 6 2 35 6 2" xfId="28102"/>
    <cellStyle name="Comma 6 2 35 7" xfId="28103"/>
    <cellStyle name="Comma 6 2 35 7 2" xfId="28104"/>
    <cellStyle name="Comma 6 2 35 8" xfId="28105"/>
    <cellStyle name="Comma 6 2 35 8 2" xfId="28106"/>
    <cellStyle name="Comma 6 2 35 9" xfId="28107"/>
    <cellStyle name="Comma 6 2 35 9 2" xfId="28108"/>
    <cellStyle name="Comma 6 2 36" xfId="28109"/>
    <cellStyle name="Comma 6 2 36 10" xfId="28110"/>
    <cellStyle name="Comma 6 2 36 10 2" xfId="28111"/>
    <cellStyle name="Comma 6 2 36 11" xfId="28112"/>
    <cellStyle name="Comma 6 2 36 11 2" xfId="28113"/>
    <cellStyle name="Comma 6 2 36 12" xfId="28114"/>
    <cellStyle name="Comma 6 2 36 2" xfId="28115"/>
    <cellStyle name="Comma 6 2 36 2 2" xfId="28116"/>
    <cellStyle name="Comma 6 2 36 3" xfId="28117"/>
    <cellStyle name="Comma 6 2 36 3 2" xfId="28118"/>
    <cellStyle name="Comma 6 2 36 4" xfId="28119"/>
    <cellStyle name="Comma 6 2 36 4 2" xfId="28120"/>
    <cellStyle name="Comma 6 2 36 5" xfId="28121"/>
    <cellStyle name="Comma 6 2 36 5 2" xfId="28122"/>
    <cellStyle name="Comma 6 2 36 6" xfId="28123"/>
    <cellStyle name="Comma 6 2 36 6 2" xfId="28124"/>
    <cellStyle name="Comma 6 2 36 7" xfId="28125"/>
    <cellStyle name="Comma 6 2 36 7 2" xfId="28126"/>
    <cellStyle name="Comma 6 2 36 8" xfId="28127"/>
    <cellStyle name="Comma 6 2 36 8 2" xfId="28128"/>
    <cellStyle name="Comma 6 2 36 9" xfId="28129"/>
    <cellStyle name="Comma 6 2 36 9 2" xfId="28130"/>
    <cellStyle name="Comma 6 2 37" xfId="28131"/>
    <cellStyle name="Comma 6 2 37 10" xfId="28132"/>
    <cellStyle name="Comma 6 2 37 10 2" xfId="28133"/>
    <cellStyle name="Comma 6 2 37 11" xfId="28134"/>
    <cellStyle name="Comma 6 2 37 11 2" xfId="28135"/>
    <cellStyle name="Comma 6 2 37 12" xfId="28136"/>
    <cellStyle name="Comma 6 2 37 2" xfId="28137"/>
    <cellStyle name="Comma 6 2 37 2 2" xfId="28138"/>
    <cellStyle name="Comma 6 2 37 3" xfId="28139"/>
    <cellStyle name="Comma 6 2 37 3 2" xfId="28140"/>
    <cellStyle name="Comma 6 2 37 4" xfId="28141"/>
    <cellStyle name="Comma 6 2 37 4 2" xfId="28142"/>
    <cellStyle name="Comma 6 2 37 5" xfId="28143"/>
    <cellStyle name="Comma 6 2 37 5 2" xfId="28144"/>
    <cellStyle name="Comma 6 2 37 6" xfId="28145"/>
    <cellStyle name="Comma 6 2 37 6 2" xfId="28146"/>
    <cellStyle name="Comma 6 2 37 7" xfId="28147"/>
    <cellStyle name="Comma 6 2 37 7 2" xfId="28148"/>
    <cellStyle name="Comma 6 2 37 8" xfId="28149"/>
    <cellStyle name="Comma 6 2 37 8 2" xfId="28150"/>
    <cellStyle name="Comma 6 2 37 9" xfId="28151"/>
    <cellStyle name="Comma 6 2 37 9 2" xfId="28152"/>
    <cellStyle name="Comma 6 2 38" xfId="28153"/>
    <cellStyle name="Comma 6 2 38 10" xfId="28154"/>
    <cellStyle name="Comma 6 2 38 10 2" xfId="28155"/>
    <cellStyle name="Comma 6 2 38 11" xfId="28156"/>
    <cellStyle name="Comma 6 2 38 11 2" xfId="28157"/>
    <cellStyle name="Comma 6 2 38 12" xfId="28158"/>
    <cellStyle name="Comma 6 2 38 2" xfId="28159"/>
    <cellStyle name="Comma 6 2 38 2 2" xfId="28160"/>
    <cellStyle name="Comma 6 2 38 3" xfId="28161"/>
    <cellStyle name="Comma 6 2 38 3 2" xfId="28162"/>
    <cellStyle name="Comma 6 2 38 4" xfId="28163"/>
    <cellStyle name="Comma 6 2 38 4 2" xfId="28164"/>
    <cellStyle name="Comma 6 2 38 5" xfId="28165"/>
    <cellStyle name="Comma 6 2 38 5 2" xfId="28166"/>
    <cellStyle name="Comma 6 2 38 6" xfId="28167"/>
    <cellStyle name="Comma 6 2 38 6 2" xfId="28168"/>
    <cellStyle name="Comma 6 2 38 7" xfId="28169"/>
    <cellStyle name="Comma 6 2 38 7 2" xfId="28170"/>
    <cellStyle name="Comma 6 2 38 8" xfId="28171"/>
    <cellStyle name="Comma 6 2 38 8 2" xfId="28172"/>
    <cellStyle name="Comma 6 2 38 9" xfId="28173"/>
    <cellStyle name="Comma 6 2 38 9 2" xfId="28174"/>
    <cellStyle name="Comma 6 2 39" xfId="28175"/>
    <cellStyle name="Comma 6 2 39 10" xfId="28176"/>
    <cellStyle name="Comma 6 2 39 10 2" xfId="28177"/>
    <cellStyle name="Comma 6 2 39 11" xfId="28178"/>
    <cellStyle name="Comma 6 2 39 11 2" xfId="28179"/>
    <cellStyle name="Comma 6 2 39 12" xfId="28180"/>
    <cellStyle name="Comma 6 2 39 2" xfId="28181"/>
    <cellStyle name="Comma 6 2 39 2 2" xfId="28182"/>
    <cellStyle name="Comma 6 2 39 3" xfId="28183"/>
    <cellStyle name="Comma 6 2 39 3 2" xfId="28184"/>
    <cellStyle name="Comma 6 2 39 4" xfId="28185"/>
    <cellStyle name="Comma 6 2 39 4 2" xfId="28186"/>
    <cellStyle name="Comma 6 2 39 5" xfId="28187"/>
    <cellStyle name="Comma 6 2 39 5 2" xfId="28188"/>
    <cellStyle name="Comma 6 2 39 6" xfId="28189"/>
    <cellStyle name="Comma 6 2 39 6 2" xfId="28190"/>
    <cellStyle name="Comma 6 2 39 7" xfId="28191"/>
    <cellStyle name="Comma 6 2 39 7 2" xfId="28192"/>
    <cellStyle name="Comma 6 2 39 8" xfId="28193"/>
    <cellStyle name="Comma 6 2 39 8 2" xfId="28194"/>
    <cellStyle name="Comma 6 2 39 9" xfId="28195"/>
    <cellStyle name="Comma 6 2 39 9 2" xfId="28196"/>
    <cellStyle name="Comma 6 2 4" xfId="28197"/>
    <cellStyle name="Comma 6 2 4 10" xfId="28198"/>
    <cellStyle name="Comma 6 2 4 10 2" xfId="28199"/>
    <cellStyle name="Comma 6 2 4 11" xfId="28200"/>
    <cellStyle name="Comma 6 2 4 11 2" xfId="28201"/>
    <cellStyle name="Comma 6 2 4 12" xfId="28202"/>
    <cellStyle name="Comma 6 2 4 2" xfId="28203"/>
    <cellStyle name="Comma 6 2 4 2 2" xfId="28204"/>
    <cellStyle name="Comma 6 2 4 3" xfId="28205"/>
    <cellStyle name="Comma 6 2 4 3 2" xfId="28206"/>
    <cellStyle name="Comma 6 2 4 4" xfId="28207"/>
    <cellStyle name="Comma 6 2 4 4 2" xfId="28208"/>
    <cellStyle name="Comma 6 2 4 5" xfId="28209"/>
    <cellStyle name="Comma 6 2 4 5 2" xfId="28210"/>
    <cellStyle name="Comma 6 2 4 6" xfId="28211"/>
    <cellStyle name="Comma 6 2 4 6 2" xfId="28212"/>
    <cellStyle name="Comma 6 2 4 7" xfId="28213"/>
    <cellStyle name="Comma 6 2 4 7 2" xfId="28214"/>
    <cellStyle name="Comma 6 2 4 8" xfId="28215"/>
    <cellStyle name="Comma 6 2 4 8 2" xfId="28216"/>
    <cellStyle name="Comma 6 2 4 9" xfId="28217"/>
    <cellStyle name="Comma 6 2 4 9 2" xfId="28218"/>
    <cellStyle name="Comma 6 2 40" xfId="28219"/>
    <cellStyle name="Comma 6 2 40 2" xfId="28220"/>
    <cellStyle name="Comma 6 2 41" xfId="28221"/>
    <cellStyle name="Comma 6 2 41 2" xfId="28222"/>
    <cellStyle name="Comma 6 2 42" xfId="28223"/>
    <cellStyle name="Comma 6 2 42 2" xfId="28224"/>
    <cellStyle name="Comma 6 2 43" xfId="28225"/>
    <cellStyle name="Comma 6 2 43 2" xfId="28226"/>
    <cellStyle name="Comma 6 2 44" xfId="28227"/>
    <cellStyle name="Comma 6 2 44 2" xfId="28228"/>
    <cellStyle name="Comma 6 2 45" xfId="28229"/>
    <cellStyle name="Comma 6 2 45 2" xfId="28230"/>
    <cellStyle name="Comma 6 2 46" xfId="28231"/>
    <cellStyle name="Comma 6 2 46 2" xfId="28232"/>
    <cellStyle name="Comma 6 2 47" xfId="28233"/>
    <cellStyle name="Comma 6 2 47 2" xfId="28234"/>
    <cellStyle name="Comma 6 2 48" xfId="28235"/>
    <cellStyle name="Comma 6 2 48 2" xfId="28236"/>
    <cellStyle name="Comma 6 2 49" xfId="28237"/>
    <cellStyle name="Comma 6 2 49 2" xfId="28238"/>
    <cellStyle name="Comma 6 2 5" xfId="28239"/>
    <cellStyle name="Comma 6 2 5 10" xfId="28240"/>
    <cellStyle name="Comma 6 2 5 10 2" xfId="28241"/>
    <cellStyle name="Comma 6 2 5 11" xfId="28242"/>
    <cellStyle name="Comma 6 2 5 11 2" xfId="28243"/>
    <cellStyle name="Comma 6 2 5 12" xfId="28244"/>
    <cellStyle name="Comma 6 2 5 2" xfId="28245"/>
    <cellStyle name="Comma 6 2 5 2 2" xfId="28246"/>
    <cellStyle name="Comma 6 2 5 3" xfId="28247"/>
    <cellStyle name="Comma 6 2 5 3 2" xfId="28248"/>
    <cellStyle name="Comma 6 2 5 4" xfId="28249"/>
    <cellStyle name="Comma 6 2 5 4 2" xfId="28250"/>
    <cellStyle name="Comma 6 2 5 5" xfId="28251"/>
    <cellStyle name="Comma 6 2 5 5 2" xfId="28252"/>
    <cellStyle name="Comma 6 2 5 6" xfId="28253"/>
    <cellStyle name="Comma 6 2 5 6 2" xfId="28254"/>
    <cellStyle name="Comma 6 2 5 7" xfId="28255"/>
    <cellStyle name="Comma 6 2 5 7 2" xfId="28256"/>
    <cellStyle name="Comma 6 2 5 8" xfId="28257"/>
    <cellStyle name="Comma 6 2 5 8 2" xfId="28258"/>
    <cellStyle name="Comma 6 2 5 9" xfId="28259"/>
    <cellStyle name="Comma 6 2 5 9 2" xfId="28260"/>
    <cellStyle name="Comma 6 2 50" xfId="28261"/>
    <cellStyle name="Comma 6 2 50 2" xfId="28262"/>
    <cellStyle name="Comma 6 2 51" xfId="28263"/>
    <cellStyle name="Comma 6 2 51 2" xfId="28264"/>
    <cellStyle name="Comma 6 2 52" xfId="28265"/>
    <cellStyle name="Comma 6 2 53" xfId="38233"/>
    <cellStyle name="Comma 6 2 54" xfId="39530"/>
    <cellStyle name="Comma 6 2 55" xfId="41071"/>
    <cellStyle name="Comma 6 2 6" xfId="28266"/>
    <cellStyle name="Comma 6 2 6 10" xfId="28267"/>
    <cellStyle name="Comma 6 2 6 10 2" xfId="28268"/>
    <cellStyle name="Comma 6 2 6 11" xfId="28269"/>
    <cellStyle name="Comma 6 2 6 11 2" xfId="28270"/>
    <cellStyle name="Comma 6 2 6 12" xfId="28271"/>
    <cellStyle name="Comma 6 2 6 2" xfId="28272"/>
    <cellStyle name="Comma 6 2 6 2 2" xfId="28273"/>
    <cellStyle name="Comma 6 2 6 3" xfId="28274"/>
    <cellStyle name="Comma 6 2 6 3 2" xfId="28275"/>
    <cellStyle name="Comma 6 2 6 4" xfId="28276"/>
    <cellStyle name="Comma 6 2 6 4 2" xfId="28277"/>
    <cellStyle name="Comma 6 2 6 5" xfId="28278"/>
    <cellStyle name="Comma 6 2 6 5 2" xfId="28279"/>
    <cellStyle name="Comma 6 2 6 6" xfId="28280"/>
    <cellStyle name="Comma 6 2 6 6 2" xfId="28281"/>
    <cellStyle name="Comma 6 2 6 7" xfId="28282"/>
    <cellStyle name="Comma 6 2 6 7 2" xfId="28283"/>
    <cellStyle name="Comma 6 2 6 8" xfId="28284"/>
    <cellStyle name="Comma 6 2 6 8 2" xfId="28285"/>
    <cellStyle name="Comma 6 2 6 9" xfId="28286"/>
    <cellStyle name="Comma 6 2 6 9 2" xfId="28287"/>
    <cellStyle name="Comma 6 2 7" xfId="28288"/>
    <cellStyle name="Comma 6 2 7 10" xfId="28289"/>
    <cellStyle name="Comma 6 2 7 10 2" xfId="28290"/>
    <cellStyle name="Comma 6 2 7 11" xfId="28291"/>
    <cellStyle name="Comma 6 2 7 11 2" xfId="28292"/>
    <cellStyle name="Comma 6 2 7 12" xfId="28293"/>
    <cellStyle name="Comma 6 2 7 2" xfId="28294"/>
    <cellStyle name="Comma 6 2 7 2 2" xfId="28295"/>
    <cellStyle name="Comma 6 2 7 3" xfId="28296"/>
    <cellStyle name="Comma 6 2 7 3 2" xfId="28297"/>
    <cellStyle name="Comma 6 2 7 4" xfId="28298"/>
    <cellStyle name="Comma 6 2 7 4 2" xfId="28299"/>
    <cellStyle name="Comma 6 2 7 5" xfId="28300"/>
    <cellStyle name="Comma 6 2 7 5 2" xfId="28301"/>
    <cellStyle name="Comma 6 2 7 6" xfId="28302"/>
    <cellStyle name="Comma 6 2 7 6 2" xfId="28303"/>
    <cellStyle name="Comma 6 2 7 7" xfId="28304"/>
    <cellStyle name="Comma 6 2 7 7 2" xfId="28305"/>
    <cellStyle name="Comma 6 2 7 8" xfId="28306"/>
    <cellStyle name="Comma 6 2 7 8 2" xfId="28307"/>
    <cellStyle name="Comma 6 2 7 9" xfId="28308"/>
    <cellStyle name="Comma 6 2 7 9 2" xfId="28309"/>
    <cellStyle name="Comma 6 2 8" xfId="28310"/>
    <cellStyle name="Comma 6 2 8 10" xfId="28311"/>
    <cellStyle name="Comma 6 2 8 10 2" xfId="28312"/>
    <cellStyle name="Comma 6 2 8 11" xfId="28313"/>
    <cellStyle name="Comma 6 2 8 11 2" xfId="28314"/>
    <cellStyle name="Comma 6 2 8 12" xfId="28315"/>
    <cellStyle name="Comma 6 2 8 2" xfId="28316"/>
    <cellStyle name="Comma 6 2 8 2 2" xfId="28317"/>
    <cellStyle name="Comma 6 2 8 3" xfId="28318"/>
    <cellStyle name="Comma 6 2 8 3 2" xfId="28319"/>
    <cellStyle name="Comma 6 2 8 4" xfId="28320"/>
    <cellStyle name="Comma 6 2 8 4 2" xfId="28321"/>
    <cellStyle name="Comma 6 2 8 5" xfId="28322"/>
    <cellStyle name="Comma 6 2 8 5 2" xfId="28323"/>
    <cellStyle name="Comma 6 2 8 6" xfId="28324"/>
    <cellStyle name="Comma 6 2 8 6 2" xfId="28325"/>
    <cellStyle name="Comma 6 2 8 7" xfId="28326"/>
    <cellStyle name="Comma 6 2 8 7 2" xfId="28327"/>
    <cellStyle name="Comma 6 2 8 8" xfId="28328"/>
    <cellStyle name="Comma 6 2 8 8 2" xfId="28329"/>
    <cellStyle name="Comma 6 2 8 9" xfId="28330"/>
    <cellStyle name="Comma 6 2 8 9 2" xfId="28331"/>
    <cellStyle name="Comma 6 2 9" xfId="28332"/>
    <cellStyle name="Comma 6 2 9 10" xfId="28333"/>
    <cellStyle name="Comma 6 2 9 10 2" xfId="28334"/>
    <cellStyle name="Comma 6 2 9 11" xfId="28335"/>
    <cellStyle name="Comma 6 2 9 11 2" xfId="28336"/>
    <cellStyle name="Comma 6 2 9 12" xfId="28337"/>
    <cellStyle name="Comma 6 2 9 2" xfId="28338"/>
    <cellStyle name="Comma 6 2 9 2 2" xfId="28339"/>
    <cellStyle name="Comma 6 2 9 3" xfId="28340"/>
    <cellStyle name="Comma 6 2 9 3 2" xfId="28341"/>
    <cellStyle name="Comma 6 2 9 4" xfId="28342"/>
    <cellStyle name="Comma 6 2 9 4 2" xfId="28343"/>
    <cellStyle name="Comma 6 2 9 5" xfId="28344"/>
    <cellStyle name="Comma 6 2 9 5 2" xfId="28345"/>
    <cellStyle name="Comma 6 2 9 6" xfId="28346"/>
    <cellStyle name="Comma 6 2 9 6 2" xfId="28347"/>
    <cellStyle name="Comma 6 2 9 7" xfId="28348"/>
    <cellStyle name="Comma 6 2 9 7 2" xfId="28349"/>
    <cellStyle name="Comma 6 2 9 8" xfId="28350"/>
    <cellStyle name="Comma 6 2 9 8 2" xfId="28351"/>
    <cellStyle name="Comma 6 2 9 9" xfId="28352"/>
    <cellStyle name="Comma 6 2 9 9 2" xfId="28353"/>
    <cellStyle name="Comma 6 2_consumption scenario A" xfId="37628"/>
    <cellStyle name="Comma 6 20" xfId="28354"/>
    <cellStyle name="Comma 6 20 10" xfId="28355"/>
    <cellStyle name="Comma 6 20 10 2" xfId="28356"/>
    <cellStyle name="Comma 6 20 11" xfId="28357"/>
    <cellStyle name="Comma 6 20 11 2" xfId="28358"/>
    <cellStyle name="Comma 6 20 12" xfId="28359"/>
    <cellStyle name="Comma 6 20 2" xfId="28360"/>
    <cellStyle name="Comma 6 20 2 2" xfId="28361"/>
    <cellStyle name="Comma 6 20 3" xfId="28362"/>
    <cellStyle name="Comma 6 20 3 2" xfId="28363"/>
    <cellStyle name="Comma 6 20 4" xfId="28364"/>
    <cellStyle name="Comma 6 20 4 2" xfId="28365"/>
    <cellStyle name="Comma 6 20 5" xfId="28366"/>
    <cellStyle name="Comma 6 20 5 2" xfId="28367"/>
    <cellStyle name="Comma 6 20 6" xfId="28368"/>
    <cellStyle name="Comma 6 20 6 2" xfId="28369"/>
    <cellStyle name="Comma 6 20 7" xfId="28370"/>
    <cellStyle name="Comma 6 20 7 2" xfId="28371"/>
    <cellStyle name="Comma 6 20 8" xfId="28372"/>
    <cellStyle name="Comma 6 20 8 2" xfId="28373"/>
    <cellStyle name="Comma 6 20 9" xfId="28374"/>
    <cellStyle name="Comma 6 20 9 2" xfId="28375"/>
    <cellStyle name="Comma 6 21" xfId="28376"/>
    <cellStyle name="Comma 6 21 10" xfId="28377"/>
    <cellStyle name="Comma 6 21 10 2" xfId="28378"/>
    <cellStyle name="Comma 6 21 11" xfId="28379"/>
    <cellStyle name="Comma 6 21 11 2" xfId="28380"/>
    <cellStyle name="Comma 6 21 12" xfId="28381"/>
    <cellStyle name="Comma 6 21 2" xfId="28382"/>
    <cellStyle name="Comma 6 21 2 2" xfId="28383"/>
    <cellStyle name="Comma 6 21 3" xfId="28384"/>
    <cellStyle name="Comma 6 21 3 2" xfId="28385"/>
    <cellStyle name="Comma 6 21 4" xfId="28386"/>
    <cellStyle name="Comma 6 21 4 2" xfId="28387"/>
    <cellStyle name="Comma 6 21 5" xfId="28388"/>
    <cellStyle name="Comma 6 21 5 2" xfId="28389"/>
    <cellStyle name="Comma 6 21 6" xfId="28390"/>
    <cellStyle name="Comma 6 21 6 2" xfId="28391"/>
    <cellStyle name="Comma 6 21 7" xfId="28392"/>
    <cellStyle name="Comma 6 21 7 2" xfId="28393"/>
    <cellStyle name="Comma 6 21 8" xfId="28394"/>
    <cellStyle name="Comma 6 21 8 2" xfId="28395"/>
    <cellStyle name="Comma 6 21 9" xfId="28396"/>
    <cellStyle name="Comma 6 21 9 2" xfId="28397"/>
    <cellStyle name="Comma 6 22" xfId="28398"/>
    <cellStyle name="Comma 6 22 10" xfId="28399"/>
    <cellStyle name="Comma 6 22 10 2" xfId="28400"/>
    <cellStyle name="Comma 6 22 11" xfId="28401"/>
    <cellStyle name="Comma 6 22 11 2" xfId="28402"/>
    <cellStyle name="Comma 6 22 12" xfId="28403"/>
    <cellStyle name="Comma 6 22 2" xfId="28404"/>
    <cellStyle name="Comma 6 22 2 2" xfId="28405"/>
    <cellStyle name="Comma 6 22 3" xfId="28406"/>
    <cellStyle name="Comma 6 22 3 2" xfId="28407"/>
    <cellStyle name="Comma 6 22 4" xfId="28408"/>
    <cellStyle name="Comma 6 22 4 2" xfId="28409"/>
    <cellStyle name="Comma 6 22 5" xfId="28410"/>
    <cellStyle name="Comma 6 22 5 2" xfId="28411"/>
    <cellStyle name="Comma 6 22 6" xfId="28412"/>
    <cellStyle name="Comma 6 22 6 2" xfId="28413"/>
    <cellStyle name="Comma 6 22 7" xfId="28414"/>
    <cellStyle name="Comma 6 22 7 2" xfId="28415"/>
    <cellStyle name="Comma 6 22 8" xfId="28416"/>
    <cellStyle name="Comma 6 22 8 2" xfId="28417"/>
    <cellStyle name="Comma 6 22 9" xfId="28418"/>
    <cellStyle name="Comma 6 22 9 2" xfId="28419"/>
    <cellStyle name="Comma 6 23" xfId="28420"/>
    <cellStyle name="Comma 6 23 10" xfId="28421"/>
    <cellStyle name="Comma 6 23 10 2" xfId="28422"/>
    <cellStyle name="Comma 6 23 11" xfId="28423"/>
    <cellStyle name="Comma 6 23 11 2" xfId="28424"/>
    <cellStyle name="Comma 6 23 12" xfId="28425"/>
    <cellStyle name="Comma 6 23 2" xfId="28426"/>
    <cellStyle name="Comma 6 23 2 2" xfId="28427"/>
    <cellStyle name="Comma 6 23 3" xfId="28428"/>
    <cellStyle name="Comma 6 23 3 2" xfId="28429"/>
    <cellStyle name="Comma 6 23 4" xfId="28430"/>
    <cellStyle name="Comma 6 23 4 2" xfId="28431"/>
    <cellStyle name="Comma 6 23 5" xfId="28432"/>
    <cellStyle name="Comma 6 23 5 2" xfId="28433"/>
    <cellStyle name="Comma 6 23 6" xfId="28434"/>
    <cellStyle name="Comma 6 23 6 2" xfId="28435"/>
    <cellStyle name="Comma 6 23 7" xfId="28436"/>
    <cellStyle name="Comma 6 23 7 2" xfId="28437"/>
    <cellStyle name="Comma 6 23 8" xfId="28438"/>
    <cellStyle name="Comma 6 23 8 2" xfId="28439"/>
    <cellStyle name="Comma 6 23 9" xfId="28440"/>
    <cellStyle name="Comma 6 23 9 2" xfId="28441"/>
    <cellStyle name="Comma 6 24" xfId="28442"/>
    <cellStyle name="Comma 6 24 10" xfId="28443"/>
    <cellStyle name="Comma 6 24 10 2" xfId="28444"/>
    <cellStyle name="Comma 6 24 11" xfId="28445"/>
    <cellStyle name="Comma 6 24 11 2" xfId="28446"/>
    <cellStyle name="Comma 6 24 12" xfId="28447"/>
    <cellStyle name="Comma 6 24 2" xfId="28448"/>
    <cellStyle name="Comma 6 24 2 2" xfId="28449"/>
    <cellStyle name="Comma 6 24 3" xfId="28450"/>
    <cellStyle name="Comma 6 24 3 2" xfId="28451"/>
    <cellStyle name="Comma 6 24 4" xfId="28452"/>
    <cellStyle name="Comma 6 24 4 2" xfId="28453"/>
    <cellStyle name="Comma 6 24 5" xfId="28454"/>
    <cellStyle name="Comma 6 24 5 2" xfId="28455"/>
    <cellStyle name="Comma 6 24 6" xfId="28456"/>
    <cellStyle name="Comma 6 24 6 2" xfId="28457"/>
    <cellStyle name="Comma 6 24 7" xfId="28458"/>
    <cellStyle name="Comma 6 24 7 2" xfId="28459"/>
    <cellStyle name="Comma 6 24 8" xfId="28460"/>
    <cellStyle name="Comma 6 24 8 2" xfId="28461"/>
    <cellStyle name="Comma 6 24 9" xfId="28462"/>
    <cellStyle name="Comma 6 24 9 2" xfId="28463"/>
    <cellStyle name="Comma 6 25" xfId="28464"/>
    <cellStyle name="Comma 6 25 10" xfId="28465"/>
    <cellStyle name="Comma 6 25 10 2" xfId="28466"/>
    <cellStyle name="Comma 6 25 11" xfId="28467"/>
    <cellStyle name="Comma 6 25 11 2" xfId="28468"/>
    <cellStyle name="Comma 6 25 12" xfId="28469"/>
    <cellStyle name="Comma 6 25 2" xfId="28470"/>
    <cellStyle name="Comma 6 25 2 2" xfId="28471"/>
    <cellStyle name="Comma 6 25 3" xfId="28472"/>
    <cellStyle name="Comma 6 25 3 2" xfId="28473"/>
    <cellStyle name="Comma 6 25 4" xfId="28474"/>
    <cellStyle name="Comma 6 25 4 2" xfId="28475"/>
    <cellStyle name="Comma 6 25 5" xfId="28476"/>
    <cellStyle name="Comma 6 25 5 2" xfId="28477"/>
    <cellStyle name="Comma 6 25 6" xfId="28478"/>
    <cellStyle name="Comma 6 25 6 2" xfId="28479"/>
    <cellStyle name="Comma 6 25 7" xfId="28480"/>
    <cellStyle name="Comma 6 25 7 2" xfId="28481"/>
    <cellStyle name="Comma 6 25 8" xfId="28482"/>
    <cellStyle name="Comma 6 25 8 2" xfId="28483"/>
    <cellStyle name="Comma 6 25 9" xfId="28484"/>
    <cellStyle name="Comma 6 25 9 2" xfId="28485"/>
    <cellStyle name="Comma 6 26" xfId="28486"/>
    <cellStyle name="Comma 6 26 10" xfId="28487"/>
    <cellStyle name="Comma 6 26 10 2" xfId="28488"/>
    <cellStyle name="Comma 6 26 11" xfId="28489"/>
    <cellStyle name="Comma 6 26 11 2" xfId="28490"/>
    <cellStyle name="Comma 6 26 12" xfId="28491"/>
    <cellStyle name="Comma 6 26 2" xfId="28492"/>
    <cellStyle name="Comma 6 26 2 2" xfId="28493"/>
    <cellStyle name="Comma 6 26 3" xfId="28494"/>
    <cellStyle name="Comma 6 26 3 2" xfId="28495"/>
    <cellStyle name="Comma 6 26 4" xfId="28496"/>
    <cellStyle name="Comma 6 26 4 2" xfId="28497"/>
    <cellStyle name="Comma 6 26 5" xfId="28498"/>
    <cellStyle name="Comma 6 26 5 2" xfId="28499"/>
    <cellStyle name="Comma 6 26 6" xfId="28500"/>
    <cellStyle name="Comma 6 26 6 2" xfId="28501"/>
    <cellStyle name="Comma 6 26 7" xfId="28502"/>
    <cellStyle name="Comma 6 26 7 2" xfId="28503"/>
    <cellStyle name="Comma 6 26 8" xfId="28504"/>
    <cellStyle name="Comma 6 26 8 2" xfId="28505"/>
    <cellStyle name="Comma 6 26 9" xfId="28506"/>
    <cellStyle name="Comma 6 26 9 2" xfId="28507"/>
    <cellStyle name="Comma 6 27" xfId="28508"/>
    <cellStyle name="Comma 6 27 10" xfId="28509"/>
    <cellStyle name="Comma 6 27 10 2" xfId="28510"/>
    <cellStyle name="Comma 6 27 11" xfId="28511"/>
    <cellStyle name="Comma 6 27 11 2" xfId="28512"/>
    <cellStyle name="Comma 6 27 12" xfId="28513"/>
    <cellStyle name="Comma 6 27 2" xfId="28514"/>
    <cellStyle name="Comma 6 27 2 2" xfId="28515"/>
    <cellStyle name="Comma 6 27 3" xfId="28516"/>
    <cellStyle name="Comma 6 27 3 2" xfId="28517"/>
    <cellStyle name="Comma 6 27 4" xfId="28518"/>
    <cellStyle name="Comma 6 27 4 2" xfId="28519"/>
    <cellStyle name="Comma 6 27 5" xfId="28520"/>
    <cellStyle name="Comma 6 27 5 2" xfId="28521"/>
    <cellStyle name="Comma 6 27 6" xfId="28522"/>
    <cellStyle name="Comma 6 27 6 2" xfId="28523"/>
    <cellStyle name="Comma 6 27 7" xfId="28524"/>
    <cellStyle name="Comma 6 27 7 2" xfId="28525"/>
    <cellStyle name="Comma 6 27 8" xfId="28526"/>
    <cellStyle name="Comma 6 27 8 2" xfId="28527"/>
    <cellStyle name="Comma 6 27 9" xfId="28528"/>
    <cellStyle name="Comma 6 27 9 2" xfId="28529"/>
    <cellStyle name="Comma 6 28" xfId="28530"/>
    <cellStyle name="Comma 6 28 10" xfId="28531"/>
    <cellStyle name="Comma 6 28 10 2" xfId="28532"/>
    <cellStyle name="Comma 6 28 11" xfId="28533"/>
    <cellStyle name="Comma 6 28 11 2" xfId="28534"/>
    <cellStyle name="Comma 6 28 12" xfId="28535"/>
    <cellStyle name="Comma 6 28 2" xfId="28536"/>
    <cellStyle name="Comma 6 28 2 2" xfId="28537"/>
    <cellStyle name="Comma 6 28 3" xfId="28538"/>
    <cellStyle name="Comma 6 28 3 2" xfId="28539"/>
    <cellStyle name="Comma 6 28 4" xfId="28540"/>
    <cellStyle name="Comma 6 28 4 2" xfId="28541"/>
    <cellStyle name="Comma 6 28 5" xfId="28542"/>
    <cellStyle name="Comma 6 28 5 2" xfId="28543"/>
    <cellStyle name="Comma 6 28 6" xfId="28544"/>
    <cellStyle name="Comma 6 28 6 2" xfId="28545"/>
    <cellStyle name="Comma 6 28 7" xfId="28546"/>
    <cellStyle name="Comma 6 28 7 2" xfId="28547"/>
    <cellStyle name="Comma 6 28 8" xfId="28548"/>
    <cellStyle name="Comma 6 28 8 2" xfId="28549"/>
    <cellStyle name="Comma 6 28 9" xfId="28550"/>
    <cellStyle name="Comma 6 28 9 2" xfId="28551"/>
    <cellStyle name="Comma 6 29" xfId="28552"/>
    <cellStyle name="Comma 6 29 10" xfId="28553"/>
    <cellStyle name="Comma 6 29 10 2" xfId="28554"/>
    <cellStyle name="Comma 6 29 11" xfId="28555"/>
    <cellStyle name="Comma 6 29 11 2" xfId="28556"/>
    <cellStyle name="Comma 6 29 12" xfId="28557"/>
    <cellStyle name="Comma 6 29 2" xfId="28558"/>
    <cellStyle name="Comma 6 29 2 2" xfId="28559"/>
    <cellStyle name="Comma 6 29 3" xfId="28560"/>
    <cellStyle name="Comma 6 29 3 2" xfId="28561"/>
    <cellStyle name="Comma 6 29 4" xfId="28562"/>
    <cellStyle name="Comma 6 29 4 2" xfId="28563"/>
    <cellStyle name="Comma 6 29 5" xfId="28564"/>
    <cellStyle name="Comma 6 29 5 2" xfId="28565"/>
    <cellStyle name="Comma 6 29 6" xfId="28566"/>
    <cellStyle name="Comma 6 29 6 2" xfId="28567"/>
    <cellStyle name="Comma 6 29 7" xfId="28568"/>
    <cellStyle name="Comma 6 29 7 2" xfId="28569"/>
    <cellStyle name="Comma 6 29 8" xfId="28570"/>
    <cellStyle name="Comma 6 29 8 2" xfId="28571"/>
    <cellStyle name="Comma 6 29 9" xfId="28572"/>
    <cellStyle name="Comma 6 29 9 2" xfId="28573"/>
    <cellStyle name="Comma 6 3" xfId="28574"/>
    <cellStyle name="Comma 6 3 10" xfId="28575"/>
    <cellStyle name="Comma 6 3 10 10" xfId="28576"/>
    <cellStyle name="Comma 6 3 10 10 2" xfId="28577"/>
    <cellStyle name="Comma 6 3 10 11" xfId="28578"/>
    <cellStyle name="Comma 6 3 10 11 2" xfId="28579"/>
    <cellStyle name="Comma 6 3 10 12" xfId="28580"/>
    <cellStyle name="Comma 6 3 10 2" xfId="28581"/>
    <cellStyle name="Comma 6 3 10 2 2" xfId="28582"/>
    <cellStyle name="Comma 6 3 10 3" xfId="28583"/>
    <cellStyle name="Comma 6 3 10 3 2" xfId="28584"/>
    <cellStyle name="Comma 6 3 10 4" xfId="28585"/>
    <cellStyle name="Comma 6 3 10 4 2" xfId="28586"/>
    <cellStyle name="Comma 6 3 10 5" xfId="28587"/>
    <cellStyle name="Comma 6 3 10 5 2" xfId="28588"/>
    <cellStyle name="Comma 6 3 10 6" xfId="28589"/>
    <cellStyle name="Comma 6 3 10 6 2" xfId="28590"/>
    <cellStyle name="Comma 6 3 10 7" xfId="28591"/>
    <cellStyle name="Comma 6 3 10 7 2" xfId="28592"/>
    <cellStyle name="Comma 6 3 10 8" xfId="28593"/>
    <cellStyle name="Comma 6 3 10 8 2" xfId="28594"/>
    <cellStyle name="Comma 6 3 10 9" xfId="28595"/>
    <cellStyle name="Comma 6 3 10 9 2" xfId="28596"/>
    <cellStyle name="Comma 6 3 11" xfId="28597"/>
    <cellStyle name="Comma 6 3 11 10" xfId="28598"/>
    <cellStyle name="Comma 6 3 11 10 2" xfId="28599"/>
    <cellStyle name="Comma 6 3 11 11" xfId="28600"/>
    <cellStyle name="Comma 6 3 11 11 2" xfId="28601"/>
    <cellStyle name="Comma 6 3 11 12" xfId="28602"/>
    <cellStyle name="Comma 6 3 11 2" xfId="28603"/>
    <cellStyle name="Comma 6 3 11 2 2" xfId="28604"/>
    <cellStyle name="Comma 6 3 11 3" xfId="28605"/>
    <cellStyle name="Comma 6 3 11 3 2" xfId="28606"/>
    <cellStyle name="Comma 6 3 11 4" xfId="28607"/>
    <cellStyle name="Comma 6 3 11 4 2" xfId="28608"/>
    <cellStyle name="Comma 6 3 11 5" xfId="28609"/>
    <cellStyle name="Comma 6 3 11 5 2" xfId="28610"/>
    <cellStyle name="Comma 6 3 11 6" xfId="28611"/>
    <cellStyle name="Comma 6 3 11 6 2" xfId="28612"/>
    <cellStyle name="Comma 6 3 11 7" xfId="28613"/>
    <cellStyle name="Comma 6 3 11 7 2" xfId="28614"/>
    <cellStyle name="Comma 6 3 11 8" xfId="28615"/>
    <cellStyle name="Comma 6 3 11 8 2" xfId="28616"/>
    <cellStyle name="Comma 6 3 11 9" xfId="28617"/>
    <cellStyle name="Comma 6 3 11 9 2" xfId="28618"/>
    <cellStyle name="Comma 6 3 12" xfId="28619"/>
    <cellStyle name="Comma 6 3 12 10" xfId="28620"/>
    <cellStyle name="Comma 6 3 12 10 2" xfId="28621"/>
    <cellStyle name="Comma 6 3 12 11" xfId="28622"/>
    <cellStyle name="Comma 6 3 12 11 2" xfId="28623"/>
    <cellStyle name="Comma 6 3 12 12" xfId="28624"/>
    <cellStyle name="Comma 6 3 12 2" xfId="28625"/>
    <cellStyle name="Comma 6 3 12 2 2" xfId="28626"/>
    <cellStyle name="Comma 6 3 12 3" xfId="28627"/>
    <cellStyle name="Comma 6 3 12 3 2" xfId="28628"/>
    <cellStyle name="Comma 6 3 12 4" xfId="28629"/>
    <cellStyle name="Comma 6 3 12 4 2" xfId="28630"/>
    <cellStyle name="Comma 6 3 12 5" xfId="28631"/>
    <cellStyle name="Comma 6 3 12 5 2" xfId="28632"/>
    <cellStyle name="Comma 6 3 12 6" xfId="28633"/>
    <cellStyle name="Comma 6 3 12 6 2" xfId="28634"/>
    <cellStyle name="Comma 6 3 12 7" xfId="28635"/>
    <cellStyle name="Comma 6 3 12 7 2" xfId="28636"/>
    <cellStyle name="Comma 6 3 12 8" xfId="28637"/>
    <cellStyle name="Comma 6 3 12 8 2" xfId="28638"/>
    <cellStyle name="Comma 6 3 12 9" xfId="28639"/>
    <cellStyle name="Comma 6 3 12 9 2" xfId="28640"/>
    <cellStyle name="Comma 6 3 13" xfId="28641"/>
    <cellStyle name="Comma 6 3 13 10" xfId="28642"/>
    <cellStyle name="Comma 6 3 13 10 2" xfId="28643"/>
    <cellStyle name="Comma 6 3 13 11" xfId="28644"/>
    <cellStyle name="Comma 6 3 13 11 2" xfId="28645"/>
    <cellStyle name="Comma 6 3 13 12" xfId="28646"/>
    <cellStyle name="Comma 6 3 13 2" xfId="28647"/>
    <cellStyle name="Comma 6 3 13 2 2" xfId="28648"/>
    <cellStyle name="Comma 6 3 13 3" xfId="28649"/>
    <cellStyle name="Comma 6 3 13 3 2" xfId="28650"/>
    <cellStyle name="Comma 6 3 13 4" xfId="28651"/>
    <cellStyle name="Comma 6 3 13 4 2" xfId="28652"/>
    <cellStyle name="Comma 6 3 13 5" xfId="28653"/>
    <cellStyle name="Comma 6 3 13 5 2" xfId="28654"/>
    <cellStyle name="Comma 6 3 13 6" xfId="28655"/>
    <cellStyle name="Comma 6 3 13 6 2" xfId="28656"/>
    <cellStyle name="Comma 6 3 13 7" xfId="28657"/>
    <cellStyle name="Comma 6 3 13 7 2" xfId="28658"/>
    <cellStyle name="Comma 6 3 13 8" xfId="28659"/>
    <cellStyle name="Comma 6 3 13 8 2" xfId="28660"/>
    <cellStyle name="Comma 6 3 13 9" xfId="28661"/>
    <cellStyle name="Comma 6 3 13 9 2" xfId="28662"/>
    <cellStyle name="Comma 6 3 14" xfId="28663"/>
    <cellStyle name="Comma 6 3 14 10" xfId="28664"/>
    <cellStyle name="Comma 6 3 14 10 2" xfId="28665"/>
    <cellStyle name="Comma 6 3 14 11" xfId="28666"/>
    <cellStyle name="Comma 6 3 14 11 2" xfId="28667"/>
    <cellStyle name="Comma 6 3 14 12" xfId="28668"/>
    <cellStyle name="Comma 6 3 14 2" xfId="28669"/>
    <cellStyle name="Comma 6 3 14 2 2" xfId="28670"/>
    <cellStyle name="Comma 6 3 14 3" xfId="28671"/>
    <cellStyle name="Comma 6 3 14 3 2" xfId="28672"/>
    <cellStyle name="Comma 6 3 14 4" xfId="28673"/>
    <cellStyle name="Comma 6 3 14 4 2" xfId="28674"/>
    <cellStyle name="Comma 6 3 14 5" xfId="28675"/>
    <cellStyle name="Comma 6 3 14 5 2" xfId="28676"/>
    <cellStyle name="Comma 6 3 14 6" xfId="28677"/>
    <cellStyle name="Comma 6 3 14 6 2" xfId="28678"/>
    <cellStyle name="Comma 6 3 14 7" xfId="28679"/>
    <cellStyle name="Comma 6 3 14 7 2" xfId="28680"/>
    <cellStyle name="Comma 6 3 14 8" xfId="28681"/>
    <cellStyle name="Comma 6 3 14 8 2" xfId="28682"/>
    <cellStyle name="Comma 6 3 14 9" xfId="28683"/>
    <cellStyle name="Comma 6 3 14 9 2" xfId="28684"/>
    <cellStyle name="Comma 6 3 15" xfId="28685"/>
    <cellStyle name="Comma 6 3 15 10" xfId="28686"/>
    <cellStyle name="Comma 6 3 15 10 2" xfId="28687"/>
    <cellStyle name="Comma 6 3 15 11" xfId="28688"/>
    <cellStyle name="Comma 6 3 15 11 2" xfId="28689"/>
    <cellStyle name="Comma 6 3 15 12" xfId="28690"/>
    <cellStyle name="Comma 6 3 15 2" xfId="28691"/>
    <cellStyle name="Comma 6 3 15 2 2" xfId="28692"/>
    <cellStyle name="Comma 6 3 15 3" xfId="28693"/>
    <cellStyle name="Comma 6 3 15 3 2" xfId="28694"/>
    <cellStyle name="Comma 6 3 15 4" xfId="28695"/>
    <cellStyle name="Comma 6 3 15 4 2" xfId="28696"/>
    <cellStyle name="Comma 6 3 15 5" xfId="28697"/>
    <cellStyle name="Comma 6 3 15 5 2" xfId="28698"/>
    <cellStyle name="Comma 6 3 15 6" xfId="28699"/>
    <cellStyle name="Comma 6 3 15 6 2" xfId="28700"/>
    <cellStyle name="Comma 6 3 15 7" xfId="28701"/>
    <cellStyle name="Comma 6 3 15 7 2" xfId="28702"/>
    <cellStyle name="Comma 6 3 15 8" xfId="28703"/>
    <cellStyle name="Comma 6 3 15 8 2" xfId="28704"/>
    <cellStyle name="Comma 6 3 15 9" xfId="28705"/>
    <cellStyle name="Comma 6 3 15 9 2" xfId="28706"/>
    <cellStyle name="Comma 6 3 16" xfId="28707"/>
    <cellStyle name="Comma 6 3 16 10" xfId="28708"/>
    <cellStyle name="Comma 6 3 16 10 2" xfId="28709"/>
    <cellStyle name="Comma 6 3 16 11" xfId="28710"/>
    <cellStyle name="Comma 6 3 16 11 2" xfId="28711"/>
    <cellStyle name="Comma 6 3 16 12" xfId="28712"/>
    <cellStyle name="Comma 6 3 16 2" xfId="28713"/>
    <cellStyle name="Comma 6 3 16 2 2" xfId="28714"/>
    <cellStyle name="Comma 6 3 16 3" xfId="28715"/>
    <cellStyle name="Comma 6 3 16 3 2" xfId="28716"/>
    <cellStyle name="Comma 6 3 16 4" xfId="28717"/>
    <cellStyle name="Comma 6 3 16 4 2" xfId="28718"/>
    <cellStyle name="Comma 6 3 16 5" xfId="28719"/>
    <cellStyle name="Comma 6 3 16 5 2" xfId="28720"/>
    <cellStyle name="Comma 6 3 16 6" xfId="28721"/>
    <cellStyle name="Comma 6 3 16 6 2" xfId="28722"/>
    <cellStyle name="Comma 6 3 16 7" xfId="28723"/>
    <cellStyle name="Comma 6 3 16 7 2" xfId="28724"/>
    <cellStyle name="Comma 6 3 16 8" xfId="28725"/>
    <cellStyle name="Comma 6 3 16 8 2" xfId="28726"/>
    <cellStyle name="Comma 6 3 16 9" xfId="28727"/>
    <cellStyle name="Comma 6 3 16 9 2" xfId="28728"/>
    <cellStyle name="Comma 6 3 17" xfId="28729"/>
    <cellStyle name="Comma 6 3 17 10" xfId="28730"/>
    <cellStyle name="Comma 6 3 17 10 2" xfId="28731"/>
    <cellStyle name="Comma 6 3 17 11" xfId="28732"/>
    <cellStyle name="Comma 6 3 17 11 2" xfId="28733"/>
    <cellStyle name="Comma 6 3 17 12" xfId="28734"/>
    <cellStyle name="Comma 6 3 17 2" xfId="28735"/>
    <cellStyle name="Comma 6 3 17 2 2" xfId="28736"/>
    <cellStyle name="Comma 6 3 17 3" xfId="28737"/>
    <cellStyle name="Comma 6 3 17 3 2" xfId="28738"/>
    <cellStyle name="Comma 6 3 17 4" xfId="28739"/>
    <cellStyle name="Comma 6 3 17 4 2" xfId="28740"/>
    <cellStyle name="Comma 6 3 17 5" xfId="28741"/>
    <cellStyle name="Comma 6 3 17 5 2" xfId="28742"/>
    <cellStyle name="Comma 6 3 17 6" xfId="28743"/>
    <cellStyle name="Comma 6 3 17 6 2" xfId="28744"/>
    <cellStyle name="Comma 6 3 17 7" xfId="28745"/>
    <cellStyle name="Comma 6 3 17 7 2" xfId="28746"/>
    <cellStyle name="Comma 6 3 17 8" xfId="28747"/>
    <cellStyle name="Comma 6 3 17 8 2" xfId="28748"/>
    <cellStyle name="Comma 6 3 17 9" xfId="28749"/>
    <cellStyle name="Comma 6 3 17 9 2" xfId="28750"/>
    <cellStyle name="Comma 6 3 18" xfId="28751"/>
    <cellStyle name="Comma 6 3 18 10" xfId="28752"/>
    <cellStyle name="Comma 6 3 18 10 2" xfId="28753"/>
    <cellStyle name="Comma 6 3 18 11" xfId="28754"/>
    <cellStyle name="Comma 6 3 18 11 2" xfId="28755"/>
    <cellStyle name="Comma 6 3 18 12" xfId="28756"/>
    <cellStyle name="Comma 6 3 18 2" xfId="28757"/>
    <cellStyle name="Comma 6 3 18 2 2" xfId="28758"/>
    <cellStyle name="Comma 6 3 18 3" xfId="28759"/>
    <cellStyle name="Comma 6 3 18 3 2" xfId="28760"/>
    <cellStyle name="Comma 6 3 18 4" xfId="28761"/>
    <cellStyle name="Comma 6 3 18 4 2" xfId="28762"/>
    <cellStyle name="Comma 6 3 18 5" xfId="28763"/>
    <cellStyle name="Comma 6 3 18 5 2" xfId="28764"/>
    <cellStyle name="Comma 6 3 18 6" xfId="28765"/>
    <cellStyle name="Comma 6 3 18 6 2" xfId="28766"/>
    <cellStyle name="Comma 6 3 18 7" xfId="28767"/>
    <cellStyle name="Comma 6 3 18 7 2" xfId="28768"/>
    <cellStyle name="Comma 6 3 18 8" xfId="28769"/>
    <cellStyle name="Comma 6 3 18 8 2" xfId="28770"/>
    <cellStyle name="Comma 6 3 18 9" xfId="28771"/>
    <cellStyle name="Comma 6 3 18 9 2" xfId="28772"/>
    <cellStyle name="Comma 6 3 19" xfId="28773"/>
    <cellStyle name="Comma 6 3 19 10" xfId="28774"/>
    <cellStyle name="Comma 6 3 19 10 2" xfId="28775"/>
    <cellStyle name="Comma 6 3 19 11" xfId="28776"/>
    <cellStyle name="Comma 6 3 19 11 2" xfId="28777"/>
    <cellStyle name="Comma 6 3 19 12" xfId="28778"/>
    <cellStyle name="Comma 6 3 19 2" xfId="28779"/>
    <cellStyle name="Comma 6 3 19 2 2" xfId="28780"/>
    <cellStyle name="Comma 6 3 19 3" xfId="28781"/>
    <cellStyle name="Comma 6 3 19 3 2" xfId="28782"/>
    <cellStyle name="Comma 6 3 19 4" xfId="28783"/>
    <cellStyle name="Comma 6 3 19 4 2" xfId="28784"/>
    <cellStyle name="Comma 6 3 19 5" xfId="28785"/>
    <cellStyle name="Comma 6 3 19 5 2" xfId="28786"/>
    <cellStyle name="Comma 6 3 19 6" xfId="28787"/>
    <cellStyle name="Comma 6 3 19 6 2" xfId="28788"/>
    <cellStyle name="Comma 6 3 19 7" xfId="28789"/>
    <cellStyle name="Comma 6 3 19 7 2" xfId="28790"/>
    <cellStyle name="Comma 6 3 19 8" xfId="28791"/>
    <cellStyle name="Comma 6 3 19 8 2" xfId="28792"/>
    <cellStyle name="Comma 6 3 19 9" xfId="28793"/>
    <cellStyle name="Comma 6 3 19 9 2" xfId="28794"/>
    <cellStyle name="Comma 6 3 2" xfId="28795"/>
    <cellStyle name="Comma 6 3 2 10" xfId="28796"/>
    <cellStyle name="Comma 6 3 2 10 2" xfId="28797"/>
    <cellStyle name="Comma 6 3 2 11" xfId="28798"/>
    <cellStyle name="Comma 6 3 2 11 2" xfId="28799"/>
    <cellStyle name="Comma 6 3 2 12" xfId="28800"/>
    <cellStyle name="Comma 6 3 2 13" xfId="40564"/>
    <cellStyle name="Comma 6 3 2 14" xfId="42105"/>
    <cellStyle name="Comma 6 3 2 2" xfId="28801"/>
    <cellStyle name="Comma 6 3 2 2 2" xfId="28802"/>
    <cellStyle name="Comma 6 3 2 3" xfId="28803"/>
    <cellStyle name="Comma 6 3 2 3 2" xfId="28804"/>
    <cellStyle name="Comma 6 3 2 4" xfId="28805"/>
    <cellStyle name="Comma 6 3 2 4 2" xfId="28806"/>
    <cellStyle name="Comma 6 3 2 5" xfId="28807"/>
    <cellStyle name="Comma 6 3 2 5 2" xfId="28808"/>
    <cellStyle name="Comma 6 3 2 6" xfId="28809"/>
    <cellStyle name="Comma 6 3 2 6 2" xfId="28810"/>
    <cellStyle name="Comma 6 3 2 7" xfId="28811"/>
    <cellStyle name="Comma 6 3 2 7 2" xfId="28812"/>
    <cellStyle name="Comma 6 3 2 8" xfId="28813"/>
    <cellStyle name="Comma 6 3 2 8 2" xfId="28814"/>
    <cellStyle name="Comma 6 3 2 9" xfId="28815"/>
    <cellStyle name="Comma 6 3 2 9 2" xfId="28816"/>
    <cellStyle name="Comma 6 3 2_consumption scenario A" xfId="37633"/>
    <cellStyle name="Comma 6 3 20" xfId="28817"/>
    <cellStyle name="Comma 6 3 20 10" xfId="28818"/>
    <cellStyle name="Comma 6 3 20 10 2" xfId="28819"/>
    <cellStyle name="Comma 6 3 20 11" xfId="28820"/>
    <cellStyle name="Comma 6 3 20 11 2" xfId="28821"/>
    <cellStyle name="Comma 6 3 20 12" xfId="28822"/>
    <cellStyle name="Comma 6 3 20 2" xfId="28823"/>
    <cellStyle name="Comma 6 3 20 2 2" xfId="28824"/>
    <cellStyle name="Comma 6 3 20 3" xfId="28825"/>
    <cellStyle name="Comma 6 3 20 3 2" xfId="28826"/>
    <cellStyle name="Comma 6 3 20 4" xfId="28827"/>
    <cellStyle name="Comma 6 3 20 4 2" xfId="28828"/>
    <cellStyle name="Comma 6 3 20 5" xfId="28829"/>
    <cellStyle name="Comma 6 3 20 5 2" xfId="28830"/>
    <cellStyle name="Comma 6 3 20 6" xfId="28831"/>
    <cellStyle name="Comma 6 3 20 6 2" xfId="28832"/>
    <cellStyle name="Comma 6 3 20 7" xfId="28833"/>
    <cellStyle name="Comma 6 3 20 7 2" xfId="28834"/>
    <cellStyle name="Comma 6 3 20 8" xfId="28835"/>
    <cellStyle name="Comma 6 3 20 8 2" xfId="28836"/>
    <cellStyle name="Comma 6 3 20 9" xfId="28837"/>
    <cellStyle name="Comma 6 3 20 9 2" xfId="28838"/>
    <cellStyle name="Comma 6 3 21" xfId="28839"/>
    <cellStyle name="Comma 6 3 21 10" xfId="28840"/>
    <cellStyle name="Comma 6 3 21 10 2" xfId="28841"/>
    <cellStyle name="Comma 6 3 21 11" xfId="28842"/>
    <cellStyle name="Comma 6 3 21 11 2" xfId="28843"/>
    <cellStyle name="Comma 6 3 21 12" xfId="28844"/>
    <cellStyle name="Comma 6 3 21 2" xfId="28845"/>
    <cellStyle name="Comma 6 3 21 2 2" xfId="28846"/>
    <cellStyle name="Comma 6 3 21 3" xfId="28847"/>
    <cellStyle name="Comma 6 3 21 3 2" xfId="28848"/>
    <cellStyle name="Comma 6 3 21 4" xfId="28849"/>
    <cellStyle name="Comma 6 3 21 4 2" xfId="28850"/>
    <cellStyle name="Comma 6 3 21 5" xfId="28851"/>
    <cellStyle name="Comma 6 3 21 5 2" xfId="28852"/>
    <cellStyle name="Comma 6 3 21 6" xfId="28853"/>
    <cellStyle name="Comma 6 3 21 6 2" xfId="28854"/>
    <cellStyle name="Comma 6 3 21 7" xfId="28855"/>
    <cellStyle name="Comma 6 3 21 7 2" xfId="28856"/>
    <cellStyle name="Comma 6 3 21 8" xfId="28857"/>
    <cellStyle name="Comma 6 3 21 8 2" xfId="28858"/>
    <cellStyle name="Comma 6 3 21 9" xfId="28859"/>
    <cellStyle name="Comma 6 3 21 9 2" xfId="28860"/>
    <cellStyle name="Comma 6 3 22" xfId="28861"/>
    <cellStyle name="Comma 6 3 22 10" xfId="28862"/>
    <cellStyle name="Comma 6 3 22 10 2" xfId="28863"/>
    <cellStyle name="Comma 6 3 22 11" xfId="28864"/>
    <cellStyle name="Comma 6 3 22 11 2" xfId="28865"/>
    <cellStyle name="Comma 6 3 22 12" xfId="28866"/>
    <cellStyle name="Comma 6 3 22 2" xfId="28867"/>
    <cellStyle name="Comma 6 3 22 2 2" xfId="28868"/>
    <cellStyle name="Comma 6 3 22 3" xfId="28869"/>
    <cellStyle name="Comma 6 3 22 3 2" xfId="28870"/>
    <cellStyle name="Comma 6 3 22 4" xfId="28871"/>
    <cellStyle name="Comma 6 3 22 4 2" xfId="28872"/>
    <cellStyle name="Comma 6 3 22 5" xfId="28873"/>
    <cellStyle name="Comma 6 3 22 5 2" xfId="28874"/>
    <cellStyle name="Comma 6 3 22 6" xfId="28875"/>
    <cellStyle name="Comma 6 3 22 6 2" xfId="28876"/>
    <cellStyle name="Comma 6 3 22 7" xfId="28877"/>
    <cellStyle name="Comma 6 3 22 7 2" xfId="28878"/>
    <cellStyle name="Comma 6 3 22 8" xfId="28879"/>
    <cellStyle name="Comma 6 3 22 8 2" xfId="28880"/>
    <cellStyle name="Comma 6 3 22 9" xfId="28881"/>
    <cellStyle name="Comma 6 3 22 9 2" xfId="28882"/>
    <cellStyle name="Comma 6 3 23" xfId="28883"/>
    <cellStyle name="Comma 6 3 23 10" xfId="28884"/>
    <cellStyle name="Comma 6 3 23 10 2" xfId="28885"/>
    <cellStyle name="Comma 6 3 23 11" xfId="28886"/>
    <cellStyle name="Comma 6 3 23 11 2" xfId="28887"/>
    <cellStyle name="Comma 6 3 23 12" xfId="28888"/>
    <cellStyle name="Comma 6 3 23 2" xfId="28889"/>
    <cellStyle name="Comma 6 3 23 2 2" xfId="28890"/>
    <cellStyle name="Comma 6 3 23 3" xfId="28891"/>
    <cellStyle name="Comma 6 3 23 3 2" xfId="28892"/>
    <cellStyle name="Comma 6 3 23 4" xfId="28893"/>
    <cellStyle name="Comma 6 3 23 4 2" xfId="28894"/>
    <cellStyle name="Comma 6 3 23 5" xfId="28895"/>
    <cellStyle name="Comma 6 3 23 5 2" xfId="28896"/>
    <cellStyle name="Comma 6 3 23 6" xfId="28897"/>
    <cellStyle name="Comma 6 3 23 6 2" xfId="28898"/>
    <cellStyle name="Comma 6 3 23 7" xfId="28899"/>
    <cellStyle name="Comma 6 3 23 7 2" xfId="28900"/>
    <cellStyle name="Comma 6 3 23 8" xfId="28901"/>
    <cellStyle name="Comma 6 3 23 8 2" xfId="28902"/>
    <cellStyle name="Comma 6 3 23 9" xfId="28903"/>
    <cellStyle name="Comma 6 3 23 9 2" xfId="28904"/>
    <cellStyle name="Comma 6 3 24" xfId="28905"/>
    <cellStyle name="Comma 6 3 24 10" xfId="28906"/>
    <cellStyle name="Comma 6 3 24 10 2" xfId="28907"/>
    <cellStyle name="Comma 6 3 24 11" xfId="28908"/>
    <cellStyle name="Comma 6 3 24 11 2" xfId="28909"/>
    <cellStyle name="Comma 6 3 24 12" xfId="28910"/>
    <cellStyle name="Comma 6 3 24 2" xfId="28911"/>
    <cellStyle name="Comma 6 3 24 2 2" xfId="28912"/>
    <cellStyle name="Comma 6 3 24 3" xfId="28913"/>
    <cellStyle name="Comma 6 3 24 3 2" xfId="28914"/>
    <cellStyle name="Comma 6 3 24 4" xfId="28915"/>
    <cellStyle name="Comma 6 3 24 4 2" xfId="28916"/>
    <cellStyle name="Comma 6 3 24 5" xfId="28917"/>
    <cellStyle name="Comma 6 3 24 5 2" xfId="28918"/>
    <cellStyle name="Comma 6 3 24 6" xfId="28919"/>
    <cellStyle name="Comma 6 3 24 6 2" xfId="28920"/>
    <cellStyle name="Comma 6 3 24 7" xfId="28921"/>
    <cellStyle name="Comma 6 3 24 7 2" xfId="28922"/>
    <cellStyle name="Comma 6 3 24 8" xfId="28923"/>
    <cellStyle name="Comma 6 3 24 8 2" xfId="28924"/>
    <cellStyle name="Comma 6 3 24 9" xfId="28925"/>
    <cellStyle name="Comma 6 3 24 9 2" xfId="28926"/>
    <cellStyle name="Comma 6 3 25" xfId="28927"/>
    <cellStyle name="Comma 6 3 25 10" xfId="28928"/>
    <cellStyle name="Comma 6 3 25 10 2" xfId="28929"/>
    <cellStyle name="Comma 6 3 25 11" xfId="28930"/>
    <cellStyle name="Comma 6 3 25 11 2" xfId="28931"/>
    <cellStyle name="Comma 6 3 25 12" xfId="28932"/>
    <cellStyle name="Comma 6 3 25 2" xfId="28933"/>
    <cellStyle name="Comma 6 3 25 2 2" xfId="28934"/>
    <cellStyle name="Comma 6 3 25 3" xfId="28935"/>
    <cellStyle name="Comma 6 3 25 3 2" xfId="28936"/>
    <cellStyle name="Comma 6 3 25 4" xfId="28937"/>
    <cellStyle name="Comma 6 3 25 4 2" xfId="28938"/>
    <cellStyle name="Comma 6 3 25 5" xfId="28939"/>
    <cellStyle name="Comma 6 3 25 5 2" xfId="28940"/>
    <cellStyle name="Comma 6 3 25 6" xfId="28941"/>
    <cellStyle name="Comma 6 3 25 6 2" xfId="28942"/>
    <cellStyle name="Comma 6 3 25 7" xfId="28943"/>
    <cellStyle name="Comma 6 3 25 7 2" xfId="28944"/>
    <cellStyle name="Comma 6 3 25 8" xfId="28945"/>
    <cellStyle name="Comma 6 3 25 8 2" xfId="28946"/>
    <cellStyle name="Comma 6 3 25 9" xfId="28947"/>
    <cellStyle name="Comma 6 3 25 9 2" xfId="28948"/>
    <cellStyle name="Comma 6 3 26" xfId="28949"/>
    <cellStyle name="Comma 6 3 26 10" xfId="28950"/>
    <cellStyle name="Comma 6 3 26 10 2" xfId="28951"/>
    <cellStyle name="Comma 6 3 26 11" xfId="28952"/>
    <cellStyle name="Comma 6 3 26 11 2" xfId="28953"/>
    <cellStyle name="Comma 6 3 26 12" xfId="28954"/>
    <cellStyle name="Comma 6 3 26 2" xfId="28955"/>
    <cellStyle name="Comma 6 3 26 2 2" xfId="28956"/>
    <cellStyle name="Comma 6 3 26 3" xfId="28957"/>
    <cellStyle name="Comma 6 3 26 3 2" xfId="28958"/>
    <cellStyle name="Comma 6 3 26 4" xfId="28959"/>
    <cellStyle name="Comma 6 3 26 4 2" xfId="28960"/>
    <cellStyle name="Comma 6 3 26 5" xfId="28961"/>
    <cellStyle name="Comma 6 3 26 5 2" xfId="28962"/>
    <cellStyle name="Comma 6 3 26 6" xfId="28963"/>
    <cellStyle name="Comma 6 3 26 6 2" xfId="28964"/>
    <cellStyle name="Comma 6 3 26 7" xfId="28965"/>
    <cellStyle name="Comma 6 3 26 7 2" xfId="28966"/>
    <cellStyle name="Comma 6 3 26 8" xfId="28967"/>
    <cellStyle name="Comma 6 3 26 8 2" xfId="28968"/>
    <cellStyle name="Comma 6 3 26 9" xfId="28969"/>
    <cellStyle name="Comma 6 3 26 9 2" xfId="28970"/>
    <cellStyle name="Comma 6 3 27" xfId="28971"/>
    <cellStyle name="Comma 6 3 27 10" xfId="28972"/>
    <cellStyle name="Comma 6 3 27 10 2" xfId="28973"/>
    <cellStyle name="Comma 6 3 27 11" xfId="28974"/>
    <cellStyle name="Comma 6 3 27 11 2" xfId="28975"/>
    <cellStyle name="Comma 6 3 27 12" xfId="28976"/>
    <cellStyle name="Comma 6 3 27 2" xfId="28977"/>
    <cellStyle name="Comma 6 3 27 2 2" xfId="28978"/>
    <cellStyle name="Comma 6 3 27 3" xfId="28979"/>
    <cellStyle name="Comma 6 3 27 3 2" xfId="28980"/>
    <cellStyle name="Comma 6 3 27 4" xfId="28981"/>
    <cellStyle name="Comma 6 3 27 4 2" xfId="28982"/>
    <cellStyle name="Comma 6 3 27 5" xfId="28983"/>
    <cellStyle name="Comma 6 3 27 5 2" xfId="28984"/>
    <cellStyle name="Comma 6 3 27 6" xfId="28985"/>
    <cellStyle name="Comma 6 3 27 6 2" xfId="28986"/>
    <cellStyle name="Comma 6 3 27 7" xfId="28987"/>
    <cellStyle name="Comma 6 3 27 7 2" xfId="28988"/>
    <cellStyle name="Comma 6 3 27 8" xfId="28989"/>
    <cellStyle name="Comma 6 3 27 8 2" xfId="28990"/>
    <cellStyle name="Comma 6 3 27 9" xfId="28991"/>
    <cellStyle name="Comma 6 3 27 9 2" xfId="28992"/>
    <cellStyle name="Comma 6 3 28" xfId="28993"/>
    <cellStyle name="Comma 6 3 28 10" xfId="28994"/>
    <cellStyle name="Comma 6 3 28 10 2" xfId="28995"/>
    <cellStyle name="Comma 6 3 28 11" xfId="28996"/>
    <cellStyle name="Comma 6 3 28 11 2" xfId="28997"/>
    <cellStyle name="Comma 6 3 28 12" xfId="28998"/>
    <cellStyle name="Comma 6 3 28 2" xfId="28999"/>
    <cellStyle name="Comma 6 3 28 2 2" xfId="29000"/>
    <cellStyle name="Comma 6 3 28 3" xfId="29001"/>
    <cellStyle name="Comma 6 3 28 3 2" xfId="29002"/>
    <cellStyle name="Comma 6 3 28 4" xfId="29003"/>
    <cellStyle name="Comma 6 3 28 4 2" xfId="29004"/>
    <cellStyle name="Comma 6 3 28 5" xfId="29005"/>
    <cellStyle name="Comma 6 3 28 5 2" xfId="29006"/>
    <cellStyle name="Comma 6 3 28 6" xfId="29007"/>
    <cellStyle name="Comma 6 3 28 6 2" xfId="29008"/>
    <cellStyle name="Comma 6 3 28 7" xfId="29009"/>
    <cellStyle name="Comma 6 3 28 7 2" xfId="29010"/>
    <cellStyle name="Comma 6 3 28 8" xfId="29011"/>
    <cellStyle name="Comma 6 3 28 8 2" xfId="29012"/>
    <cellStyle name="Comma 6 3 28 9" xfId="29013"/>
    <cellStyle name="Comma 6 3 28 9 2" xfId="29014"/>
    <cellStyle name="Comma 6 3 29" xfId="29015"/>
    <cellStyle name="Comma 6 3 29 10" xfId="29016"/>
    <cellStyle name="Comma 6 3 29 10 2" xfId="29017"/>
    <cellStyle name="Comma 6 3 29 11" xfId="29018"/>
    <cellStyle name="Comma 6 3 29 11 2" xfId="29019"/>
    <cellStyle name="Comma 6 3 29 12" xfId="29020"/>
    <cellStyle name="Comma 6 3 29 2" xfId="29021"/>
    <cellStyle name="Comma 6 3 29 2 2" xfId="29022"/>
    <cellStyle name="Comma 6 3 29 3" xfId="29023"/>
    <cellStyle name="Comma 6 3 29 3 2" xfId="29024"/>
    <cellStyle name="Comma 6 3 29 4" xfId="29025"/>
    <cellStyle name="Comma 6 3 29 4 2" xfId="29026"/>
    <cellStyle name="Comma 6 3 29 5" xfId="29027"/>
    <cellStyle name="Comma 6 3 29 5 2" xfId="29028"/>
    <cellStyle name="Comma 6 3 29 6" xfId="29029"/>
    <cellStyle name="Comma 6 3 29 6 2" xfId="29030"/>
    <cellStyle name="Comma 6 3 29 7" xfId="29031"/>
    <cellStyle name="Comma 6 3 29 7 2" xfId="29032"/>
    <cellStyle name="Comma 6 3 29 8" xfId="29033"/>
    <cellStyle name="Comma 6 3 29 8 2" xfId="29034"/>
    <cellStyle name="Comma 6 3 29 9" xfId="29035"/>
    <cellStyle name="Comma 6 3 29 9 2" xfId="29036"/>
    <cellStyle name="Comma 6 3 3" xfId="29037"/>
    <cellStyle name="Comma 6 3 3 10" xfId="29038"/>
    <cellStyle name="Comma 6 3 3 10 2" xfId="29039"/>
    <cellStyle name="Comma 6 3 3 11" xfId="29040"/>
    <cellStyle name="Comma 6 3 3 11 2" xfId="29041"/>
    <cellStyle name="Comma 6 3 3 12" xfId="29042"/>
    <cellStyle name="Comma 6 3 3 2" xfId="29043"/>
    <cellStyle name="Comma 6 3 3 2 2" xfId="29044"/>
    <cellStyle name="Comma 6 3 3 3" xfId="29045"/>
    <cellStyle name="Comma 6 3 3 3 2" xfId="29046"/>
    <cellStyle name="Comma 6 3 3 4" xfId="29047"/>
    <cellStyle name="Comma 6 3 3 4 2" xfId="29048"/>
    <cellStyle name="Comma 6 3 3 5" xfId="29049"/>
    <cellStyle name="Comma 6 3 3 5 2" xfId="29050"/>
    <cellStyle name="Comma 6 3 3 6" xfId="29051"/>
    <cellStyle name="Comma 6 3 3 6 2" xfId="29052"/>
    <cellStyle name="Comma 6 3 3 7" xfId="29053"/>
    <cellStyle name="Comma 6 3 3 7 2" xfId="29054"/>
    <cellStyle name="Comma 6 3 3 8" xfId="29055"/>
    <cellStyle name="Comma 6 3 3 8 2" xfId="29056"/>
    <cellStyle name="Comma 6 3 3 9" xfId="29057"/>
    <cellStyle name="Comma 6 3 3 9 2" xfId="29058"/>
    <cellStyle name="Comma 6 3 30" xfId="29059"/>
    <cellStyle name="Comma 6 3 30 10" xfId="29060"/>
    <cellStyle name="Comma 6 3 30 10 2" xfId="29061"/>
    <cellStyle name="Comma 6 3 30 11" xfId="29062"/>
    <cellStyle name="Comma 6 3 30 11 2" xfId="29063"/>
    <cellStyle name="Comma 6 3 30 12" xfId="29064"/>
    <cellStyle name="Comma 6 3 30 2" xfId="29065"/>
    <cellStyle name="Comma 6 3 30 2 2" xfId="29066"/>
    <cellStyle name="Comma 6 3 30 3" xfId="29067"/>
    <cellStyle name="Comma 6 3 30 3 2" xfId="29068"/>
    <cellStyle name="Comma 6 3 30 4" xfId="29069"/>
    <cellStyle name="Comma 6 3 30 4 2" xfId="29070"/>
    <cellStyle name="Comma 6 3 30 5" xfId="29071"/>
    <cellStyle name="Comma 6 3 30 5 2" xfId="29072"/>
    <cellStyle name="Comma 6 3 30 6" xfId="29073"/>
    <cellStyle name="Comma 6 3 30 6 2" xfId="29074"/>
    <cellStyle name="Comma 6 3 30 7" xfId="29075"/>
    <cellStyle name="Comma 6 3 30 7 2" xfId="29076"/>
    <cellStyle name="Comma 6 3 30 8" xfId="29077"/>
    <cellStyle name="Comma 6 3 30 8 2" xfId="29078"/>
    <cellStyle name="Comma 6 3 30 9" xfId="29079"/>
    <cellStyle name="Comma 6 3 30 9 2" xfId="29080"/>
    <cellStyle name="Comma 6 3 31" xfId="29081"/>
    <cellStyle name="Comma 6 3 31 10" xfId="29082"/>
    <cellStyle name="Comma 6 3 31 10 2" xfId="29083"/>
    <cellStyle name="Comma 6 3 31 11" xfId="29084"/>
    <cellStyle name="Comma 6 3 31 11 2" xfId="29085"/>
    <cellStyle name="Comma 6 3 31 12" xfId="29086"/>
    <cellStyle name="Comma 6 3 31 2" xfId="29087"/>
    <cellStyle name="Comma 6 3 31 2 2" xfId="29088"/>
    <cellStyle name="Comma 6 3 31 3" xfId="29089"/>
    <cellStyle name="Comma 6 3 31 3 2" xfId="29090"/>
    <cellStyle name="Comma 6 3 31 4" xfId="29091"/>
    <cellStyle name="Comma 6 3 31 4 2" xfId="29092"/>
    <cellStyle name="Comma 6 3 31 5" xfId="29093"/>
    <cellStyle name="Comma 6 3 31 5 2" xfId="29094"/>
    <cellStyle name="Comma 6 3 31 6" xfId="29095"/>
    <cellStyle name="Comma 6 3 31 6 2" xfId="29096"/>
    <cellStyle name="Comma 6 3 31 7" xfId="29097"/>
    <cellStyle name="Comma 6 3 31 7 2" xfId="29098"/>
    <cellStyle name="Comma 6 3 31 8" xfId="29099"/>
    <cellStyle name="Comma 6 3 31 8 2" xfId="29100"/>
    <cellStyle name="Comma 6 3 31 9" xfId="29101"/>
    <cellStyle name="Comma 6 3 31 9 2" xfId="29102"/>
    <cellStyle name="Comma 6 3 32" xfId="29103"/>
    <cellStyle name="Comma 6 3 32 10" xfId="29104"/>
    <cellStyle name="Comma 6 3 32 10 2" xfId="29105"/>
    <cellStyle name="Comma 6 3 32 11" xfId="29106"/>
    <cellStyle name="Comma 6 3 32 11 2" xfId="29107"/>
    <cellStyle name="Comma 6 3 32 12" xfId="29108"/>
    <cellStyle name="Comma 6 3 32 2" xfId="29109"/>
    <cellStyle name="Comma 6 3 32 2 2" xfId="29110"/>
    <cellStyle name="Comma 6 3 32 3" xfId="29111"/>
    <cellStyle name="Comma 6 3 32 3 2" xfId="29112"/>
    <cellStyle name="Comma 6 3 32 4" xfId="29113"/>
    <cellStyle name="Comma 6 3 32 4 2" xfId="29114"/>
    <cellStyle name="Comma 6 3 32 5" xfId="29115"/>
    <cellStyle name="Comma 6 3 32 5 2" xfId="29116"/>
    <cellStyle name="Comma 6 3 32 6" xfId="29117"/>
    <cellStyle name="Comma 6 3 32 6 2" xfId="29118"/>
    <cellStyle name="Comma 6 3 32 7" xfId="29119"/>
    <cellStyle name="Comma 6 3 32 7 2" xfId="29120"/>
    <cellStyle name="Comma 6 3 32 8" xfId="29121"/>
    <cellStyle name="Comma 6 3 32 8 2" xfId="29122"/>
    <cellStyle name="Comma 6 3 32 9" xfId="29123"/>
    <cellStyle name="Comma 6 3 32 9 2" xfId="29124"/>
    <cellStyle name="Comma 6 3 33" xfId="29125"/>
    <cellStyle name="Comma 6 3 33 10" xfId="29126"/>
    <cellStyle name="Comma 6 3 33 10 2" xfId="29127"/>
    <cellStyle name="Comma 6 3 33 11" xfId="29128"/>
    <cellStyle name="Comma 6 3 33 11 2" xfId="29129"/>
    <cellStyle name="Comma 6 3 33 12" xfId="29130"/>
    <cellStyle name="Comma 6 3 33 2" xfId="29131"/>
    <cellStyle name="Comma 6 3 33 2 2" xfId="29132"/>
    <cellStyle name="Comma 6 3 33 3" xfId="29133"/>
    <cellStyle name="Comma 6 3 33 3 2" xfId="29134"/>
    <cellStyle name="Comma 6 3 33 4" xfId="29135"/>
    <cellStyle name="Comma 6 3 33 4 2" xfId="29136"/>
    <cellStyle name="Comma 6 3 33 5" xfId="29137"/>
    <cellStyle name="Comma 6 3 33 5 2" xfId="29138"/>
    <cellStyle name="Comma 6 3 33 6" xfId="29139"/>
    <cellStyle name="Comma 6 3 33 6 2" xfId="29140"/>
    <cellStyle name="Comma 6 3 33 7" xfId="29141"/>
    <cellStyle name="Comma 6 3 33 7 2" xfId="29142"/>
    <cellStyle name="Comma 6 3 33 8" xfId="29143"/>
    <cellStyle name="Comma 6 3 33 8 2" xfId="29144"/>
    <cellStyle name="Comma 6 3 33 9" xfId="29145"/>
    <cellStyle name="Comma 6 3 33 9 2" xfId="29146"/>
    <cellStyle name="Comma 6 3 34" xfId="29147"/>
    <cellStyle name="Comma 6 3 34 10" xfId="29148"/>
    <cellStyle name="Comma 6 3 34 10 2" xfId="29149"/>
    <cellStyle name="Comma 6 3 34 11" xfId="29150"/>
    <cellStyle name="Comma 6 3 34 11 2" xfId="29151"/>
    <cellStyle name="Comma 6 3 34 12" xfId="29152"/>
    <cellStyle name="Comma 6 3 34 2" xfId="29153"/>
    <cellStyle name="Comma 6 3 34 2 2" xfId="29154"/>
    <cellStyle name="Comma 6 3 34 3" xfId="29155"/>
    <cellStyle name="Comma 6 3 34 3 2" xfId="29156"/>
    <cellStyle name="Comma 6 3 34 4" xfId="29157"/>
    <cellStyle name="Comma 6 3 34 4 2" xfId="29158"/>
    <cellStyle name="Comma 6 3 34 5" xfId="29159"/>
    <cellStyle name="Comma 6 3 34 5 2" xfId="29160"/>
    <cellStyle name="Comma 6 3 34 6" xfId="29161"/>
    <cellStyle name="Comma 6 3 34 6 2" xfId="29162"/>
    <cellStyle name="Comma 6 3 34 7" xfId="29163"/>
    <cellStyle name="Comma 6 3 34 7 2" xfId="29164"/>
    <cellStyle name="Comma 6 3 34 8" xfId="29165"/>
    <cellStyle name="Comma 6 3 34 8 2" xfId="29166"/>
    <cellStyle name="Comma 6 3 34 9" xfId="29167"/>
    <cellStyle name="Comma 6 3 34 9 2" xfId="29168"/>
    <cellStyle name="Comma 6 3 35" xfId="29169"/>
    <cellStyle name="Comma 6 3 35 10" xfId="29170"/>
    <cellStyle name="Comma 6 3 35 10 2" xfId="29171"/>
    <cellStyle name="Comma 6 3 35 11" xfId="29172"/>
    <cellStyle name="Comma 6 3 35 11 2" xfId="29173"/>
    <cellStyle name="Comma 6 3 35 12" xfId="29174"/>
    <cellStyle name="Comma 6 3 35 2" xfId="29175"/>
    <cellStyle name="Comma 6 3 35 2 2" xfId="29176"/>
    <cellStyle name="Comma 6 3 35 3" xfId="29177"/>
    <cellStyle name="Comma 6 3 35 3 2" xfId="29178"/>
    <cellStyle name="Comma 6 3 35 4" xfId="29179"/>
    <cellStyle name="Comma 6 3 35 4 2" xfId="29180"/>
    <cellStyle name="Comma 6 3 35 5" xfId="29181"/>
    <cellStyle name="Comma 6 3 35 5 2" xfId="29182"/>
    <cellStyle name="Comma 6 3 35 6" xfId="29183"/>
    <cellStyle name="Comma 6 3 35 6 2" xfId="29184"/>
    <cellStyle name="Comma 6 3 35 7" xfId="29185"/>
    <cellStyle name="Comma 6 3 35 7 2" xfId="29186"/>
    <cellStyle name="Comma 6 3 35 8" xfId="29187"/>
    <cellStyle name="Comma 6 3 35 8 2" xfId="29188"/>
    <cellStyle name="Comma 6 3 35 9" xfId="29189"/>
    <cellStyle name="Comma 6 3 35 9 2" xfId="29190"/>
    <cellStyle name="Comma 6 3 36" xfId="29191"/>
    <cellStyle name="Comma 6 3 36 10" xfId="29192"/>
    <cellStyle name="Comma 6 3 36 10 2" xfId="29193"/>
    <cellStyle name="Comma 6 3 36 11" xfId="29194"/>
    <cellStyle name="Comma 6 3 36 11 2" xfId="29195"/>
    <cellStyle name="Comma 6 3 36 12" xfId="29196"/>
    <cellStyle name="Comma 6 3 36 2" xfId="29197"/>
    <cellStyle name="Comma 6 3 36 2 2" xfId="29198"/>
    <cellStyle name="Comma 6 3 36 3" xfId="29199"/>
    <cellStyle name="Comma 6 3 36 3 2" xfId="29200"/>
    <cellStyle name="Comma 6 3 36 4" xfId="29201"/>
    <cellStyle name="Comma 6 3 36 4 2" xfId="29202"/>
    <cellStyle name="Comma 6 3 36 5" xfId="29203"/>
    <cellStyle name="Comma 6 3 36 5 2" xfId="29204"/>
    <cellStyle name="Comma 6 3 36 6" xfId="29205"/>
    <cellStyle name="Comma 6 3 36 6 2" xfId="29206"/>
    <cellStyle name="Comma 6 3 36 7" xfId="29207"/>
    <cellStyle name="Comma 6 3 36 7 2" xfId="29208"/>
    <cellStyle name="Comma 6 3 36 8" xfId="29209"/>
    <cellStyle name="Comma 6 3 36 8 2" xfId="29210"/>
    <cellStyle name="Comma 6 3 36 9" xfId="29211"/>
    <cellStyle name="Comma 6 3 36 9 2" xfId="29212"/>
    <cellStyle name="Comma 6 3 37" xfId="29213"/>
    <cellStyle name="Comma 6 3 37 10" xfId="29214"/>
    <cellStyle name="Comma 6 3 37 10 2" xfId="29215"/>
    <cellStyle name="Comma 6 3 37 11" xfId="29216"/>
    <cellStyle name="Comma 6 3 37 11 2" xfId="29217"/>
    <cellStyle name="Comma 6 3 37 12" xfId="29218"/>
    <cellStyle name="Comma 6 3 37 2" xfId="29219"/>
    <cellStyle name="Comma 6 3 37 2 2" xfId="29220"/>
    <cellStyle name="Comma 6 3 37 3" xfId="29221"/>
    <cellStyle name="Comma 6 3 37 3 2" xfId="29222"/>
    <cellStyle name="Comma 6 3 37 4" xfId="29223"/>
    <cellStyle name="Comma 6 3 37 4 2" xfId="29224"/>
    <cellStyle name="Comma 6 3 37 5" xfId="29225"/>
    <cellStyle name="Comma 6 3 37 5 2" xfId="29226"/>
    <cellStyle name="Comma 6 3 37 6" xfId="29227"/>
    <cellStyle name="Comma 6 3 37 6 2" xfId="29228"/>
    <cellStyle name="Comma 6 3 37 7" xfId="29229"/>
    <cellStyle name="Comma 6 3 37 7 2" xfId="29230"/>
    <cellStyle name="Comma 6 3 37 8" xfId="29231"/>
    <cellStyle name="Comma 6 3 37 8 2" xfId="29232"/>
    <cellStyle name="Comma 6 3 37 9" xfId="29233"/>
    <cellStyle name="Comma 6 3 37 9 2" xfId="29234"/>
    <cellStyle name="Comma 6 3 38" xfId="29235"/>
    <cellStyle name="Comma 6 3 38 10" xfId="29236"/>
    <cellStyle name="Comma 6 3 38 10 2" xfId="29237"/>
    <cellStyle name="Comma 6 3 38 11" xfId="29238"/>
    <cellStyle name="Comma 6 3 38 11 2" xfId="29239"/>
    <cellStyle name="Comma 6 3 38 12" xfId="29240"/>
    <cellStyle name="Comma 6 3 38 2" xfId="29241"/>
    <cellStyle name="Comma 6 3 38 2 2" xfId="29242"/>
    <cellStyle name="Comma 6 3 38 3" xfId="29243"/>
    <cellStyle name="Comma 6 3 38 3 2" xfId="29244"/>
    <cellStyle name="Comma 6 3 38 4" xfId="29245"/>
    <cellStyle name="Comma 6 3 38 4 2" xfId="29246"/>
    <cellStyle name="Comma 6 3 38 5" xfId="29247"/>
    <cellStyle name="Comma 6 3 38 5 2" xfId="29248"/>
    <cellStyle name="Comma 6 3 38 6" xfId="29249"/>
    <cellStyle name="Comma 6 3 38 6 2" xfId="29250"/>
    <cellStyle name="Comma 6 3 38 7" xfId="29251"/>
    <cellStyle name="Comma 6 3 38 7 2" xfId="29252"/>
    <cellStyle name="Comma 6 3 38 8" xfId="29253"/>
    <cellStyle name="Comma 6 3 38 8 2" xfId="29254"/>
    <cellStyle name="Comma 6 3 38 9" xfId="29255"/>
    <cellStyle name="Comma 6 3 38 9 2" xfId="29256"/>
    <cellStyle name="Comma 6 3 39" xfId="29257"/>
    <cellStyle name="Comma 6 3 39 10" xfId="29258"/>
    <cellStyle name="Comma 6 3 39 10 2" xfId="29259"/>
    <cellStyle name="Comma 6 3 39 11" xfId="29260"/>
    <cellStyle name="Comma 6 3 39 11 2" xfId="29261"/>
    <cellStyle name="Comma 6 3 39 12" xfId="29262"/>
    <cellStyle name="Comma 6 3 39 2" xfId="29263"/>
    <cellStyle name="Comma 6 3 39 2 2" xfId="29264"/>
    <cellStyle name="Comma 6 3 39 3" xfId="29265"/>
    <cellStyle name="Comma 6 3 39 3 2" xfId="29266"/>
    <cellStyle name="Comma 6 3 39 4" xfId="29267"/>
    <cellStyle name="Comma 6 3 39 4 2" xfId="29268"/>
    <cellStyle name="Comma 6 3 39 5" xfId="29269"/>
    <cellStyle name="Comma 6 3 39 5 2" xfId="29270"/>
    <cellStyle name="Comma 6 3 39 6" xfId="29271"/>
    <cellStyle name="Comma 6 3 39 6 2" xfId="29272"/>
    <cellStyle name="Comma 6 3 39 7" xfId="29273"/>
    <cellStyle name="Comma 6 3 39 7 2" xfId="29274"/>
    <cellStyle name="Comma 6 3 39 8" xfId="29275"/>
    <cellStyle name="Comma 6 3 39 8 2" xfId="29276"/>
    <cellStyle name="Comma 6 3 39 9" xfId="29277"/>
    <cellStyle name="Comma 6 3 39 9 2" xfId="29278"/>
    <cellStyle name="Comma 6 3 4" xfId="29279"/>
    <cellStyle name="Comma 6 3 4 10" xfId="29280"/>
    <cellStyle name="Comma 6 3 4 10 2" xfId="29281"/>
    <cellStyle name="Comma 6 3 4 11" xfId="29282"/>
    <cellStyle name="Comma 6 3 4 11 2" xfId="29283"/>
    <cellStyle name="Comma 6 3 4 12" xfId="29284"/>
    <cellStyle name="Comma 6 3 4 2" xfId="29285"/>
    <cellStyle name="Comma 6 3 4 2 2" xfId="29286"/>
    <cellStyle name="Comma 6 3 4 3" xfId="29287"/>
    <cellStyle name="Comma 6 3 4 3 2" xfId="29288"/>
    <cellStyle name="Comma 6 3 4 4" xfId="29289"/>
    <cellStyle name="Comma 6 3 4 4 2" xfId="29290"/>
    <cellStyle name="Comma 6 3 4 5" xfId="29291"/>
    <cellStyle name="Comma 6 3 4 5 2" xfId="29292"/>
    <cellStyle name="Comma 6 3 4 6" xfId="29293"/>
    <cellStyle name="Comma 6 3 4 6 2" xfId="29294"/>
    <cellStyle name="Comma 6 3 4 7" xfId="29295"/>
    <cellStyle name="Comma 6 3 4 7 2" xfId="29296"/>
    <cellStyle name="Comma 6 3 4 8" xfId="29297"/>
    <cellStyle name="Comma 6 3 4 8 2" xfId="29298"/>
    <cellStyle name="Comma 6 3 4 9" xfId="29299"/>
    <cellStyle name="Comma 6 3 4 9 2" xfId="29300"/>
    <cellStyle name="Comma 6 3 40" xfId="29301"/>
    <cellStyle name="Comma 6 3 40 2" xfId="29302"/>
    <cellStyle name="Comma 6 3 41" xfId="29303"/>
    <cellStyle name="Comma 6 3 41 2" xfId="29304"/>
    <cellStyle name="Comma 6 3 42" xfId="29305"/>
    <cellStyle name="Comma 6 3 42 2" xfId="29306"/>
    <cellStyle name="Comma 6 3 43" xfId="29307"/>
    <cellStyle name="Comma 6 3 43 2" xfId="29308"/>
    <cellStyle name="Comma 6 3 44" xfId="29309"/>
    <cellStyle name="Comma 6 3 44 2" xfId="29310"/>
    <cellStyle name="Comma 6 3 45" xfId="29311"/>
    <cellStyle name="Comma 6 3 45 2" xfId="29312"/>
    <cellStyle name="Comma 6 3 46" xfId="29313"/>
    <cellStyle name="Comma 6 3 46 2" xfId="29314"/>
    <cellStyle name="Comma 6 3 47" xfId="29315"/>
    <cellStyle name="Comma 6 3 47 2" xfId="29316"/>
    <cellStyle name="Comma 6 3 48" xfId="29317"/>
    <cellStyle name="Comma 6 3 48 2" xfId="29318"/>
    <cellStyle name="Comma 6 3 49" xfId="29319"/>
    <cellStyle name="Comma 6 3 49 2" xfId="29320"/>
    <cellStyle name="Comma 6 3 5" xfId="29321"/>
    <cellStyle name="Comma 6 3 5 10" xfId="29322"/>
    <cellStyle name="Comma 6 3 5 10 2" xfId="29323"/>
    <cellStyle name="Comma 6 3 5 11" xfId="29324"/>
    <cellStyle name="Comma 6 3 5 11 2" xfId="29325"/>
    <cellStyle name="Comma 6 3 5 12" xfId="29326"/>
    <cellStyle name="Comma 6 3 5 2" xfId="29327"/>
    <cellStyle name="Comma 6 3 5 2 2" xfId="29328"/>
    <cellStyle name="Comma 6 3 5 3" xfId="29329"/>
    <cellStyle name="Comma 6 3 5 3 2" xfId="29330"/>
    <cellStyle name="Comma 6 3 5 4" xfId="29331"/>
    <cellStyle name="Comma 6 3 5 4 2" xfId="29332"/>
    <cellStyle name="Comma 6 3 5 5" xfId="29333"/>
    <cellStyle name="Comma 6 3 5 5 2" xfId="29334"/>
    <cellStyle name="Comma 6 3 5 6" xfId="29335"/>
    <cellStyle name="Comma 6 3 5 6 2" xfId="29336"/>
    <cellStyle name="Comma 6 3 5 7" xfId="29337"/>
    <cellStyle name="Comma 6 3 5 7 2" xfId="29338"/>
    <cellStyle name="Comma 6 3 5 8" xfId="29339"/>
    <cellStyle name="Comma 6 3 5 8 2" xfId="29340"/>
    <cellStyle name="Comma 6 3 5 9" xfId="29341"/>
    <cellStyle name="Comma 6 3 5 9 2" xfId="29342"/>
    <cellStyle name="Comma 6 3 50" xfId="29343"/>
    <cellStyle name="Comma 6 3 50 2" xfId="29344"/>
    <cellStyle name="Comma 6 3 51" xfId="29345"/>
    <cellStyle name="Comma 6 3 51 2" xfId="29346"/>
    <cellStyle name="Comma 6 3 52" xfId="29347"/>
    <cellStyle name="Comma 6 3 53" xfId="38550"/>
    <cellStyle name="Comma 6 3 54" xfId="39846"/>
    <cellStyle name="Comma 6 3 55" xfId="41387"/>
    <cellStyle name="Comma 6 3 6" xfId="29348"/>
    <cellStyle name="Comma 6 3 6 10" xfId="29349"/>
    <cellStyle name="Comma 6 3 6 10 2" xfId="29350"/>
    <cellStyle name="Comma 6 3 6 11" xfId="29351"/>
    <cellStyle name="Comma 6 3 6 11 2" xfId="29352"/>
    <cellStyle name="Comma 6 3 6 12" xfId="29353"/>
    <cellStyle name="Comma 6 3 6 2" xfId="29354"/>
    <cellStyle name="Comma 6 3 6 2 2" xfId="29355"/>
    <cellStyle name="Comma 6 3 6 3" xfId="29356"/>
    <cellStyle name="Comma 6 3 6 3 2" xfId="29357"/>
    <cellStyle name="Comma 6 3 6 4" xfId="29358"/>
    <cellStyle name="Comma 6 3 6 4 2" xfId="29359"/>
    <cellStyle name="Comma 6 3 6 5" xfId="29360"/>
    <cellStyle name="Comma 6 3 6 5 2" xfId="29361"/>
    <cellStyle name="Comma 6 3 6 6" xfId="29362"/>
    <cellStyle name="Comma 6 3 6 6 2" xfId="29363"/>
    <cellStyle name="Comma 6 3 6 7" xfId="29364"/>
    <cellStyle name="Comma 6 3 6 7 2" xfId="29365"/>
    <cellStyle name="Comma 6 3 6 8" xfId="29366"/>
    <cellStyle name="Comma 6 3 6 8 2" xfId="29367"/>
    <cellStyle name="Comma 6 3 6 9" xfId="29368"/>
    <cellStyle name="Comma 6 3 6 9 2" xfId="29369"/>
    <cellStyle name="Comma 6 3 7" xfId="29370"/>
    <cellStyle name="Comma 6 3 7 10" xfId="29371"/>
    <cellStyle name="Comma 6 3 7 10 2" xfId="29372"/>
    <cellStyle name="Comma 6 3 7 11" xfId="29373"/>
    <cellStyle name="Comma 6 3 7 11 2" xfId="29374"/>
    <cellStyle name="Comma 6 3 7 12" xfId="29375"/>
    <cellStyle name="Comma 6 3 7 2" xfId="29376"/>
    <cellStyle name="Comma 6 3 7 2 2" xfId="29377"/>
    <cellStyle name="Comma 6 3 7 3" xfId="29378"/>
    <cellStyle name="Comma 6 3 7 3 2" xfId="29379"/>
    <cellStyle name="Comma 6 3 7 4" xfId="29380"/>
    <cellStyle name="Comma 6 3 7 4 2" xfId="29381"/>
    <cellStyle name="Comma 6 3 7 5" xfId="29382"/>
    <cellStyle name="Comma 6 3 7 5 2" xfId="29383"/>
    <cellStyle name="Comma 6 3 7 6" xfId="29384"/>
    <cellStyle name="Comma 6 3 7 6 2" xfId="29385"/>
    <cellStyle name="Comma 6 3 7 7" xfId="29386"/>
    <cellStyle name="Comma 6 3 7 7 2" xfId="29387"/>
    <cellStyle name="Comma 6 3 7 8" xfId="29388"/>
    <cellStyle name="Comma 6 3 7 8 2" xfId="29389"/>
    <cellStyle name="Comma 6 3 7 9" xfId="29390"/>
    <cellStyle name="Comma 6 3 7 9 2" xfId="29391"/>
    <cellStyle name="Comma 6 3 8" xfId="29392"/>
    <cellStyle name="Comma 6 3 8 10" xfId="29393"/>
    <cellStyle name="Comma 6 3 8 10 2" xfId="29394"/>
    <cellStyle name="Comma 6 3 8 11" xfId="29395"/>
    <cellStyle name="Comma 6 3 8 11 2" xfId="29396"/>
    <cellStyle name="Comma 6 3 8 12" xfId="29397"/>
    <cellStyle name="Comma 6 3 8 2" xfId="29398"/>
    <cellStyle name="Comma 6 3 8 2 2" xfId="29399"/>
    <cellStyle name="Comma 6 3 8 3" xfId="29400"/>
    <cellStyle name="Comma 6 3 8 3 2" xfId="29401"/>
    <cellStyle name="Comma 6 3 8 4" xfId="29402"/>
    <cellStyle name="Comma 6 3 8 4 2" xfId="29403"/>
    <cellStyle name="Comma 6 3 8 5" xfId="29404"/>
    <cellStyle name="Comma 6 3 8 5 2" xfId="29405"/>
    <cellStyle name="Comma 6 3 8 6" xfId="29406"/>
    <cellStyle name="Comma 6 3 8 6 2" xfId="29407"/>
    <cellStyle name="Comma 6 3 8 7" xfId="29408"/>
    <cellStyle name="Comma 6 3 8 7 2" xfId="29409"/>
    <cellStyle name="Comma 6 3 8 8" xfId="29410"/>
    <cellStyle name="Comma 6 3 8 8 2" xfId="29411"/>
    <cellStyle name="Comma 6 3 8 9" xfId="29412"/>
    <cellStyle name="Comma 6 3 8 9 2" xfId="29413"/>
    <cellStyle name="Comma 6 3 9" xfId="29414"/>
    <cellStyle name="Comma 6 3 9 10" xfId="29415"/>
    <cellStyle name="Comma 6 3 9 10 2" xfId="29416"/>
    <cellStyle name="Comma 6 3 9 11" xfId="29417"/>
    <cellStyle name="Comma 6 3 9 11 2" xfId="29418"/>
    <cellStyle name="Comma 6 3 9 12" xfId="29419"/>
    <cellStyle name="Comma 6 3 9 2" xfId="29420"/>
    <cellStyle name="Comma 6 3 9 2 2" xfId="29421"/>
    <cellStyle name="Comma 6 3 9 3" xfId="29422"/>
    <cellStyle name="Comma 6 3 9 3 2" xfId="29423"/>
    <cellStyle name="Comma 6 3 9 4" xfId="29424"/>
    <cellStyle name="Comma 6 3 9 4 2" xfId="29425"/>
    <cellStyle name="Comma 6 3 9 5" xfId="29426"/>
    <cellStyle name="Comma 6 3 9 5 2" xfId="29427"/>
    <cellStyle name="Comma 6 3 9 6" xfId="29428"/>
    <cellStyle name="Comma 6 3 9 6 2" xfId="29429"/>
    <cellStyle name="Comma 6 3 9 7" xfId="29430"/>
    <cellStyle name="Comma 6 3 9 7 2" xfId="29431"/>
    <cellStyle name="Comma 6 3 9 8" xfId="29432"/>
    <cellStyle name="Comma 6 3 9 8 2" xfId="29433"/>
    <cellStyle name="Comma 6 3 9 9" xfId="29434"/>
    <cellStyle name="Comma 6 3 9 9 2" xfId="29435"/>
    <cellStyle name="Comma 6 3_consumption scenario A" xfId="37632"/>
    <cellStyle name="Comma 6 30" xfId="29436"/>
    <cellStyle name="Comma 6 30 10" xfId="29437"/>
    <cellStyle name="Comma 6 30 10 2" xfId="29438"/>
    <cellStyle name="Comma 6 30 11" xfId="29439"/>
    <cellStyle name="Comma 6 30 11 2" xfId="29440"/>
    <cellStyle name="Comma 6 30 12" xfId="29441"/>
    <cellStyle name="Comma 6 30 2" xfId="29442"/>
    <cellStyle name="Comma 6 30 2 2" xfId="29443"/>
    <cellStyle name="Comma 6 30 3" xfId="29444"/>
    <cellStyle name="Comma 6 30 3 2" xfId="29445"/>
    <cellStyle name="Comma 6 30 4" xfId="29446"/>
    <cellStyle name="Comma 6 30 4 2" xfId="29447"/>
    <cellStyle name="Comma 6 30 5" xfId="29448"/>
    <cellStyle name="Comma 6 30 5 2" xfId="29449"/>
    <cellStyle name="Comma 6 30 6" xfId="29450"/>
    <cellStyle name="Comma 6 30 6 2" xfId="29451"/>
    <cellStyle name="Comma 6 30 7" xfId="29452"/>
    <cellStyle name="Comma 6 30 7 2" xfId="29453"/>
    <cellStyle name="Comma 6 30 8" xfId="29454"/>
    <cellStyle name="Comma 6 30 8 2" xfId="29455"/>
    <cellStyle name="Comma 6 30 9" xfId="29456"/>
    <cellStyle name="Comma 6 30 9 2" xfId="29457"/>
    <cellStyle name="Comma 6 31" xfId="29458"/>
    <cellStyle name="Comma 6 31 10" xfId="29459"/>
    <cellStyle name="Comma 6 31 10 2" xfId="29460"/>
    <cellStyle name="Comma 6 31 11" xfId="29461"/>
    <cellStyle name="Comma 6 31 11 2" xfId="29462"/>
    <cellStyle name="Comma 6 31 12" xfId="29463"/>
    <cellStyle name="Comma 6 31 2" xfId="29464"/>
    <cellStyle name="Comma 6 31 2 2" xfId="29465"/>
    <cellStyle name="Comma 6 31 3" xfId="29466"/>
    <cellStyle name="Comma 6 31 3 2" xfId="29467"/>
    <cellStyle name="Comma 6 31 4" xfId="29468"/>
    <cellStyle name="Comma 6 31 4 2" xfId="29469"/>
    <cellStyle name="Comma 6 31 5" xfId="29470"/>
    <cellStyle name="Comma 6 31 5 2" xfId="29471"/>
    <cellStyle name="Comma 6 31 6" xfId="29472"/>
    <cellStyle name="Comma 6 31 6 2" xfId="29473"/>
    <cellStyle name="Comma 6 31 7" xfId="29474"/>
    <cellStyle name="Comma 6 31 7 2" xfId="29475"/>
    <cellStyle name="Comma 6 31 8" xfId="29476"/>
    <cellStyle name="Comma 6 31 8 2" xfId="29477"/>
    <cellStyle name="Comma 6 31 9" xfId="29478"/>
    <cellStyle name="Comma 6 31 9 2" xfId="29479"/>
    <cellStyle name="Comma 6 32" xfId="29480"/>
    <cellStyle name="Comma 6 32 10" xfId="29481"/>
    <cellStyle name="Comma 6 32 10 2" xfId="29482"/>
    <cellStyle name="Comma 6 32 11" xfId="29483"/>
    <cellStyle name="Comma 6 32 11 2" xfId="29484"/>
    <cellStyle name="Comma 6 32 12" xfId="29485"/>
    <cellStyle name="Comma 6 32 2" xfId="29486"/>
    <cellStyle name="Comma 6 32 2 2" xfId="29487"/>
    <cellStyle name="Comma 6 32 3" xfId="29488"/>
    <cellStyle name="Comma 6 32 3 2" xfId="29489"/>
    <cellStyle name="Comma 6 32 4" xfId="29490"/>
    <cellStyle name="Comma 6 32 4 2" xfId="29491"/>
    <cellStyle name="Comma 6 32 5" xfId="29492"/>
    <cellStyle name="Comma 6 32 5 2" xfId="29493"/>
    <cellStyle name="Comma 6 32 6" xfId="29494"/>
    <cellStyle name="Comma 6 32 6 2" xfId="29495"/>
    <cellStyle name="Comma 6 32 7" xfId="29496"/>
    <cellStyle name="Comma 6 32 7 2" xfId="29497"/>
    <cellStyle name="Comma 6 32 8" xfId="29498"/>
    <cellStyle name="Comma 6 32 8 2" xfId="29499"/>
    <cellStyle name="Comma 6 32 9" xfId="29500"/>
    <cellStyle name="Comma 6 32 9 2" xfId="29501"/>
    <cellStyle name="Comma 6 33" xfId="29502"/>
    <cellStyle name="Comma 6 33 10" xfId="29503"/>
    <cellStyle name="Comma 6 33 10 2" xfId="29504"/>
    <cellStyle name="Comma 6 33 11" xfId="29505"/>
    <cellStyle name="Comma 6 33 11 2" xfId="29506"/>
    <cellStyle name="Comma 6 33 12" xfId="29507"/>
    <cellStyle name="Comma 6 33 2" xfId="29508"/>
    <cellStyle name="Comma 6 33 2 2" xfId="29509"/>
    <cellStyle name="Comma 6 33 3" xfId="29510"/>
    <cellStyle name="Comma 6 33 3 2" xfId="29511"/>
    <cellStyle name="Comma 6 33 4" xfId="29512"/>
    <cellStyle name="Comma 6 33 4 2" xfId="29513"/>
    <cellStyle name="Comma 6 33 5" xfId="29514"/>
    <cellStyle name="Comma 6 33 5 2" xfId="29515"/>
    <cellStyle name="Comma 6 33 6" xfId="29516"/>
    <cellStyle name="Comma 6 33 6 2" xfId="29517"/>
    <cellStyle name="Comma 6 33 7" xfId="29518"/>
    <cellStyle name="Comma 6 33 7 2" xfId="29519"/>
    <cellStyle name="Comma 6 33 8" xfId="29520"/>
    <cellStyle name="Comma 6 33 8 2" xfId="29521"/>
    <cellStyle name="Comma 6 33 9" xfId="29522"/>
    <cellStyle name="Comma 6 33 9 2" xfId="29523"/>
    <cellStyle name="Comma 6 34" xfId="29524"/>
    <cellStyle name="Comma 6 34 10" xfId="29525"/>
    <cellStyle name="Comma 6 34 10 2" xfId="29526"/>
    <cellStyle name="Comma 6 34 11" xfId="29527"/>
    <cellStyle name="Comma 6 34 11 2" xfId="29528"/>
    <cellStyle name="Comma 6 34 12" xfId="29529"/>
    <cellStyle name="Comma 6 34 2" xfId="29530"/>
    <cellStyle name="Comma 6 34 2 2" xfId="29531"/>
    <cellStyle name="Comma 6 34 3" xfId="29532"/>
    <cellStyle name="Comma 6 34 3 2" xfId="29533"/>
    <cellStyle name="Comma 6 34 4" xfId="29534"/>
    <cellStyle name="Comma 6 34 4 2" xfId="29535"/>
    <cellStyle name="Comma 6 34 5" xfId="29536"/>
    <cellStyle name="Comma 6 34 5 2" xfId="29537"/>
    <cellStyle name="Comma 6 34 6" xfId="29538"/>
    <cellStyle name="Comma 6 34 6 2" xfId="29539"/>
    <cellStyle name="Comma 6 34 7" xfId="29540"/>
    <cellStyle name="Comma 6 34 7 2" xfId="29541"/>
    <cellStyle name="Comma 6 34 8" xfId="29542"/>
    <cellStyle name="Comma 6 34 8 2" xfId="29543"/>
    <cellStyle name="Comma 6 34 9" xfId="29544"/>
    <cellStyle name="Comma 6 34 9 2" xfId="29545"/>
    <cellStyle name="Comma 6 35" xfId="29546"/>
    <cellStyle name="Comma 6 35 10" xfId="29547"/>
    <cellStyle name="Comma 6 35 10 2" xfId="29548"/>
    <cellStyle name="Comma 6 35 11" xfId="29549"/>
    <cellStyle name="Comma 6 35 11 2" xfId="29550"/>
    <cellStyle name="Comma 6 35 12" xfId="29551"/>
    <cellStyle name="Comma 6 35 2" xfId="29552"/>
    <cellStyle name="Comma 6 35 2 2" xfId="29553"/>
    <cellStyle name="Comma 6 35 3" xfId="29554"/>
    <cellStyle name="Comma 6 35 3 2" xfId="29555"/>
    <cellStyle name="Comma 6 35 4" xfId="29556"/>
    <cellStyle name="Comma 6 35 4 2" xfId="29557"/>
    <cellStyle name="Comma 6 35 5" xfId="29558"/>
    <cellStyle name="Comma 6 35 5 2" xfId="29559"/>
    <cellStyle name="Comma 6 35 6" xfId="29560"/>
    <cellStyle name="Comma 6 35 6 2" xfId="29561"/>
    <cellStyle name="Comma 6 35 7" xfId="29562"/>
    <cellStyle name="Comma 6 35 7 2" xfId="29563"/>
    <cellStyle name="Comma 6 35 8" xfId="29564"/>
    <cellStyle name="Comma 6 35 8 2" xfId="29565"/>
    <cellStyle name="Comma 6 35 9" xfId="29566"/>
    <cellStyle name="Comma 6 35 9 2" xfId="29567"/>
    <cellStyle name="Comma 6 36" xfId="29568"/>
    <cellStyle name="Comma 6 36 10" xfId="29569"/>
    <cellStyle name="Comma 6 36 10 2" xfId="29570"/>
    <cellStyle name="Comma 6 36 11" xfId="29571"/>
    <cellStyle name="Comma 6 36 11 2" xfId="29572"/>
    <cellStyle name="Comma 6 36 12" xfId="29573"/>
    <cellStyle name="Comma 6 36 2" xfId="29574"/>
    <cellStyle name="Comma 6 36 2 2" xfId="29575"/>
    <cellStyle name="Comma 6 36 3" xfId="29576"/>
    <cellStyle name="Comma 6 36 3 2" xfId="29577"/>
    <cellStyle name="Comma 6 36 4" xfId="29578"/>
    <cellStyle name="Comma 6 36 4 2" xfId="29579"/>
    <cellStyle name="Comma 6 36 5" xfId="29580"/>
    <cellStyle name="Comma 6 36 5 2" xfId="29581"/>
    <cellStyle name="Comma 6 36 6" xfId="29582"/>
    <cellStyle name="Comma 6 36 6 2" xfId="29583"/>
    <cellStyle name="Comma 6 36 7" xfId="29584"/>
    <cellStyle name="Comma 6 36 7 2" xfId="29585"/>
    <cellStyle name="Comma 6 36 8" xfId="29586"/>
    <cellStyle name="Comma 6 36 8 2" xfId="29587"/>
    <cellStyle name="Comma 6 36 9" xfId="29588"/>
    <cellStyle name="Comma 6 36 9 2" xfId="29589"/>
    <cellStyle name="Comma 6 37" xfId="29590"/>
    <cellStyle name="Comma 6 37 10" xfId="29591"/>
    <cellStyle name="Comma 6 37 10 2" xfId="29592"/>
    <cellStyle name="Comma 6 37 11" xfId="29593"/>
    <cellStyle name="Comma 6 37 11 2" xfId="29594"/>
    <cellStyle name="Comma 6 37 12" xfId="29595"/>
    <cellStyle name="Comma 6 37 2" xfId="29596"/>
    <cellStyle name="Comma 6 37 2 2" xfId="29597"/>
    <cellStyle name="Comma 6 37 3" xfId="29598"/>
    <cellStyle name="Comma 6 37 3 2" xfId="29599"/>
    <cellStyle name="Comma 6 37 4" xfId="29600"/>
    <cellStyle name="Comma 6 37 4 2" xfId="29601"/>
    <cellStyle name="Comma 6 37 5" xfId="29602"/>
    <cellStyle name="Comma 6 37 5 2" xfId="29603"/>
    <cellStyle name="Comma 6 37 6" xfId="29604"/>
    <cellStyle name="Comma 6 37 6 2" xfId="29605"/>
    <cellStyle name="Comma 6 37 7" xfId="29606"/>
    <cellStyle name="Comma 6 37 7 2" xfId="29607"/>
    <cellStyle name="Comma 6 37 8" xfId="29608"/>
    <cellStyle name="Comma 6 37 8 2" xfId="29609"/>
    <cellStyle name="Comma 6 37 9" xfId="29610"/>
    <cellStyle name="Comma 6 37 9 2" xfId="29611"/>
    <cellStyle name="Comma 6 38" xfId="29612"/>
    <cellStyle name="Comma 6 38 10" xfId="29613"/>
    <cellStyle name="Comma 6 38 10 2" xfId="29614"/>
    <cellStyle name="Comma 6 38 11" xfId="29615"/>
    <cellStyle name="Comma 6 38 11 2" xfId="29616"/>
    <cellStyle name="Comma 6 38 12" xfId="29617"/>
    <cellStyle name="Comma 6 38 2" xfId="29618"/>
    <cellStyle name="Comma 6 38 2 2" xfId="29619"/>
    <cellStyle name="Comma 6 38 3" xfId="29620"/>
    <cellStyle name="Comma 6 38 3 2" xfId="29621"/>
    <cellStyle name="Comma 6 38 4" xfId="29622"/>
    <cellStyle name="Comma 6 38 4 2" xfId="29623"/>
    <cellStyle name="Comma 6 38 5" xfId="29624"/>
    <cellStyle name="Comma 6 38 5 2" xfId="29625"/>
    <cellStyle name="Comma 6 38 6" xfId="29626"/>
    <cellStyle name="Comma 6 38 6 2" xfId="29627"/>
    <cellStyle name="Comma 6 38 7" xfId="29628"/>
    <cellStyle name="Comma 6 38 7 2" xfId="29629"/>
    <cellStyle name="Comma 6 38 8" xfId="29630"/>
    <cellStyle name="Comma 6 38 8 2" xfId="29631"/>
    <cellStyle name="Comma 6 38 9" xfId="29632"/>
    <cellStyle name="Comma 6 38 9 2" xfId="29633"/>
    <cellStyle name="Comma 6 39" xfId="29634"/>
    <cellStyle name="Comma 6 39 10" xfId="29635"/>
    <cellStyle name="Comma 6 39 10 2" xfId="29636"/>
    <cellStyle name="Comma 6 39 11" xfId="29637"/>
    <cellStyle name="Comma 6 39 11 2" xfId="29638"/>
    <cellStyle name="Comma 6 39 12" xfId="29639"/>
    <cellStyle name="Comma 6 39 2" xfId="29640"/>
    <cellStyle name="Comma 6 39 2 2" xfId="29641"/>
    <cellStyle name="Comma 6 39 3" xfId="29642"/>
    <cellStyle name="Comma 6 39 3 2" xfId="29643"/>
    <cellStyle name="Comma 6 39 4" xfId="29644"/>
    <cellStyle name="Comma 6 39 4 2" xfId="29645"/>
    <cellStyle name="Comma 6 39 5" xfId="29646"/>
    <cellStyle name="Comma 6 39 5 2" xfId="29647"/>
    <cellStyle name="Comma 6 39 6" xfId="29648"/>
    <cellStyle name="Comma 6 39 6 2" xfId="29649"/>
    <cellStyle name="Comma 6 39 7" xfId="29650"/>
    <cellStyle name="Comma 6 39 7 2" xfId="29651"/>
    <cellStyle name="Comma 6 39 8" xfId="29652"/>
    <cellStyle name="Comma 6 39 8 2" xfId="29653"/>
    <cellStyle name="Comma 6 39 9" xfId="29654"/>
    <cellStyle name="Comma 6 39 9 2" xfId="29655"/>
    <cellStyle name="Comma 6 4" xfId="29656"/>
    <cellStyle name="Comma 6 4 10" xfId="29657"/>
    <cellStyle name="Comma 6 4 10 10" xfId="29658"/>
    <cellStyle name="Comma 6 4 10 10 2" xfId="29659"/>
    <cellStyle name="Comma 6 4 10 11" xfId="29660"/>
    <cellStyle name="Comma 6 4 10 11 2" xfId="29661"/>
    <cellStyle name="Comma 6 4 10 12" xfId="29662"/>
    <cellStyle name="Comma 6 4 10 2" xfId="29663"/>
    <cellStyle name="Comma 6 4 10 2 2" xfId="29664"/>
    <cellStyle name="Comma 6 4 10 3" xfId="29665"/>
    <cellStyle name="Comma 6 4 10 3 2" xfId="29666"/>
    <cellStyle name="Comma 6 4 10 4" xfId="29667"/>
    <cellStyle name="Comma 6 4 10 4 2" xfId="29668"/>
    <cellStyle name="Comma 6 4 10 5" xfId="29669"/>
    <cellStyle name="Comma 6 4 10 5 2" xfId="29670"/>
    <cellStyle name="Comma 6 4 10 6" xfId="29671"/>
    <cellStyle name="Comma 6 4 10 6 2" xfId="29672"/>
    <cellStyle name="Comma 6 4 10 7" xfId="29673"/>
    <cellStyle name="Comma 6 4 10 7 2" xfId="29674"/>
    <cellStyle name="Comma 6 4 10 8" xfId="29675"/>
    <cellStyle name="Comma 6 4 10 8 2" xfId="29676"/>
    <cellStyle name="Comma 6 4 10 9" xfId="29677"/>
    <cellStyle name="Comma 6 4 10 9 2" xfId="29678"/>
    <cellStyle name="Comma 6 4 11" xfId="29679"/>
    <cellStyle name="Comma 6 4 11 10" xfId="29680"/>
    <cellStyle name="Comma 6 4 11 10 2" xfId="29681"/>
    <cellStyle name="Comma 6 4 11 11" xfId="29682"/>
    <cellStyle name="Comma 6 4 11 11 2" xfId="29683"/>
    <cellStyle name="Comma 6 4 11 12" xfId="29684"/>
    <cellStyle name="Comma 6 4 11 2" xfId="29685"/>
    <cellStyle name="Comma 6 4 11 2 2" xfId="29686"/>
    <cellStyle name="Comma 6 4 11 3" xfId="29687"/>
    <cellStyle name="Comma 6 4 11 3 2" xfId="29688"/>
    <cellStyle name="Comma 6 4 11 4" xfId="29689"/>
    <cellStyle name="Comma 6 4 11 4 2" xfId="29690"/>
    <cellStyle name="Comma 6 4 11 5" xfId="29691"/>
    <cellStyle name="Comma 6 4 11 5 2" xfId="29692"/>
    <cellStyle name="Comma 6 4 11 6" xfId="29693"/>
    <cellStyle name="Comma 6 4 11 6 2" xfId="29694"/>
    <cellStyle name="Comma 6 4 11 7" xfId="29695"/>
    <cellStyle name="Comma 6 4 11 7 2" xfId="29696"/>
    <cellStyle name="Comma 6 4 11 8" xfId="29697"/>
    <cellStyle name="Comma 6 4 11 8 2" xfId="29698"/>
    <cellStyle name="Comma 6 4 11 9" xfId="29699"/>
    <cellStyle name="Comma 6 4 11 9 2" xfId="29700"/>
    <cellStyle name="Comma 6 4 12" xfId="29701"/>
    <cellStyle name="Comma 6 4 12 10" xfId="29702"/>
    <cellStyle name="Comma 6 4 12 10 2" xfId="29703"/>
    <cellStyle name="Comma 6 4 12 11" xfId="29704"/>
    <cellStyle name="Comma 6 4 12 11 2" xfId="29705"/>
    <cellStyle name="Comma 6 4 12 12" xfId="29706"/>
    <cellStyle name="Comma 6 4 12 2" xfId="29707"/>
    <cellStyle name="Comma 6 4 12 2 2" xfId="29708"/>
    <cellStyle name="Comma 6 4 12 3" xfId="29709"/>
    <cellStyle name="Comma 6 4 12 3 2" xfId="29710"/>
    <cellStyle name="Comma 6 4 12 4" xfId="29711"/>
    <cellStyle name="Comma 6 4 12 4 2" xfId="29712"/>
    <cellStyle name="Comma 6 4 12 5" xfId="29713"/>
    <cellStyle name="Comma 6 4 12 5 2" xfId="29714"/>
    <cellStyle name="Comma 6 4 12 6" xfId="29715"/>
    <cellStyle name="Comma 6 4 12 6 2" xfId="29716"/>
    <cellStyle name="Comma 6 4 12 7" xfId="29717"/>
    <cellStyle name="Comma 6 4 12 7 2" xfId="29718"/>
    <cellStyle name="Comma 6 4 12 8" xfId="29719"/>
    <cellStyle name="Comma 6 4 12 8 2" xfId="29720"/>
    <cellStyle name="Comma 6 4 12 9" xfId="29721"/>
    <cellStyle name="Comma 6 4 12 9 2" xfId="29722"/>
    <cellStyle name="Comma 6 4 13" xfId="29723"/>
    <cellStyle name="Comma 6 4 13 10" xfId="29724"/>
    <cellStyle name="Comma 6 4 13 10 2" xfId="29725"/>
    <cellStyle name="Comma 6 4 13 11" xfId="29726"/>
    <cellStyle name="Comma 6 4 13 11 2" xfId="29727"/>
    <cellStyle name="Comma 6 4 13 12" xfId="29728"/>
    <cellStyle name="Comma 6 4 13 2" xfId="29729"/>
    <cellStyle name="Comma 6 4 13 2 2" xfId="29730"/>
    <cellStyle name="Comma 6 4 13 3" xfId="29731"/>
    <cellStyle name="Comma 6 4 13 3 2" xfId="29732"/>
    <cellStyle name="Comma 6 4 13 4" xfId="29733"/>
    <cellStyle name="Comma 6 4 13 4 2" xfId="29734"/>
    <cellStyle name="Comma 6 4 13 5" xfId="29735"/>
    <cellStyle name="Comma 6 4 13 5 2" xfId="29736"/>
    <cellStyle name="Comma 6 4 13 6" xfId="29737"/>
    <cellStyle name="Comma 6 4 13 6 2" xfId="29738"/>
    <cellStyle name="Comma 6 4 13 7" xfId="29739"/>
    <cellStyle name="Comma 6 4 13 7 2" xfId="29740"/>
    <cellStyle name="Comma 6 4 13 8" xfId="29741"/>
    <cellStyle name="Comma 6 4 13 8 2" xfId="29742"/>
    <cellStyle name="Comma 6 4 13 9" xfId="29743"/>
    <cellStyle name="Comma 6 4 13 9 2" xfId="29744"/>
    <cellStyle name="Comma 6 4 14" xfId="29745"/>
    <cellStyle name="Comma 6 4 14 10" xfId="29746"/>
    <cellStyle name="Comma 6 4 14 10 2" xfId="29747"/>
    <cellStyle name="Comma 6 4 14 11" xfId="29748"/>
    <cellStyle name="Comma 6 4 14 11 2" xfId="29749"/>
    <cellStyle name="Comma 6 4 14 12" xfId="29750"/>
    <cellStyle name="Comma 6 4 14 2" xfId="29751"/>
    <cellStyle name="Comma 6 4 14 2 2" xfId="29752"/>
    <cellStyle name="Comma 6 4 14 3" xfId="29753"/>
    <cellStyle name="Comma 6 4 14 3 2" xfId="29754"/>
    <cellStyle name="Comma 6 4 14 4" xfId="29755"/>
    <cellStyle name="Comma 6 4 14 4 2" xfId="29756"/>
    <cellStyle name="Comma 6 4 14 5" xfId="29757"/>
    <cellStyle name="Comma 6 4 14 5 2" xfId="29758"/>
    <cellStyle name="Comma 6 4 14 6" xfId="29759"/>
    <cellStyle name="Comma 6 4 14 6 2" xfId="29760"/>
    <cellStyle name="Comma 6 4 14 7" xfId="29761"/>
    <cellStyle name="Comma 6 4 14 7 2" xfId="29762"/>
    <cellStyle name="Comma 6 4 14 8" xfId="29763"/>
    <cellStyle name="Comma 6 4 14 8 2" xfId="29764"/>
    <cellStyle name="Comma 6 4 14 9" xfId="29765"/>
    <cellStyle name="Comma 6 4 14 9 2" xfId="29766"/>
    <cellStyle name="Comma 6 4 15" xfId="29767"/>
    <cellStyle name="Comma 6 4 15 10" xfId="29768"/>
    <cellStyle name="Comma 6 4 15 10 2" xfId="29769"/>
    <cellStyle name="Comma 6 4 15 11" xfId="29770"/>
    <cellStyle name="Comma 6 4 15 11 2" xfId="29771"/>
    <cellStyle name="Comma 6 4 15 12" xfId="29772"/>
    <cellStyle name="Comma 6 4 15 2" xfId="29773"/>
    <cellStyle name="Comma 6 4 15 2 2" xfId="29774"/>
    <cellStyle name="Comma 6 4 15 3" xfId="29775"/>
    <cellStyle name="Comma 6 4 15 3 2" xfId="29776"/>
    <cellStyle name="Comma 6 4 15 4" xfId="29777"/>
    <cellStyle name="Comma 6 4 15 4 2" xfId="29778"/>
    <cellStyle name="Comma 6 4 15 5" xfId="29779"/>
    <cellStyle name="Comma 6 4 15 5 2" xfId="29780"/>
    <cellStyle name="Comma 6 4 15 6" xfId="29781"/>
    <cellStyle name="Comma 6 4 15 6 2" xfId="29782"/>
    <cellStyle name="Comma 6 4 15 7" xfId="29783"/>
    <cellStyle name="Comma 6 4 15 7 2" xfId="29784"/>
    <cellStyle name="Comma 6 4 15 8" xfId="29785"/>
    <cellStyle name="Comma 6 4 15 8 2" xfId="29786"/>
    <cellStyle name="Comma 6 4 15 9" xfId="29787"/>
    <cellStyle name="Comma 6 4 15 9 2" xfId="29788"/>
    <cellStyle name="Comma 6 4 16" xfId="29789"/>
    <cellStyle name="Comma 6 4 16 10" xfId="29790"/>
    <cellStyle name="Comma 6 4 16 10 2" xfId="29791"/>
    <cellStyle name="Comma 6 4 16 11" xfId="29792"/>
    <cellStyle name="Comma 6 4 16 11 2" xfId="29793"/>
    <cellStyle name="Comma 6 4 16 12" xfId="29794"/>
    <cellStyle name="Comma 6 4 16 2" xfId="29795"/>
    <cellStyle name="Comma 6 4 16 2 2" xfId="29796"/>
    <cellStyle name="Comma 6 4 16 3" xfId="29797"/>
    <cellStyle name="Comma 6 4 16 3 2" xfId="29798"/>
    <cellStyle name="Comma 6 4 16 4" xfId="29799"/>
    <cellStyle name="Comma 6 4 16 4 2" xfId="29800"/>
    <cellStyle name="Comma 6 4 16 5" xfId="29801"/>
    <cellStyle name="Comma 6 4 16 5 2" xfId="29802"/>
    <cellStyle name="Comma 6 4 16 6" xfId="29803"/>
    <cellStyle name="Comma 6 4 16 6 2" xfId="29804"/>
    <cellStyle name="Comma 6 4 16 7" xfId="29805"/>
    <cellStyle name="Comma 6 4 16 7 2" xfId="29806"/>
    <cellStyle name="Comma 6 4 16 8" xfId="29807"/>
    <cellStyle name="Comma 6 4 16 8 2" xfId="29808"/>
    <cellStyle name="Comma 6 4 16 9" xfId="29809"/>
    <cellStyle name="Comma 6 4 16 9 2" xfId="29810"/>
    <cellStyle name="Comma 6 4 17" xfId="29811"/>
    <cellStyle name="Comma 6 4 17 10" xfId="29812"/>
    <cellStyle name="Comma 6 4 17 10 2" xfId="29813"/>
    <cellStyle name="Comma 6 4 17 11" xfId="29814"/>
    <cellStyle name="Comma 6 4 17 11 2" xfId="29815"/>
    <cellStyle name="Comma 6 4 17 12" xfId="29816"/>
    <cellStyle name="Comma 6 4 17 2" xfId="29817"/>
    <cellStyle name="Comma 6 4 17 2 2" xfId="29818"/>
    <cellStyle name="Comma 6 4 17 3" xfId="29819"/>
    <cellStyle name="Comma 6 4 17 3 2" xfId="29820"/>
    <cellStyle name="Comma 6 4 17 4" xfId="29821"/>
    <cellStyle name="Comma 6 4 17 4 2" xfId="29822"/>
    <cellStyle name="Comma 6 4 17 5" xfId="29823"/>
    <cellStyle name="Comma 6 4 17 5 2" xfId="29824"/>
    <cellStyle name="Comma 6 4 17 6" xfId="29825"/>
    <cellStyle name="Comma 6 4 17 6 2" xfId="29826"/>
    <cellStyle name="Comma 6 4 17 7" xfId="29827"/>
    <cellStyle name="Comma 6 4 17 7 2" xfId="29828"/>
    <cellStyle name="Comma 6 4 17 8" xfId="29829"/>
    <cellStyle name="Comma 6 4 17 8 2" xfId="29830"/>
    <cellStyle name="Comma 6 4 17 9" xfId="29831"/>
    <cellStyle name="Comma 6 4 17 9 2" xfId="29832"/>
    <cellStyle name="Comma 6 4 18" xfId="29833"/>
    <cellStyle name="Comma 6 4 18 10" xfId="29834"/>
    <cellStyle name="Comma 6 4 18 10 2" xfId="29835"/>
    <cellStyle name="Comma 6 4 18 11" xfId="29836"/>
    <cellStyle name="Comma 6 4 18 11 2" xfId="29837"/>
    <cellStyle name="Comma 6 4 18 12" xfId="29838"/>
    <cellStyle name="Comma 6 4 18 2" xfId="29839"/>
    <cellStyle name="Comma 6 4 18 2 2" xfId="29840"/>
    <cellStyle name="Comma 6 4 18 3" xfId="29841"/>
    <cellStyle name="Comma 6 4 18 3 2" xfId="29842"/>
    <cellStyle name="Comma 6 4 18 4" xfId="29843"/>
    <cellStyle name="Comma 6 4 18 4 2" xfId="29844"/>
    <cellStyle name="Comma 6 4 18 5" xfId="29845"/>
    <cellStyle name="Comma 6 4 18 5 2" xfId="29846"/>
    <cellStyle name="Comma 6 4 18 6" xfId="29847"/>
    <cellStyle name="Comma 6 4 18 6 2" xfId="29848"/>
    <cellStyle name="Comma 6 4 18 7" xfId="29849"/>
    <cellStyle name="Comma 6 4 18 7 2" xfId="29850"/>
    <cellStyle name="Comma 6 4 18 8" xfId="29851"/>
    <cellStyle name="Comma 6 4 18 8 2" xfId="29852"/>
    <cellStyle name="Comma 6 4 18 9" xfId="29853"/>
    <cellStyle name="Comma 6 4 18 9 2" xfId="29854"/>
    <cellStyle name="Comma 6 4 19" xfId="29855"/>
    <cellStyle name="Comma 6 4 19 10" xfId="29856"/>
    <cellStyle name="Comma 6 4 19 10 2" xfId="29857"/>
    <cellStyle name="Comma 6 4 19 11" xfId="29858"/>
    <cellStyle name="Comma 6 4 19 11 2" xfId="29859"/>
    <cellStyle name="Comma 6 4 19 12" xfId="29860"/>
    <cellStyle name="Comma 6 4 19 2" xfId="29861"/>
    <cellStyle name="Comma 6 4 19 2 2" xfId="29862"/>
    <cellStyle name="Comma 6 4 19 3" xfId="29863"/>
    <cellStyle name="Comma 6 4 19 3 2" xfId="29864"/>
    <cellStyle name="Comma 6 4 19 4" xfId="29865"/>
    <cellStyle name="Comma 6 4 19 4 2" xfId="29866"/>
    <cellStyle name="Comma 6 4 19 5" xfId="29867"/>
    <cellStyle name="Comma 6 4 19 5 2" xfId="29868"/>
    <cellStyle name="Comma 6 4 19 6" xfId="29869"/>
    <cellStyle name="Comma 6 4 19 6 2" xfId="29870"/>
    <cellStyle name="Comma 6 4 19 7" xfId="29871"/>
    <cellStyle name="Comma 6 4 19 7 2" xfId="29872"/>
    <cellStyle name="Comma 6 4 19 8" xfId="29873"/>
    <cellStyle name="Comma 6 4 19 8 2" xfId="29874"/>
    <cellStyle name="Comma 6 4 19 9" xfId="29875"/>
    <cellStyle name="Comma 6 4 19 9 2" xfId="29876"/>
    <cellStyle name="Comma 6 4 2" xfId="29877"/>
    <cellStyle name="Comma 6 4 2 10" xfId="29878"/>
    <cellStyle name="Comma 6 4 2 10 2" xfId="29879"/>
    <cellStyle name="Comma 6 4 2 11" xfId="29880"/>
    <cellStyle name="Comma 6 4 2 11 2" xfId="29881"/>
    <cellStyle name="Comma 6 4 2 12" xfId="29882"/>
    <cellStyle name="Comma 6 4 2 2" xfId="29883"/>
    <cellStyle name="Comma 6 4 2 2 2" xfId="29884"/>
    <cellStyle name="Comma 6 4 2 3" xfId="29885"/>
    <cellStyle name="Comma 6 4 2 3 2" xfId="29886"/>
    <cellStyle name="Comma 6 4 2 4" xfId="29887"/>
    <cellStyle name="Comma 6 4 2 4 2" xfId="29888"/>
    <cellStyle name="Comma 6 4 2 5" xfId="29889"/>
    <cellStyle name="Comma 6 4 2 5 2" xfId="29890"/>
    <cellStyle name="Comma 6 4 2 6" xfId="29891"/>
    <cellStyle name="Comma 6 4 2 6 2" xfId="29892"/>
    <cellStyle name="Comma 6 4 2 7" xfId="29893"/>
    <cellStyle name="Comma 6 4 2 7 2" xfId="29894"/>
    <cellStyle name="Comma 6 4 2 8" xfId="29895"/>
    <cellStyle name="Comma 6 4 2 8 2" xfId="29896"/>
    <cellStyle name="Comma 6 4 2 9" xfId="29897"/>
    <cellStyle name="Comma 6 4 2 9 2" xfId="29898"/>
    <cellStyle name="Comma 6 4 20" xfId="29899"/>
    <cellStyle name="Comma 6 4 20 10" xfId="29900"/>
    <cellStyle name="Comma 6 4 20 10 2" xfId="29901"/>
    <cellStyle name="Comma 6 4 20 11" xfId="29902"/>
    <cellStyle name="Comma 6 4 20 11 2" xfId="29903"/>
    <cellStyle name="Comma 6 4 20 12" xfId="29904"/>
    <cellStyle name="Comma 6 4 20 2" xfId="29905"/>
    <cellStyle name="Comma 6 4 20 2 2" xfId="29906"/>
    <cellStyle name="Comma 6 4 20 3" xfId="29907"/>
    <cellStyle name="Comma 6 4 20 3 2" xfId="29908"/>
    <cellStyle name="Comma 6 4 20 4" xfId="29909"/>
    <cellStyle name="Comma 6 4 20 4 2" xfId="29910"/>
    <cellStyle name="Comma 6 4 20 5" xfId="29911"/>
    <cellStyle name="Comma 6 4 20 5 2" xfId="29912"/>
    <cellStyle name="Comma 6 4 20 6" xfId="29913"/>
    <cellStyle name="Comma 6 4 20 6 2" xfId="29914"/>
    <cellStyle name="Comma 6 4 20 7" xfId="29915"/>
    <cellStyle name="Comma 6 4 20 7 2" xfId="29916"/>
    <cellStyle name="Comma 6 4 20 8" xfId="29917"/>
    <cellStyle name="Comma 6 4 20 8 2" xfId="29918"/>
    <cellStyle name="Comma 6 4 20 9" xfId="29919"/>
    <cellStyle name="Comma 6 4 20 9 2" xfId="29920"/>
    <cellStyle name="Comma 6 4 21" xfId="29921"/>
    <cellStyle name="Comma 6 4 21 10" xfId="29922"/>
    <cellStyle name="Comma 6 4 21 10 2" xfId="29923"/>
    <cellStyle name="Comma 6 4 21 11" xfId="29924"/>
    <cellStyle name="Comma 6 4 21 11 2" xfId="29925"/>
    <cellStyle name="Comma 6 4 21 12" xfId="29926"/>
    <cellStyle name="Comma 6 4 21 2" xfId="29927"/>
    <cellStyle name="Comma 6 4 21 2 2" xfId="29928"/>
    <cellStyle name="Comma 6 4 21 3" xfId="29929"/>
    <cellStyle name="Comma 6 4 21 3 2" xfId="29930"/>
    <cellStyle name="Comma 6 4 21 4" xfId="29931"/>
    <cellStyle name="Comma 6 4 21 4 2" xfId="29932"/>
    <cellStyle name="Comma 6 4 21 5" xfId="29933"/>
    <cellStyle name="Comma 6 4 21 5 2" xfId="29934"/>
    <cellStyle name="Comma 6 4 21 6" xfId="29935"/>
    <cellStyle name="Comma 6 4 21 6 2" xfId="29936"/>
    <cellStyle name="Comma 6 4 21 7" xfId="29937"/>
    <cellStyle name="Comma 6 4 21 7 2" xfId="29938"/>
    <cellStyle name="Comma 6 4 21 8" xfId="29939"/>
    <cellStyle name="Comma 6 4 21 8 2" xfId="29940"/>
    <cellStyle name="Comma 6 4 21 9" xfId="29941"/>
    <cellStyle name="Comma 6 4 21 9 2" xfId="29942"/>
    <cellStyle name="Comma 6 4 22" xfId="29943"/>
    <cellStyle name="Comma 6 4 22 10" xfId="29944"/>
    <cellStyle name="Comma 6 4 22 10 2" xfId="29945"/>
    <cellStyle name="Comma 6 4 22 11" xfId="29946"/>
    <cellStyle name="Comma 6 4 22 11 2" xfId="29947"/>
    <cellStyle name="Comma 6 4 22 12" xfId="29948"/>
    <cellStyle name="Comma 6 4 22 2" xfId="29949"/>
    <cellStyle name="Comma 6 4 22 2 2" xfId="29950"/>
    <cellStyle name="Comma 6 4 22 3" xfId="29951"/>
    <cellStyle name="Comma 6 4 22 3 2" xfId="29952"/>
    <cellStyle name="Comma 6 4 22 4" xfId="29953"/>
    <cellStyle name="Comma 6 4 22 4 2" xfId="29954"/>
    <cellStyle name="Comma 6 4 22 5" xfId="29955"/>
    <cellStyle name="Comma 6 4 22 5 2" xfId="29956"/>
    <cellStyle name="Comma 6 4 22 6" xfId="29957"/>
    <cellStyle name="Comma 6 4 22 6 2" xfId="29958"/>
    <cellStyle name="Comma 6 4 22 7" xfId="29959"/>
    <cellStyle name="Comma 6 4 22 7 2" xfId="29960"/>
    <cellStyle name="Comma 6 4 22 8" xfId="29961"/>
    <cellStyle name="Comma 6 4 22 8 2" xfId="29962"/>
    <cellStyle name="Comma 6 4 22 9" xfId="29963"/>
    <cellStyle name="Comma 6 4 22 9 2" xfId="29964"/>
    <cellStyle name="Comma 6 4 23" xfId="29965"/>
    <cellStyle name="Comma 6 4 23 10" xfId="29966"/>
    <cellStyle name="Comma 6 4 23 10 2" xfId="29967"/>
    <cellStyle name="Comma 6 4 23 11" xfId="29968"/>
    <cellStyle name="Comma 6 4 23 11 2" xfId="29969"/>
    <cellStyle name="Comma 6 4 23 12" xfId="29970"/>
    <cellStyle name="Comma 6 4 23 2" xfId="29971"/>
    <cellStyle name="Comma 6 4 23 2 2" xfId="29972"/>
    <cellStyle name="Comma 6 4 23 3" xfId="29973"/>
    <cellStyle name="Comma 6 4 23 3 2" xfId="29974"/>
    <cellStyle name="Comma 6 4 23 4" xfId="29975"/>
    <cellStyle name="Comma 6 4 23 4 2" xfId="29976"/>
    <cellStyle name="Comma 6 4 23 5" xfId="29977"/>
    <cellStyle name="Comma 6 4 23 5 2" xfId="29978"/>
    <cellStyle name="Comma 6 4 23 6" xfId="29979"/>
    <cellStyle name="Comma 6 4 23 6 2" xfId="29980"/>
    <cellStyle name="Comma 6 4 23 7" xfId="29981"/>
    <cellStyle name="Comma 6 4 23 7 2" xfId="29982"/>
    <cellStyle name="Comma 6 4 23 8" xfId="29983"/>
    <cellStyle name="Comma 6 4 23 8 2" xfId="29984"/>
    <cellStyle name="Comma 6 4 23 9" xfId="29985"/>
    <cellStyle name="Comma 6 4 23 9 2" xfId="29986"/>
    <cellStyle name="Comma 6 4 24" xfId="29987"/>
    <cellStyle name="Comma 6 4 24 10" xfId="29988"/>
    <cellStyle name="Comma 6 4 24 10 2" xfId="29989"/>
    <cellStyle name="Comma 6 4 24 11" xfId="29990"/>
    <cellStyle name="Comma 6 4 24 11 2" xfId="29991"/>
    <cellStyle name="Comma 6 4 24 12" xfId="29992"/>
    <cellStyle name="Comma 6 4 24 2" xfId="29993"/>
    <cellStyle name="Comma 6 4 24 2 2" xfId="29994"/>
    <cellStyle name="Comma 6 4 24 3" xfId="29995"/>
    <cellStyle name="Comma 6 4 24 3 2" xfId="29996"/>
    <cellStyle name="Comma 6 4 24 4" xfId="29997"/>
    <cellStyle name="Comma 6 4 24 4 2" xfId="29998"/>
    <cellStyle name="Comma 6 4 24 5" xfId="29999"/>
    <cellStyle name="Comma 6 4 24 5 2" xfId="30000"/>
    <cellStyle name="Comma 6 4 24 6" xfId="30001"/>
    <cellStyle name="Comma 6 4 24 6 2" xfId="30002"/>
    <cellStyle name="Comma 6 4 24 7" xfId="30003"/>
    <cellStyle name="Comma 6 4 24 7 2" xfId="30004"/>
    <cellStyle name="Comma 6 4 24 8" xfId="30005"/>
    <cellStyle name="Comma 6 4 24 8 2" xfId="30006"/>
    <cellStyle name="Comma 6 4 24 9" xfId="30007"/>
    <cellStyle name="Comma 6 4 24 9 2" xfId="30008"/>
    <cellStyle name="Comma 6 4 25" xfId="30009"/>
    <cellStyle name="Comma 6 4 25 10" xfId="30010"/>
    <cellStyle name="Comma 6 4 25 10 2" xfId="30011"/>
    <cellStyle name="Comma 6 4 25 11" xfId="30012"/>
    <cellStyle name="Comma 6 4 25 11 2" xfId="30013"/>
    <cellStyle name="Comma 6 4 25 12" xfId="30014"/>
    <cellStyle name="Comma 6 4 25 2" xfId="30015"/>
    <cellStyle name="Comma 6 4 25 2 2" xfId="30016"/>
    <cellStyle name="Comma 6 4 25 3" xfId="30017"/>
    <cellStyle name="Comma 6 4 25 3 2" xfId="30018"/>
    <cellStyle name="Comma 6 4 25 4" xfId="30019"/>
    <cellStyle name="Comma 6 4 25 4 2" xfId="30020"/>
    <cellStyle name="Comma 6 4 25 5" xfId="30021"/>
    <cellStyle name="Comma 6 4 25 5 2" xfId="30022"/>
    <cellStyle name="Comma 6 4 25 6" xfId="30023"/>
    <cellStyle name="Comma 6 4 25 6 2" xfId="30024"/>
    <cellStyle name="Comma 6 4 25 7" xfId="30025"/>
    <cellStyle name="Comma 6 4 25 7 2" xfId="30026"/>
    <cellStyle name="Comma 6 4 25 8" xfId="30027"/>
    <cellStyle name="Comma 6 4 25 8 2" xfId="30028"/>
    <cellStyle name="Comma 6 4 25 9" xfId="30029"/>
    <cellStyle name="Comma 6 4 25 9 2" xfId="30030"/>
    <cellStyle name="Comma 6 4 26" xfId="30031"/>
    <cellStyle name="Comma 6 4 26 10" xfId="30032"/>
    <cellStyle name="Comma 6 4 26 10 2" xfId="30033"/>
    <cellStyle name="Comma 6 4 26 11" xfId="30034"/>
    <cellStyle name="Comma 6 4 26 11 2" xfId="30035"/>
    <cellStyle name="Comma 6 4 26 12" xfId="30036"/>
    <cellStyle name="Comma 6 4 26 2" xfId="30037"/>
    <cellStyle name="Comma 6 4 26 2 2" xfId="30038"/>
    <cellStyle name="Comma 6 4 26 3" xfId="30039"/>
    <cellStyle name="Comma 6 4 26 3 2" xfId="30040"/>
    <cellStyle name="Comma 6 4 26 4" xfId="30041"/>
    <cellStyle name="Comma 6 4 26 4 2" xfId="30042"/>
    <cellStyle name="Comma 6 4 26 5" xfId="30043"/>
    <cellStyle name="Comma 6 4 26 5 2" xfId="30044"/>
    <cellStyle name="Comma 6 4 26 6" xfId="30045"/>
    <cellStyle name="Comma 6 4 26 6 2" xfId="30046"/>
    <cellStyle name="Comma 6 4 26 7" xfId="30047"/>
    <cellStyle name="Comma 6 4 26 7 2" xfId="30048"/>
    <cellStyle name="Comma 6 4 26 8" xfId="30049"/>
    <cellStyle name="Comma 6 4 26 8 2" xfId="30050"/>
    <cellStyle name="Comma 6 4 26 9" xfId="30051"/>
    <cellStyle name="Comma 6 4 26 9 2" xfId="30052"/>
    <cellStyle name="Comma 6 4 27" xfId="30053"/>
    <cellStyle name="Comma 6 4 27 10" xfId="30054"/>
    <cellStyle name="Comma 6 4 27 10 2" xfId="30055"/>
    <cellStyle name="Comma 6 4 27 11" xfId="30056"/>
    <cellStyle name="Comma 6 4 27 11 2" xfId="30057"/>
    <cellStyle name="Comma 6 4 27 12" xfId="30058"/>
    <cellStyle name="Comma 6 4 27 2" xfId="30059"/>
    <cellStyle name="Comma 6 4 27 2 2" xfId="30060"/>
    <cellStyle name="Comma 6 4 27 3" xfId="30061"/>
    <cellStyle name="Comma 6 4 27 3 2" xfId="30062"/>
    <cellStyle name="Comma 6 4 27 4" xfId="30063"/>
    <cellStyle name="Comma 6 4 27 4 2" xfId="30064"/>
    <cellStyle name="Comma 6 4 27 5" xfId="30065"/>
    <cellStyle name="Comma 6 4 27 5 2" xfId="30066"/>
    <cellStyle name="Comma 6 4 27 6" xfId="30067"/>
    <cellStyle name="Comma 6 4 27 6 2" xfId="30068"/>
    <cellStyle name="Comma 6 4 27 7" xfId="30069"/>
    <cellStyle name="Comma 6 4 27 7 2" xfId="30070"/>
    <cellStyle name="Comma 6 4 27 8" xfId="30071"/>
    <cellStyle name="Comma 6 4 27 8 2" xfId="30072"/>
    <cellStyle name="Comma 6 4 27 9" xfId="30073"/>
    <cellStyle name="Comma 6 4 27 9 2" xfId="30074"/>
    <cellStyle name="Comma 6 4 28" xfId="30075"/>
    <cellStyle name="Comma 6 4 28 10" xfId="30076"/>
    <cellStyle name="Comma 6 4 28 10 2" xfId="30077"/>
    <cellStyle name="Comma 6 4 28 11" xfId="30078"/>
    <cellStyle name="Comma 6 4 28 11 2" xfId="30079"/>
    <cellStyle name="Comma 6 4 28 12" xfId="30080"/>
    <cellStyle name="Comma 6 4 28 2" xfId="30081"/>
    <cellStyle name="Comma 6 4 28 2 2" xfId="30082"/>
    <cellStyle name="Comma 6 4 28 3" xfId="30083"/>
    <cellStyle name="Comma 6 4 28 3 2" xfId="30084"/>
    <cellStyle name="Comma 6 4 28 4" xfId="30085"/>
    <cellStyle name="Comma 6 4 28 4 2" xfId="30086"/>
    <cellStyle name="Comma 6 4 28 5" xfId="30087"/>
    <cellStyle name="Comma 6 4 28 5 2" xfId="30088"/>
    <cellStyle name="Comma 6 4 28 6" xfId="30089"/>
    <cellStyle name="Comma 6 4 28 6 2" xfId="30090"/>
    <cellStyle name="Comma 6 4 28 7" xfId="30091"/>
    <cellStyle name="Comma 6 4 28 7 2" xfId="30092"/>
    <cellStyle name="Comma 6 4 28 8" xfId="30093"/>
    <cellStyle name="Comma 6 4 28 8 2" xfId="30094"/>
    <cellStyle name="Comma 6 4 28 9" xfId="30095"/>
    <cellStyle name="Comma 6 4 28 9 2" xfId="30096"/>
    <cellStyle name="Comma 6 4 29" xfId="30097"/>
    <cellStyle name="Comma 6 4 29 10" xfId="30098"/>
    <cellStyle name="Comma 6 4 29 10 2" xfId="30099"/>
    <cellStyle name="Comma 6 4 29 11" xfId="30100"/>
    <cellStyle name="Comma 6 4 29 11 2" xfId="30101"/>
    <cellStyle name="Comma 6 4 29 12" xfId="30102"/>
    <cellStyle name="Comma 6 4 29 2" xfId="30103"/>
    <cellStyle name="Comma 6 4 29 2 2" xfId="30104"/>
    <cellStyle name="Comma 6 4 29 3" xfId="30105"/>
    <cellStyle name="Comma 6 4 29 3 2" xfId="30106"/>
    <cellStyle name="Comma 6 4 29 4" xfId="30107"/>
    <cellStyle name="Comma 6 4 29 4 2" xfId="30108"/>
    <cellStyle name="Comma 6 4 29 5" xfId="30109"/>
    <cellStyle name="Comma 6 4 29 5 2" xfId="30110"/>
    <cellStyle name="Comma 6 4 29 6" xfId="30111"/>
    <cellStyle name="Comma 6 4 29 6 2" xfId="30112"/>
    <cellStyle name="Comma 6 4 29 7" xfId="30113"/>
    <cellStyle name="Comma 6 4 29 7 2" xfId="30114"/>
    <cellStyle name="Comma 6 4 29 8" xfId="30115"/>
    <cellStyle name="Comma 6 4 29 8 2" xfId="30116"/>
    <cellStyle name="Comma 6 4 29 9" xfId="30117"/>
    <cellStyle name="Comma 6 4 29 9 2" xfId="30118"/>
    <cellStyle name="Comma 6 4 3" xfId="30119"/>
    <cellStyle name="Comma 6 4 3 10" xfId="30120"/>
    <cellStyle name="Comma 6 4 3 10 2" xfId="30121"/>
    <cellStyle name="Comma 6 4 3 11" xfId="30122"/>
    <cellStyle name="Comma 6 4 3 11 2" xfId="30123"/>
    <cellStyle name="Comma 6 4 3 12" xfId="30124"/>
    <cellStyle name="Comma 6 4 3 2" xfId="30125"/>
    <cellStyle name="Comma 6 4 3 2 2" xfId="30126"/>
    <cellStyle name="Comma 6 4 3 3" xfId="30127"/>
    <cellStyle name="Comma 6 4 3 3 2" xfId="30128"/>
    <cellStyle name="Comma 6 4 3 4" xfId="30129"/>
    <cellStyle name="Comma 6 4 3 4 2" xfId="30130"/>
    <cellStyle name="Comma 6 4 3 5" xfId="30131"/>
    <cellStyle name="Comma 6 4 3 5 2" xfId="30132"/>
    <cellStyle name="Comma 6 4 3 6" xfId="30133"/>
    <cellStyle name="Comma 6 4 3 6 2" xfId="30134"/>
    <cellStyle name="Comma 6 4 3 7" xfId="30135"/>
    <cellStyle name="Comma 6 4 3 7 2" xfId="30136"/>
    <cellStyle name="Comma 6 4 3 8" xfId="30137"/>
    <cellStyle name="Comma 6 4 3 8 2" xfId="30138"/>
    <cellStyle name="Comma 6 4 3 9" xfId="30139"/>
    <cellStyle name="Comma 6 4 3 9 2" xfId="30140"/>
    <cellStyle name="Comma 6 4 30" xfId="30141"/>
    <cellStyle name="Comma 6 4 30 10" xfId="30142"/>
    <cellStyle name="Comma 6 4 30 10 2" xfId="30143"/>
    <cellStyle name="Comma 6 4 30 11" xfId="30144"/>
    <cellStyle name="Comma 6 4 30 11 2" xfId="30145"/>
    <cellStyle name="Comma 6 4 30 12" xfId="30146"/>
    <cellStyle name="Comma 6 4 30 2" xfId="30147"/>
    <cellStyle name="Comma 6 4 30 2 2" xfId="30148"/>
    <cellStyle name="Comma 6 4 30 3" xfId="30149"/>
    <cellStyle name="Comma 6 4 30 3 2" xfId="30150"/>
    <cellStyle name="Comma 6 4 30 4" xfId="30151"/>
    <cellStyle name="Comma 6 4 30 4 2" xfId="30152"/>
    <cellStyle name="Comma 6 4 30 5" xfId="30153"/>
    <cellStyle name="Comma 6 4 30 5 2" xfId="30154"/>
    <cellStyle name="Comma 6 4 30 6" xfId="30155"/>
    <cellStyle name="Comma 6 4 30 6 2" xfId="30156"/>
    <cellStyle name="Comma 6 4 30 7" xfId="30157"/>
    <cellStyle name="Comma 6 4 30 7 2" xfId="30158"/>
    <cellStyle name="Comma 6 4 30 8" xfId="30159"/>
    <cellStyle name="Comma 6 4 30 8 2" xfId="30160"/>
    <cellStyle name="Comma 6 4 30 9" xfId="30161"/>
    <cellStyle name="Comma 6 4 30 9 2" xfId="30162"/>
    <cellStyle name="Comma 6 4 31" xfId="30163"/>
    <cellStyle name="Comma 6 4 31 10" xfId="30164"/>
    <cellStyle name="Comma 6 4 31 10 2" xfId="30165"/>
    <cellStyle name="Comma 6 4 31 11" xfId="30166"/>
    <cellStyle name="Comma 6 4 31 11 2" xfId="30167"/>
    <cellStyle name="Comma 6 4 31 12" xfId="30168"/>
    <cellStyle name="Comma 6 4 31 2" xfId="30169"/>
    <cellStyle name="Comma 6 4 31 2 2" xfId="30170"/>
    <cellStyle name="Comma 6 4 31 3" xfId="30171"/>
    <cellStyle name="Comma 6 4 31 3 2" xfId="30172"/>
    <cellStyle name="Comma 6 4 31 4" xfId="30173"/>
    <cellStyle name="Comma 6 4 31 4 2" xfId="30174"/>
    <cellStyle name="Comma 6 4 31 5" xfId="30175"/>
    <cellStyle name="Comma 6 4 31 5 2" xfId="30176"/>
    <cellStyle name="Comma 6 4 31 6" xfId="30177"/>
    <cellStyle name="Comma 6 4 31 6 2" xfId="30178"/>
    <cellStyle name="Comma 6 4 31 7" xfId="30179"/>
    <cellStyle name="Comma 6 4 31 7 2" xfId="30180"/>
    <cellStyle name="Comma 6 4 31 8" xfId="30181"/>
    <cellStyle name="Comma 6 4 31 8 2" xfId="30182"/>
    <cellStyle name="Comma 6 4 31 9" xfId="30183"/>
    <cellStyle name="Comma 6 4 31 9 2" xfId="30184"/>
    <cellStyle name="Comma 6 4 32" xfId="30185"/>
    <cellStyle name="Comma 6 4 32 10" xfId="30186"/>
    <cellStyle name="Comma 6 4 32 10 2" xfId="30187"/>
    <cellStyle name="Comma 6 4 32 11" xfId="30188"/>
    <cellStyle name="Comma 6 4 32 11 2" xfId="30189"/>
    <cellStyle name="Comma 6 4 32 12" xfId="30190"/>
    <cellStyle name="Comma 6 4 32 2" xfId="30191"/>
    <cellStyle name="Comma 6 4 32 2 2" xfId="30192"/>
    <cellStyle name="Comma 6 4 32 3" xfId="30193"/>
    <cellStyle name="Comma 6 4 32 3 2" xfId="30194"/>
    <cellStyle name="Comma 6 4 32 4" xfId="30195"/>
    <cellStyle name="Comma 6 4 32 4 2" xfId="30196"/>
    <cellStyle name="Comma 6 4 32 5" xfId="30197"/>
    <cellStyle name="Comma 6 4 32 5 2" xfId="30198"/>
    <cellStyle name="Comma 6 4 32 6" xfId="30199"/>
    <cellStyle name="Comma 6 4 32 6 2" xfId="30200"/>
    <cellStyle name="Comma 6 4 32 7" xfId="30201"/>
    <cellStyle name="Comma 6 4 32 7 2" xfId="30202"/>
    <cellStyle name="Comma 6 4 32 8" xfId="30203"/>
    <cellStyle name="Comma 6 4 32 8 2" xfId="30204"/>
    <cellStyle name="Comma 6 4 32 9" xfId="30205"/>
    <cellStyle name="Comma 6 4 32 9 2" xfId="30206"/>
    <cellStyle name="Comma 6 4 33" xfId="30207"/>
    <cellStyle name="Comma 6 4 33 10" xfId="30208"/>
    <cellStyle name="Comma 6 4 33 10 2" xfId="30209"/>
    <cellStyle name="Comma 6 4 33 11" xfId="30210"/>
    <cellStyle name="Comma 6 4 33 11 2" xfId="30211"/>
    <cellStyle name="Comma 6 4 33 12" xfId="30212"/>
    <cellStyle name="Comma 6 4 33 2" xfId="30213"/>
    <cellStyle name="Comma 6 4 33 2 2" xfId="30214"/>
    <cellStyle name="Comma 6 4 33 3" xfId="30215"/>
    <cellStyle name="Comma 6 4 33 3 2" xfId="30216"/>
    <cellStyle name="Comma 6 4 33 4" xfId="30217"/>
    <cellStyle name="Comma 6 4 33 4 2" xfId="30218"/>
    <cellStyle name="Comma 6 4 33 5" xfId="30219"/>
    <cellStyle name="Comma 6 4 33 5 2" xfId="30220"/>
    <cellStyle name="Comma 6 4 33 6" xfId="30221"/>
    <cellStyle name="Comma 6 4 33 6 2" xfId="30222"/>
    <cellStyle name="Comma 6 4 33 7" xfId="30223"/>
    <cellStyle name="Comma 6 4 33 7 2" xfId="30224"/>
    <cellStyle name="Comma 6 4 33 8" xfId="30225"/>
    <cellStyle name="Comma 6 4 33 8 2" xfId="30226"/>
    <cellStyle name="Comma 6 4 33 9" xfId="30227"/>
    <cellStyle name="Comma 6 4 33 9 2" xfId="30228"/>
    <cellStyle name="Comma 6 4 34" xfId="30229"/>
    <cellStyle name="Comma 6 4 34 10" xfId="30230"/>
    <cellStyle name="Comma 6 4 34 10 2" xfId="30231"/>
    <cellStyle name="Comma 6 4 34 11" xfId="30232"/>
    <cellStyle name="Comma 6 4 34 11 2" xfId="30233"/>
    <cellStyle name="Comma 6 4 34 12" xfId="30234"/>
    <cellStyle name="Comma 6 4 34 2" xfId="30235"/>
    <cellStyle name="Comma 6 4 34 2 2" xfId="30236"/>
    <cellStyle name="Comma 6 4 34 3" xfId="30237"/>
    <cellStyle name="Comma 6 4 34 3 2" xfId="30238"/>
    <cellStyle name="Comma 6 4 34 4" xfId="30239"/>
    <cellStyle name="Comma 6 4 34 4 2" xfId="30240"/>
    <cellStyle name="Comma 6 4 34 5" xfId="30241"/>
    <cellStyle name="Comma 6 4 34 5 2" xfId="30242"/>
    <cellStyle name="Comma 6 4 34 6" xfId="30243"/>
    <cellStyle name="Comma 6 4 34 6 2" xfId="30244"/>
    <cellStyle name="Comma 6 4 34 7" xfId="30245"/>
    <cellStyle name="Comma 6 4 34 7 2" xfId="30246"/>
    <cellStyle name="Comma 6 4 34 8" xfId="30247"/>
    <cellStyle name="Comma 6 4 34 8 2" xfId="30248"/>
    <cellStyle name="Comma 6 4 34 9" xfId="30249"/>
    <cellStyle name="Comma 6 4 34 9 2" xfId="30250"/>
    <cellStyle name="Comma 6 4 35" xfId="30251"/>
    <cellStyle name="Comma 6 4 35 10" xfId="30252"/>
    <cellStyle name="Comma 6 4 35 10 2" xfId="30253"/>
    <cellStyle name="Comma 6 4 35 11" xfId="30254"/>
    <cellStyle name="Comma 6 4 35 11 2" xfId="30255"/>
    <cellStyle name="Comma 6 4 35 12" xfId="30256"/>
    <cellStyle name="Comma 6 4 35 2" xfId="30257"/>
    <cellStyle name="Comma 6 4 35 2 2" xfId="30258"/>
    <cellStyle name="Comma 6 4 35 3" xfId="30259"/>
    <cellStyle name="Comma 6 4 35 3 2" xfId="30260"/>
    <cellStyle name="Comma 6 4 35 4" xfId="30261"/>
    <cellStyle name="Comma 6 4 35 4 2" xfId="30262"/>
    <cellStyle name="Comma 6 4 35 5" xfId="30263"/>
    <cellStyle name="Comma 6 4 35 5 2" xfId="30264"/>
    <cellStyle name="Comma 6 4 35 6" xfId="30265"/>
    <cellStyle name="Comma 6 4 35 6 2" xfId="30266"/>
    <cellStyle name="Comma 6 4 35 7" xfId="30267"/>
    <cellStyle name="Comma 6 4 35 7 2" xfId="30268"/>
    <cellStyle name="Comma 6 4 35 8" xfId="30269"/>
    <cellStyle name="Comma 6 4 35 8 2" xfId="30270"/>
    <cellStyle name="Comma 6 4 35 9" xfId="30271"/>
    <cellStyle name="Comma 6 4 35 9 2" xfId="30272"/>
    <cellStyle name="Comma 6 4 36" xfId="30273"/>
    <cellStyle name="Comma 6 4 36 10" xfId="30274"/>
    <cellStyle name="Comma 6 4 36 10 2" xfId="30275"/>
    <cellStyle name="Comma 6 4 36 11" xfId="30276"/>
    <cellStyle name="Comma 6 4 36 11 2" xfId="30277"/>
    <cellStyle name="Comma 6 4 36 12" xfId="30278"/>
    <cellStyle name="Comma 6 4 36 2" xfId="30279"/>
    <cellStyle name="Comma 6 4 36 2 2" xfId="30280"/>
    <cellStyle name="Comma 6 4 36 3" xfId="30281"/>
    <cellStyle name="Comma 6 4 36 3 2" xfId="30282"/>
    <cellStyle name="Comma 6 4 36 4" xfId="30283"/>
    <cellStyle name="Comma 6 4 36 4 2" xfId="30284"/>
    <cellStyle name="Comma 6 4 36 5" xfId="30285"/>
    <cellStyle name="Comma 6 4 36 5 2" xfId="30286"/>
    <cellStyle name="Comma 6 4 36 6" xfId="30287"/>
    <cellStyle name="Comma 6 4 36 6 2" xfId="30288"/>
    <cellStyle name="Comma 6 4 36 7" xfId="30289"/>
    <cellStyle name="Comma 6 4 36 7 2" xfId="30290"/>
    <cellStyle name="Comma 6 4 36 8" xfId="30291"/>
    <cellStyle name="Comma 6 4 36 8 2" xfId="30292"/>
    <cellStyle name="Comma 6 4 36 9" xfId="30293"/>
    <cellStyle name="Comma 6 4 36 9 2" xfId="30294"/>
    <cellStyle name="Comma 6 4 37" xfId="30295"/>
    <cellStyle name="Comma 6 4 37 10" xfId="30296"/>
    <cellStyle name="Comma 6 4 37 10 2" xfId="30297"/>
    <cellStyle name="Comma 6 4 37 11" xfId="30298"/>
    <cellStyle name="Comma 6 4 37 11 2" xfId="30299"/>
    <cellStyle name="Comma 6 4 37 12" xfId="30300"/>
    <cellStyle name="Comma 6 4 37 2" xfId="30301"/>
    <cellStyle name="Comma 6 4 37 2 2" xfId="30302"/>
    <cellStyle name="Comma 6 4 37 3" xfId="30303"/>
    <cellStyle name="Comma 6 4 37 3 2" xfId="30304"/>
    <cellStyle name="Comma 6 4 37 4" xfId="30305"/>
    <cellStyle name="Comma 6 4 37 4 2" xfId="30306"/>
    <cellStyle name="Comma 6 4 37 5" xfId="30307"/>
    <cellStyle name="Comma 6 4 37 5 2" xfId="30308"/>
    <cellStyle name="Comma 6 4 37 6" xfId="30309"/>
    <cellStyle name="Comma 6 4 37 6 2" xfId="30310"/>
    <cellStyle name="Comma 6 4 37 7" xfId="30311"/>
    <cellStyle name="Comma 6 4 37 7 2" xfId="30312"/>
    <cellStyle name="Comma 6 4 37 8" xfId="30313"/>
    <cellStyle name="Comma 6 4 37 8 2" xfId="30314"/>
    <cellStyle name="Comma 6 4 37 9" xfId="30315"/>
    <cellStyle name="Comma 6 4 37 9 2" xfId="30316"/>
    <cellStyle name="Comma 6 4 38" xfId="30317"/>
    <cellStyle name="Comma 6 4 38 10" xfId="30318"/>
    <cellStyle name="Comma 6 4 38 10 2" xfId="30319"/>
    <cellStyle name="Comma 6 4 38 11" xfId="30320"/>
    <cellStyle name="Comma 6 4 38 11 2" xfId="30321"/>
    <cellStyle name="Comma 6 4 38 12" xfId="30322"/>
    <cellStyle name="Comma 6 4 38 2" xfId="30323"/>
    <cellStyle name="Comma 6 4 38 2 2" xfId="30324"/>
    <cellStyle name="Comma 6 4 38 3" xfId="30325"/>
    <cellStyle name="Comma 6 4 38 3 2" xfId="30326"/>
    <cellStyle name="Comma 6 4 38 4" xfId="30327"/>
    <cellStyle name="Comma 6 4 38 4 2" xfId="30328"/>
    <cellStyle name="Comma 6 4 38 5" xfId="30329"/>
    <cellStyle name="Comma 6 4 38 5 2" xfId="30330"/>
    <cellStyle name="Comma 6 4 38 6" xfId="30331"/>
    <cellStyle name="Comma 6 4 38 6 2" xfId="30332"/>
    <cellStyle name="Comma 6 4 38 7" xfId="30333"/>
    <cellStyle name="Comma 6 4 38 7 2" xfId="30334"/>
    <cellStyle name="Comma 6 4 38 8" xfId="30335"/>
    <cellStyle name="Comma 6 4 38 8 2" xfId="30336"/>
    <cellStyle name="Comma 6 4 38 9" xfId="30337"/>
    <cellStyle name="Comma 6 4 38 9 2" xfId="30338"/>
    <cellStyle name="Comma 6 4 39" xfId="30339"/>
    <cellStyle name="Comma 6 4 39 10" xfId="30340"/>
    <cellStyle name="Comma 6 4 39 10 2" xfId="30341"/>
    <cellStyle name="Comma 6 4 39 11" xfId="30342"/>
    <cellStyle name="Comma 6 4 39 11 2" xfId="30343"/>
    <cellStyle name="Comma 6 4 39 12" xfId="30344"/>
    <cellStyle name="Comma 6 4 39 2" xfId="30345"/>
    <cellStyle name="Comma 6 4 39 2 2" xfId="30346"/>
    <cellStyle name="Comma 6 4 39 3" xfId="30347"/>
    <cellStyle name="Comma 6 4 39 3 2" xfId="30348"/>
    <cellStyle name="Comma 6 4 39 4" xfId="30349"/>
    <cellStyle name="Comma 6 4 39 4 2" xfId="30350"/>
    <cellStyle name="Comma 6 4 39 5" xfId="30351"/>
    <cellStyle name="Comma 6 4 39 5 2" xfId="30352"/>
    <cellStyle name="Comma 6 4 39 6" xfId="30353"/>
    <cellStyle name="Comma 6 4 39 6 2" xfId="30354"/>
    <cellStyle name="Comma 6 4 39 7" xfId="30355"/>
    <cellStyle name="Comma 6 4 39 7 2" xfId="30356"/>
    <cellStyle name="Comma 6 4 39 8" xfId="30357"/>
    <cellStyle name="Comma 6 4 39 8 2" xfId="30358"/>
    <cellStyle name="Comma 6 4 39 9" xfId="30359"/>
    <cellStyle name="Comma 6 4 39 9 2" xfId="30360"/>
    <cellStyle name="Comma 6 4 4" xfId="30361"/>
    <cellStyle name="Comma 6 4 4 10" xfId="30362"/>
    <cellStyle name="Comma 6 4 4 10 2" xfId="30363"/>
    <cellStyle name="Comma 6 4 4 11" xfId="30364"/>
    <cellStyle name="Comma 6 4 4 11 2" xfId="30365"/>
    <cellStyle name="Comma 6 4 4 12" xfId="30366"/>
    <cellStyle name="Comma 6 4 4 2" xfId="30367"/>
    <cellStyle name="Comma 6 4 4 2 2" xfId="30368"/>
    <cellStyle name="Comma 6 4 4 3" xfId="30369"/>
    <cellStyle name="Comma 6 4 4 3 2" xfId="30370"/>
    <cellStyle name="Comma 6 4 4 4" xfId="30371"/>
    <cellStyle name="Comma 6 4 4 4 2" xfId="30372"/>
    <cellStyle name="Comma 6 4 4 5" xfId="30373"/>
    <cellStyle name="Comma 6 4 4 5 2" xfId="30374"/>
    <cellStyle name="Comma 6 4 4 6" xfId="30375"/>
    <cellStyle name="Comma 6 4 4 6 2" xfId="30376"/>
    <cellStyle name="Comma 6 4 4 7" xfId="30377"/>
    <cellStyle name="Comma 6 4 4 7 2" xfId="30378"/>
    <cellStyle name="Comma 6 4 4 8" xfId="30379"/>
    <cellStyle name="Comma 6 4 4 8 2" xfId="30380"/>
    <cellStyle name="Comma 6 4 4 9" xfId="30381"/>
    <cellStyle name="Comma 6 4 4 9 2" xfId="30382"/>
    <cellStyle name="Comma 6 4 40" xfId="30383"/>
    <cellStyle name="Comma 6 4 40 2" xfId="30384"/>
    <cellStyle name="Comma 6 4 41" xfId="30385"/>
    <cellStyle name="Comma 6 4 41 2" xfId="30386"/>
    <cellStyle name="Comma 6 4 42" xfId="30387"/>
    <cellStyle name="Comma 6 4 42 2" xfId="30388"/>
    <cellStyle name="Comma 6 4 43" xfId="30389"/>
    <cellStyle name="Comma 6 4 43 2" xfId="30390"/>
    <cellStyle name="Comma 6 4 44" xfId="30391"/>
    <cellStyle name="Comma 6 4 44 2" xfId="30392"/>
    <cellStyle name="Comma 6 4 45" xfId="30393"/>
    <cellStyle name="Comma 6 4 45 2" xfId="30394"/>
    <cellStyle name="Comma 6 4 46" xfId="30395"/>
    <cellStyle name="Comma 6 4 46 2" xfId="30396"/>
    <cellStyle name="Comma 6 4 47" xfId="30397"/>
    <cellStyle name="Comma 6 4 47 2" xfId="30398"/>
    <cellStyle name="Comma 6 4 48" xfId="30399"/>
    <cellStyle name="Comma 6 4 48 2" xfId="30400"/>
    <cellStyle name="Comma 6 4 49" xfId="30401"/>
    <cellStyle name="Comma 6 4 49 2" xfId="30402"/>
    <cellStyle name="Comma 6 4 5" xfId="30403"/>
    <cellStyle name="Comma 6 4 5 10" xfId="30404"/>
    <cellStyle name="Comma 6 4 5 10 2" xfId="30405"/>
    <cellStyle name="Comma 6 4 5 11" xfId="30406"/>
    <cellStyle name="Comma 6 4 5 11 2" xfId="30407"/>
    <cellStyle name="Comma 6 4 5 12" xfId="30408"/>
    <cellStyle name="Comma 6 4 5 2" xfId="30409"/>
    <cellStyle name="Comma 6 4 5 2 2" xfId="30410"/>
    <cellStyle name="Comma 6 4 5 3" xfId="30411"/>
    <cellStyle name="Comma 6 4 5 3 2" xfId="30412"/>
    <cellStyle name="Comma 6 4 5 4" xfId="30413"/>
    <cellStyle name="Comma 6 4 5 4 2" xfId="30414"/>
    <cellStyle name="Comma 6 4 5 5" xfId="30415"/>
    <cellStyle name="Comma 6 4 5 5 2" xfId="30416"/>
    <cellStyle name="Comma 6 4 5 6" xfId="30417"/>
    <cellStyle name="Comma 6 4 5 6 2" xfId="30418"/>
    <cellStyle name="Comma 6 4 5 7" xfId="30419"/>
    <cellStyle name="Comma 6 4 5 7 2" xfId="30420"/>
    <cellStyle name="Comma 6 4 5 8" xfId="30421"/>
    <cellStyle name="Comma 6 4 5 8 2" xfId="30422"/>
    <cellStyle name="Comma 6 4 5 9" xfId="30423"/>
    <cellStyle name="Comma 6 4 5 9 2" xfId="30424"/>
    <cellStyle name="Comma 6 4 50" xfId="30425"/>
    <cellStyle name="Comma 6 4 50 2" xfId="30426"/>
    <cellStyle name="Comma 6 4 51" xfId="30427"/>
    <cellStyle name="Comma 6 4 51 2" xfId="30428"/>
    <cellStyle name="Comma 6 4 52" xfId="30429"/>
    <cellStyle name="Comma 6 4 53" xfId="40065"/>
    <cellStyle name="Comma 6 4 54" xfId="41606"/>
    <cellStyle name="Comma 6 4 6" xfId="30430"/>
    <cellStyle name="Comma 6 4 6 10" xfId="30431"/>
    <cellStyle name="Comma 6 4 6 10 2" xfId="30432"/>
    <cellStyle name="Comma 6 4 6 11" xfId="30433"/>
    <cellStyle name="Comma 6 4 6 11 2" xfId="30434"/>
    <cellStyle name="Comma 6 4 6 12" xfId="30435"/>
    <cellStyle name="Comma 6 4 6 2" xfId="30436"/>
    <cellStyle name="Comma 6 4 6 2 2" xfId="30437"/>
    <cellStyle name="Comma 6 4 6 3" xfId="30438"/>
    <cellStyle name="Comma 6 4 6 3 2" xfId="30439"/>
    <cellStyle name="Comma 6 4 6 4" xfId="30440"/>
    <cellStyle name="Comma 6 4 6 4 2" xfId="30441"/>
    <cellStyle name="Comma 6 4 6 5" xfId="30442"/>
    <cellStyle name="Comma 6 4 6 5 2" xfId="30443"/>
    <cellStyle name="Comma 6 4 6 6" xfId="30444"/>
    <cellStyle name="Comma 6 4 6 6 2" xfId="30445"/>
    <cellStyle name="Comma 6 4 6 7" xfId="30446"/>
    <cellStyle name="Comma 6 4 6 7 2" xfId="30447"/>
    <cellStyle name="Comma 6 4 6 8" xfId="30448"/>
    <cellStyle name="Comma 6 4 6 8 2" xfId="30449"/>
    <cellStyle name="Comma 6 4 6 9" xfId="30450"/>
    <cellStyle name="Comma 6 4 6 9 2" xfId="30451"/>
    <cellStyle name="Comma 6 4 7" xfId="30452"/>
    <cellStyle name="Comma 6 4 7 10" xfId="30453"/>
    <cellStyle name="Comma 6 4 7 10 2" xfId="30454"/>
    <cellStyle name="Comma 6 4 7 11" xfId="30455"/>
    <cellStyle name="Comma 6 4 7 11 2" xfId="30456"/>
    <cellStyle name="Comma 6 4 7 12" xfId="30457"/>
    <cellStyle name="Comma 6 4 7 2" xfId="30458"/>
    <cellStyle name="Comma 6 4 7 2 2" xfId="30459"/>
    <cellStyle name="Comma 6 4 7 3" xfId="30460"/>
    <cellStyle name="Comma 6 4 7 3 2" xfId="30461"/>
    <cellStyle name="Comma 6 4 7 4" xfId="30462"/>
    <cellStyle name="Comma 6 4 7 4 2" xfId="30463"/>
    <cellStyle name="Comma 6 4 7 5" xfId="30464"/>
    <cellStyle name="Comma 6 4 7 5 2" xfId="30465"/>
    <cellStyle name="Comma 6 4 7 6" xfId="30466"/>
    <cellStyle name="Comma 6 4 7 6 2" xfId="30467"/>
    <cellStyle name="Comma 6 4 7 7" xfId="30468"/>
    <cellStyle name="Comma 6 4 7 7 2" xfId="30469"/>
    <cellStyle name="Comma 6 4 7 8" xfId="30470"/>
    <cellStyle name="Comma 6 4 7 8 2" xfId="30471"/>
    <cellStyle name="Comma 6 4 7 9" xfId="30472"/>
    <cellStyle name="Comma 6 4 7 9 2" xfId="30473"/>
    <cellStyle name="Comma 6 4 8" xfId="30474"/>
    <cellStyle name="Comma 6 4 8 10" xfId="30475"/>
    <cellStyle name="Comma 6 4 8 10 2" xfId="30476"/>
    <cellStyle name="Comma 6 4 8 11" xfId="30477"/>
    <cellStyle name="Comma 6 4 8 11 2" xfId="30478"/>
    <cellStyle name="Comma 6 4 8 12" xfId="30479"/>
    <cellStyle name="Comma 6 4 8 2" xfId="30480"/>
    <cellStyle name="Comma 6 4 8 2 2" xfId="30481"/>
    <cellStyle name="Comma 6 4 8 3" xfId="30482"/>
    <cellStyle name="Comma 6 4 8 3 2" xfId="30483"/>
    <cellStyle name="Comma 6 4 8 4" xfId="30484"/>
    <cellStyle name="Comma 6 4 8 4 2" xfId="30485"/>
    <cellStyle name="Comma 6 4 8 5" xfId="30486"/>
    <cellStyle name="Comma 6 4 8 5 2" xfId="30487"/>
    <cellStyle name="Comma 6 4 8 6" xfId="30488"/>
    <cellStyle name="Comma 6 4 8 6 2" xfId="30489"/>
    <cellStyle name="Comma 6 4 8 7" xfId="30490"/>
    <cellStyle name="Comma 6 4 8 7 2" xfId="30491"/>
    <cellStyle name="Comma 6 4 8 8" xfId="30492"/>
    <cellStyle name="Comma 6 4 8 8 2" xfId="30493"/>
    <cellStyle name="Comma 6 4 8 9" xfId="30494"/>
    <cellStyle name="Comma 6 4 8 9 2" xfId="30495"/>
    <cellStyle name="Comma 6 4 9" xfId="30496"/>
    <cellStyle name="Comma 6 4 9 10" xfId="30497"/>
    <cellStyle name="Comma 6 4 9 10 2" xfId="30498"/>
    <cellStyle name="Comma 6 4 9 11" xfId="30499"/>
    <cellStyle name="Comma 6 4 9 11 2" xfId="30500"/>
    <cellStyle name="Comma 6 4 9 12" xfId="30501"/>
    <cellStyle name="Comma 6 4 9 2" xfId="30502"/>
    <cellStyle name="Comma 6 4 9 2 2" xfId="30503"/>
    <cellStyle name="Comma 6 4 9 3" xfId="30504"/>
    <cellStyle name="Comma 6 4 9 3 2" xfId="30505"/>
    <cellStyle name="Comma 6 4 9 4" xfId="30506"/>
    <cellStyle name="Comma 6 4 9 4 2" xfId="30507"/>
    <cellStyle name="Comma 6 4 9 5" xfId="30508"/>
    <cellStyle name="Comma 6 4 9 5 2" xfId="30509"/>
    <cellStyle name="Comma 6 4 9 6" xfId="30510"/>
    <cellStyle name="Comma 6 4 9 6 2" xfId="30511"/>
    <cellStyle name="Comma 6 4 9 7" xfId="30512"/>
    <cellStyle name="Comma 6 4 9 7 2" xfId="30513"/>
    <cellStyle name="Comma 6 4 9 8" xfId="30514"/>
    <cellStyle name="Comma 6 4 9 8 2" xfId="30515"/>
    <cellStyle name="Comma 6 4 9 9" xfId="30516"/>
    <cellStyle name="Comma 6 4 9 9 2" xfId="30517"/>
    <cellStyle name="Comma 6 4_consumption scenario A" xfId="37634"/>
    <cellStyle name="Comma 6 40" xfId="30518"/>
    <cellStyle name="Comma 6 40 10" xfId="30519"/>
    <cellStyle name="Comma 6 40 10 2" xfId="30520"/>
    <cellStyle name="Comma 6 40 11" xfId="30521"/>
    <cellStyle name="Comma 6 40 11 2" xfId="30522"/>
    <cellStyle name="Comma 6 40 12" xfId="30523"/>
    <cellStyle name="Comma 6 40 2" xfId="30524"/>
    <cellStyle name="Comma 6 40 2 2" xfId="30525"/>
    <cellStyle name="Comma 6 40 3" xfId="30526"/>
    <cellStyle name="Comma 6 40 3 2" xfId="30527"/>
    <cellStyle name="Comma 6 40 4" xfId="30528"/>
    <cellStyle name="Comma 6 40 4 2" xfId="30529"/>
    <cellStyle name="Comma 6 40 5" xfId="30530"/>
    <cellStyle name="Comma 6 40 5 2" xfId="30531"/>
    <cellStyle name="Comma 6 40 6" xfId="30532"/>
    <cellStyle name="Comma 6 40 6 2" xfId="30533"/>
    <cellStyle name="Comma 6 40 7" xfId="30534"/>
    <cellStyle name="Comma 6 40 7 2" xfId="30535"/>
    <cellStyle name="Comma 6 40 8" xfId="30536"/>
    <cellStyle name="Comma 6 40 8 2" xfId="30537"/>
    <cellStyle name="Comma 6 40 9" xfId="30538"/>
    <cellStyle name="Comma 6 40 9 2" xfId="30539"/>
    <cellStyle name="Comma 6 41" xfId="30540"/>
    <cellStyle name="Comma 6 41 10" xfId="30541"/>
    <cellStyle name="Comma 6 41 10 2" xfId="30542"/>
    <cellStyle name="Comma 6 41 11" xfId="30543"/>
    <cellStyle name="Comma 6 41 11 2" xfId="30544"/>
    <cellStyle name="Comma 6 41 12" xfId="30545"/>
    <cellStyle name="Comma 6 41 2" xfId="30546"/>
    <cellStyle name="Comma 6 41 2 2" xfId="30547"/>
    <cellStyle name="Comma 6 41 3" xfId="30548"/>
    <cellStyle name="Comma 6 41 3 2" xfId="30549"/>
    <cellStyle name="Comma 6 41 4" xfId="30550"/>
    <cellStyle name="Comma 6 41 4 2" xfId="30551"/>
    <cellStyle name="Comma 6 41 5" xfId="30552"/>
    <cellStyle name="Comma 6 41 5 2" xfId="30553"/>
    <cellStyle name="Comma 6 41 6" xfId="30554"/>
    <cellStyle name="Comma 6 41 6 2" xfId="30555"/>
    <cellStyle name="Comma 6 41 7" xfId="30556"/>
    <cellStyle name="Comma 6 41 7 2" xfId="30557"/>
    <cellStyle name="Comma 6 41 8" xfId="30558"/>
    <cellStyle name="Comma 6 41 8 2" xfId="30559"/>
    <cellStyle name="Comma 6 41 9" xfId="30560"/>
    <cellStyle name="Comma 6 41 9 2" xfId="30561"/>
    <cellStyle name="Comma 6 42" xfId="30562"/>
    <cellStyle name="Comma 6 42 10" xfId="30563"/>
    <cellStyle name="Comma 6 42 10 2" xfId="30564"/>
    <cellStyle name="Comma 6 42 11" xfId="30565"/>
    <cellStyle name="Comma 6 42 11 2" xfId="30566"/>
    <cellStyle name="Comma 6 42 12" xfId="30567"/>
    <cellStyle name="Comma 6 42 2" xfId="30568"/>
    <cellStyle name="Comma 6 42 2 2" xfId="30569"/>
    <cellStyle name="Comma 6 42 3" xfId="30570"/>
    <cellStyle name="Comma 6 42 3 2" xfId="30571"/>
    <cellStyle name="Comma 6 42 4" xfId="30572"/>
    <cellStyle name="Comma 6 42 4 2" xfId="30573"/>
    <cellStyle name="Comma 6 42 5" xfId="30574"/>
    <cellStyle name="Comma 6 42 5 2" xfId="30575"/>
    <cellStyle name="Comma 6 42 6" xfId="30576"/>
    <cellStyle name="Comma 6 42 6 2" xfId="30577"/>
    <cellStyle name="Comma 6 42 7" xfId="30578"/>
    <cellStyle name="Comma 6 42 7 2" xfId="30579"/>
    <cellStyle name="Comma 6 42 8" xfId="30580"/>
    <cellStyle name="Comma 6 42 8 2" xfId="30581"/>
    <cellStyle name="Comma 6 42 9" xfId="30582"/>
    <cellStyle name="Comma 6 42 9 2" xfId="30583"/>
    <cellStyle name="Comma 6 43" xfId="30584"/>
    <cellStyle name="Comma 6 43 10" xfId="30585"/>
    <cellStyle name="Comma 6 43 10 2" xfId="30586"/>
    <cellStyle name="Comma 6 43 11" xfId="30587"/>
    <cellStyle name="Comma 6 43 11 2" xfId="30588"/>
    <cellStyle name="Comma 6 43 12" xfId="30589"/>
    <cellStyle name="Comma 6 43 2" xfId="30590"/>
    <cellStyle name="Comma 6 43 2 2" xfId="30591"/>
    <cellStyle name="Comma 6 43 3" xfId="30592"/>
    <cellStyle name="Comma 6 43 3 2" xfId="30593"/>
    <cellStyle name="Comma 6 43 4" xfId="30594"/>
    <cellStyle name="Comma 6 43 4 2" xfId="30595"/>
    <cellStyle name="Comma 6 43 5" xfId="30596"/>
    <cellStyle name="Comma 6 43 5 2" xfId="30597"/>
    <cellStyle name="Comma 6 43 6" xfId="30598"/>
    <cellStyle name="Comma 6 43 6 2" xfId="30599"/>
    <cellStyle name="Comma 6 43 7" xfId="30600"/>
    <cellStyle name="Comma 6 43 7 2" xfId="30601"/>
    <cellStyle name="Comma 6 43 8" xfId="30602"/>
    <cellStyle name="Comma 6 43 8 2" xfId="30603"/>
    <cellStyle name="Comma 6 43 9" xfId="30604"/>
    <cellStyle name="Comma 6 43 9 2" xfId="30605"/>
    <cellStyle name="Comma 6 44" xfId="30606"/>
    <cellStyle name="Comma 6 44 10" xfId="30607"/>
    <cellStyle name="Comma 6 44 10 2" xfId="30608"/>
    <cellStyle name="Comma 6 44 11" xfId="30609"/>
    <cellStyle name="Comma 6 44 11 2" xfId="30610"/>
    <cellStyle name="Comma 6 44 12" xfId="30611"/>
    <cellStyle name="Comma 6 44 2" xfId="30612"/>
    <cellStyle name="Comma 6 44 2 2" xfId="30613"/>
    <cellStyle name="Comma 6 44 3" xfId="30614"/>
    <cellStyle name="Comma 6 44 3 2" xfId="30615"/>
    <cellStyle name="Comma 6 44 4" xfId="30616"/>
    <cellStyle name="Comma 6 44 4 2" xfId="30617"/>
    <cellStyle name="Comma 6 44 5" xfId="30618"/>
    <cellStyle name="Comma 6 44 5 2" xfId="30619"/>
    <cellStyle name="Comma 6 44 6" xfId="30620"/>
    <cellStyle name="Comma 6 44 6 2" xfId="30621"/>
    <cellStyle name="Comma 6 44 7" xfId="30622"/>
    <cellStyle name="Comma 6 44 7 2" xfId="30623"/>
    <cellStyle name="Comma 6 44 8" xfId="30624"/>
    <cellStyle name="Comma 6 44 8 2" xfId="30625"/>
    <cellStyle name="Comma 6 44 9" xfId="30626"/>
    <cellStyle name="Comma 6 44 9 2" xfId="30627"/>
    <cellStyle name="Comma 6 45" xfId="30628"/>
    <cellStyle name="Comma 6 45 2" xfId="30629"/>
    <cellStyle name="Comma 6 46" xfId="30630"/>
    <cellStyle name="Comma 6 46 2" xfId="30631"/>
    <cellStyle name="Comma 6 47" xfId="30632"/>
    <cellStyle name="Comma 6 47 2" xfId="30633"/>
    <cellStyle name="Comma 6 48" xfId="30634"/>
    <cellStyle name="Comma 6 48 2" xfId="30635"/>
    <cellStyle name="Comma 6 49" xfId="30636"/>
    <cellStyle name="Comma 6 49 2" xfId="30637"/>
    <cellStyle name="Comma 6 5" xfId="30638"/>
    <cellStyle name="Comma 6 5 10" xfId="30639"/>
    <cellStyle name="Comma 6 5 10 10" xfId="30640"/>
    <cellStyle name="Comma 6 5 10 10 2" xfId="30641"/>
    <cellStyle name="Comma 6 5 10 11" xfId="30642"/>
    <cellStyle name="Comma 6 5 10 11 2" xfId="30643"/>
    <cellStyle name="Comma 6 5 10 12" xfId="30644"/>
    <cellStyle name="Comma 6 5 10 2" xfId="30645"/>
    <cellStyle name="Comma 6 5 10 2 2" xfId="30646"/>
    <cellStyle name="Comma 6 5 10 3" xfId="30647"/>
    <cellStyle name="Comma 6 5 10 3 2" xfId="30648"/>
    <cellStyle name="Comma 6 5 10 4" xfId="30649"/>
    <cellStyle name="Comma 6 5 10 4 2" xfId="30650"/>
    <cellStyle name="Comma 6 5 10 5" xfId="30651"/>
    <cellStyle name="Comma 6 5 10 5 2" xfId="30652"/>
    <cellStyle name="Comma 6 5 10 6" xfId="30653"/>
    <cellStyle name="Comma 6 5 10 6 2" xfId="30654"/>
    <cellStyle name="Comma 6 5 10 7" xfId="30655"/>
    <cellStyle name="Comma 6 5 10 7 2" xfId="30656"/>
    <cellStyle name="Comma 6 5 10 8" xfId="30657"/>
    <cellStyle name="Comma 6 5 10 8 2" xfId="30658"/>
    <cellStyle name="Comma 6 5 10 9" xfId="30659"/>
    <cellStyle name="Comma 6 5 10 9 2" xfId="30660"/>
    <cellStyle name="Comma 6 5 11" xfId="30661"/>
    <cellStyle name="Comma 6 5 11 10" xfId="30662"/>
    <cellStyle name="Comma 6 5 11 10 2" xfId="30663"/>
    <cellStyle name="Comma 6 5 11 11" xfId="30664"/>
    <cellStyle name="Comma 6 5 11 11 2" xfId="30665"/>
    <cellStyle name="Comma 6 5 11 12" xfId="30666"/>
    <cellStyle name="Comma 6 5 11 2" xfId="30667"/>
    <cellStyle name="Comma 6 5 11 2 2" xfId="30668"/>
    <cellStyle name="Comma 6 5 11 3" xfId="30669"/>
    <cellStyle name="Comma 6 5 11 3 2" xfId="30670"/>
    <cellStyle name="Comma 6 5 11 4" xfId="30671"/>
    <cellStyle name="Comma 6 5 11 4 2" xfId="30672"/>
    <cellStyle name="Comma 6 5 11 5" xfId="30673"/>
    <cellStyle name="Comma 6 5 11 5 2" xfId="30674"/>
    <cellStyle name="Comma 6 5 11 6" xfId="30675"/>
    <cellStyle name="Comma 6 5 11 6 2" xfId="30676"/>
    <cellStyle name="Comma 6 5 11 7" xfId="30677"/>
    <cellStyle name="Comma 6 5 11 7 2" xfId="30678"/>
    <cellStyle name="Comma 6 5 11 8" xfId="30679"/>
    <cellStyle name="Comma 6 5 11 8 2" xfId="30680"/>
    <cellStyle name="Comma 6 5 11 9" xfId="30681"/>
    <cellStyle name="Comma 6 5 11 9 2" xfId="30682"/>
    <cellStyle name="Comma 6 5 12" xfId="30683"/>
    <cellStyle name="Comma 6 5 12 10" xfId="30684"/>
    <cellStyle name="Comma 6 5 12 10 2" xfId="30685"/>
    <cellStyle name="Comma 6 5 12 11" xfId="30686"/>
    <cellStyle name="Comma 6 5 12 11 2" xfId="30687"/>
    <cellStyle name="Comma 6 5 12 12" xfId="30688"/>
    <cellStyle name="Comma 6 5 12 2" xfId="30689"/>
    <cellStyle name="Comma 6 5 12 2 2" xfId="30690"/>
    <cellStyle name="Comma 6 5 12 3" xfId="30691"/>
    <cellStyle name="Comma 6 5 12 3 2" xfId="30692"/>
    <cellStyle name="Comma 6 5 12 4" xfId="30693"/>
    <cellStyle name="Comma 6 5 12 4 2" xfId="30694"/>
    <cellStyle name="Comma 6 5 12 5" xfId="30695"/>
    <cellStyle name="Comma 6 5 12 5 2" xfId="30696"/>
    <cellStyle name="Comma 6 5 12 6" xfId="30697"/>
    <cellStyle name="Comma 6 5 12 6 2" xfId="30698"/>
    <cellStyle name="Comma 6 5 12 7" xfId="30699"/>
    <cellStyle name="Comma 6 5 12 7 2" xfId="30700"/>
    <cellStyle name="Comma 6 5 12 8" xfId="30701"/>
    <cellStyle name="Comma 6 5 12 8 2" xfId="30702"/>
    <cellStyle name="Comma 6 5 12 9" xfId="30703"/>
    <cellStyle name="Comma 6 5 12 9 2" xfId="30704"/>
    <cellStyle name="Comma 6 5 13" xfId="30705"/>
    <cellStyle name="Comma 6 5 13 10" xfId="30706"/>
    <cellStyle name="Comma 6 5 13 10 2" xfId="30707"/>
    <cellStyle name="Comma 6 5 13 11" xfId="30708"/>
    <cellStyle name="Comma 6 5 13 11 2" xfId="30709"/>
    <cellStyle name="Comma 6 5 13 12" xfId="30710"/>
    <cellStyle name="Comma 6 5 13 2" xfId="30711"/>
    <cellStyle name="Comma 6 5 13 2 2" xfId="30712"/>
    <cellStyle name="Comma 6 5 13 3" xfId="30713"/>
    <cellStyle name="Comma 6 5 13 3 2" xfId="30714"/>
    <cellStyle name="Comma 6 5 13 4" xfId="30715"/>
    <cellStyle name="Comma 6 5 13 4 2" xfId="30716"/>
    <cellStyle name="Comma 6 5 13 5" xfId="30717"/>
    <cellStyle name="Comma 6 5 13 5 2" xfId="30718"/>
    <cellStyle name="Comma 6 5 13 6" xfId="30719"/>
    <cellStyle name="Comma 6 5 13 6 2" xfId="30720"/>
    <cellStyle name="Comma 6 5 13 7" xfId="30721"/>
    <cellStyle name="Comma 6 5 13 7 2" xfId="30722"/>
    <cellStyle name="Comma 6 5 13 8" xfId="30723"/>
    <cellStyle name="Comma 6 5 13 8 2" xfId="30724"/>
    <cellStyle name="Comma 6 5 13 9" xfId="30725"/>
    <cellStyle name="Comma 6 5 13 9 2" xfId="30726"/>
    <cellStyle name="Comma 6 5 14" xfId="30727"/>
    <cellStyle name="Comma 6 5 14 10" xfId="30728"/>
    <cellStyle name="Comma 6 5 14 10 2" xfId="30729"/>
    <cellStyle name="Comma 6 5 14 11" xfId="30730"/>
    <cellStyle name="Comma 6 5 14 11 2" xfId="30731"/>
    <cellStyle name="Comma 6 5 14 12" xfId="30732"/>
    <cellStyle name="Comma 6 5 14 2" xfId="30733"/>
    <cellStyle name="Comma 6 5 14 2 2" xfId="30734"/>
    <cellStyle name="Comma 6 5 14 3" xfId="30735"/>
    <cellStyle name="Comma 6 5 14 3 2" xfId="30736"/>
    <cellStyle name="Comma 6 5 14 4" xfId="30737"/>
    <cellStyle name="Comma 6 5 14 4 2" xfId="30738"/>
    <cellStyle name="Comma 6 5 14 5" xfId="30739"/>
    <cellStyle name="Comma 6 5 14 5 2" xfId="30740"/>
    <cellStyle name="Comma 6 5 14 6" xfId="30741"/>
    <cellStyle name="Comma 6 5 14 6 2" xfId="30742"/>
    <cellStyle name="Comma 6 5 14 7" xfId="30743"/>
    <cellStyle name="Comma 6 5 14 7 2" xfId="30744"/>
    <cellStyle name="Comma 6 5 14 8" xfId="30745"/>
    <cellStyle name="Comma 6 5 14 8 2" xfId="30746"/>
    <cellStyle name="Comma 6 5 14 9" xfId="30747"/>
    <cellStyle name="Comma 6 5 14 9 2" xfId="30748"/>
    <cellStyle name="Comma 6 5 15" xfId="30749"/>
    <cellStyle name="Comma 6 5 15 10" xfId="30750"/>
    <cellStyle name="Comma 6 5 15 10 2" xfId="30751"/>
    <cellStyle name="Comma 6 5 15 11" xfId="30752"/>
    <cellStyle name="Comma 6 5 15 11 2" xfId="30753"/>
    <cellStyle name="Comma 6 5 15 12" xfId="30754"/>
    <cellStyle name="Comma 6 5 15 2" xfId="30755"/>
    <cellStyle name="Comma 6 5 15 2 2" xfId="30756"/>
    <cellStyle name="Comma 6 5 15 3" xfId="30757"/>
    <cellStyle name="Comma 6 5 15 3 2" xfId="30758"/>
    <cellStyle name="Comma 6 5 15 4" xfId="30759"/>
    <cellStyle name="Comma 6 5 15 4 2" xfId="30760"/>
    <cellStyle name="Comma 6 5 15 5" xfId="30761"/>
    <cellStyle name="Comma 6 5 15 5 2" xfId="30762"/>
    <cellStyle name="Comma 6 5 15 6" xfId="30763"/>
    <cellStyle name="Comma 6 5 15 6 2" xfId="30764"/>
    <cellStyle name="Comma 6 5 15 7" xfId="30765"/>
    <cellStyle name="Comma 6 5 15 7 2" xfId="30766"/>
    <cellStyle name="Comma 6 5 15 8" xfId="30767"/>
    <cellStyle name="Comma 6 5 15 8 2" xfId="30768"/>
    <cellStyle name="Comma 6 5 15 9" xfId="30769"/>
    <cellStyle name="Comma 6 5 15 9 2" xfId="30770"/>
    <cellStyle name="Comma 6 5 16" xfId="30771"/>
    <cellStyle name="Comma 6 5 16 2" xfId="30772"/>
    <cellStyle name="Comma 6 5 17" xfId="30773"/>
    <cellStyle name="Comma 6 5 17 2" xfId="30774"/>
    <cellStyle name="Comma 6 5 18" xfId="30775"/>
    <cellStyle name="Comma 6 5 18 2" xfId="30776"/>
    <cellStyle name="Comma 6 5 19" xfId="30777"/>
    <cellStyle name="Comma 6 5 19 2" xfId="30778"/>
    <cellStyle name="Comma 6 5 2" xfId="30779"/>
    <cellStyle name="Comma 6 5 2 10" xfId="30780"/>
    <cellStyle name="Comma 6 5 2 10 2" xfId="30781"/>
    <cellStyle name="Comma 6 5 2 11" xfId="30782"/>
    <cellStyle name="Comma 6 5 2 11 2" xfId="30783"/>
    <cellStyle name="Comma 6 5 2 12" xfId="30784"/>
    <cellStyle name="Comma 6 5 2 2" xfId="30785"/>
    <cellStyle name="Comma 6 5 2 2 2" xfId="30786"/>
    <cellStyle name="Comma 6 5 2 3" xfId="30787"/>
    <cellStyle name="Comma 6 5 2 3 2" xfId="30788"/>
    <cellStyle name="Comma 6 5 2 4" xfId="30789"/>
    <cellStyle name="Comma 6 5 2 4 2" xfId="30790"/>
    <cellStyle name="Comma 6 5 2 5" xfId="30791"/>
    <cellStyle name="Comma 6 5 2 5 2" xfId="30792"/>
    <cellStyle name="Comma 6 5 2 6" xfId="30793"/>
    <cellStyle name="Comma 6 5 2 6 2" xfId="30794"/>
    <cellStyle name="Comma 6 5 2 7" xfId="30795"/>
    <cellStyle name="Comma 6 5 2 7 2" xfId="30796"/>
    <cellStyle name="Comma 6 5 2 8" xfId="30797"/>
    <cellStyle name="Comma 6 5 2 8 2" xfId="30798"/>
    <cellStyle name="Comma 6 5 2 9" xfId="30799"/>
    <cellStyle name="Comma 6 5 2 9 2" xfId="30800"/>
    <cellStyle name="Comma 6 5 20" xfId="30801"/>
    <cellStyle name="Comma 6 5 20 2" xfId="30802"/>
    <cellStyle name="Comma 6 5 21" xfId="30803"/>
    <cellStyle name="Comma 6 5 21 2" xfId="30804"/>
    <cellStyle name="Comma 6 5 22" xfId="30805"/>
    <cellStyle name="Comma 6 5 22 2" xfId="30806"/>
    <cellStyle name="Comma 6 5 23" xfId="30807"/>
    <cellStyle name="Comma 6 5 23 2" xfId="30808"/>
    <cellStyle name="Comma 6 5 24" xfId="30809"/>
    <cellStyle name="Comma 6 5 24 2" xfId="30810"/>
    <cellStyle name="Comma 6 5 25" xfId="30811"/>
    <cellStyle name="Comma 6 5 25 2" xfId="30812"/>
    <cellStyle name="Comma 6 5 26" xfId="30813"/>
    <cellStyle name="Comma 6 5 3" xfId="30814"/>
    <cellStyle name="Comma 6 5 3 10" xfId="30815"/>
    <cellStyle name="Comma 6 5 3 10 2" xfId="30816"/>
    <cellStyle name="Comma 6 5 3 11" xfId="30817"/>
    <cellStyle name="Comma 6 5 3 11 2" xfId="30818"/>
    <cellStyle name="Comma 6 5 3 12" xfId="30819"/>
    <cellStyle name="Comma 6 5 3 2" xfId="30820"/>
    <cellStyle name="Comma 6 5 3 2 2" xfId="30821"/>
    <cellStyle name="Comma 6 5 3 3" xfId="30822"/>
    <cellStyle name="Comma 6 5 3 3 2" xfId="30823"/>
    <cellStyle name="Comma 6 5 3 4" xfId="30824"/>
    <cellStyle name="Comma 6 5 3 4 2" xfId="30825"/>
    <cellStyle name="Comma 6 5 3 5" xfId="30826"/>
    <cellStyle name="Comma 6 5 3 5 2" xfId="30827"/>
    <cellStyle name="Comma 6 5 3 6" xfId="30828"/>
    <cellStyle name="Comma 6 5 3 6 2" xfId="30829"/>
    <cellStyle name="Comma 6 5 3 7" xfId="30830"/>
    <cellStyle name="Comma 6 5 3 7 2" xfId="30831"/>
    <cellStyle name="Comma 6 5 3 8" xfId="30832"/>
    <cellStyle name="Comma 6 5 3 8 2" xfId="30833"/>
    <cellStyle name="Comma 6 5 3 9" xfId="30834"/>
    <cellStyle name="Comma 6 5 3 9 2" xfId="30835"/>
    <cellStyle name="Comma 6 5 4" xfId="30836"/>
    <cellStyle name="Comma 6 5 4 10" xfId="30837"/>
    <cellStyle name="Comma 6 5 4 10 2" xfId="30838"/>
    <cellStyle name="Comma 6 5 4 11" xfId="30839"/>
    <cellStyle name="Comma 6 5 4 11 2" xfId="30840"/>
    <cellStyle name="Comma 6 5 4 12" xfId="30841"/>
    <cellStyle name="Comma 6 5 4 2" xfId="30842"/>
    <cellStyle name="Comma 6 5 4 2 2" xfId="30843"/>
    <cellStyle name="Comma 6 5 4 3" xfId="30844"/>
    <cellStyle name="Comma 6 5 4 3 2" xfId="30845"/>
    <cellStyle name="Comma 6 5 4 4" xfId="30846"/>
    <cellStyle name="Comma 6 5 4 4 2" xfId="30847"/>
    <cellStyle name="Comma 6 5 4 5" xfId="30848"/>
    <cellStyle name="Comma 6 5 4 5 2" xfId="30849"/>
    <cellStyle name="Comma 6 5 4 6" xfId="30850"/>
    <cellStyle name="Comma 6 5 4 6 2" xfId="30851"/>
    <cellStyle name="Comma 6 5 4 7" xfId="30852"/>
    <cellStyle name="Comma 6 5 4 7 2" xfId="30853"/>
    <cellStyle name="Comma 6 5 4 8" xfId="30854"/>
    <cellStyle name="Comma 6 5 4 8 2" xfId="30855"/>
    <cellStyle name="Comma 6 5 4 9" xfId="30856"/>
    <cellStyle name="Comma 6 5 4 9 2" xfId="30857"/>
    <cellStyle name="Comma 6 5 5" xfId="30858"/>
    <cellStyle name="Comma 6 5 5 10" xfId="30859"/>
    <cellStyle name="Comma 6 5 5 10 2" xfId="30860"/>
    <cellStyle name="Comma 6 5 5 11" xfId="30861"/>
    <cellStyle name="Comma 6 5 5 11 2" xfId="30862"/>
    <cellStyle name="Comma 6 5 5 12" xfId="30863"/>
    <cellStyle name="Comma 6 5 5 2" xfId="30864"/>
    <cellStyle name="Comma 6 5 5 2 2" xfId="30865"/>
    <cellStyle name="Comma 6 5 5 3" xfId="30866"/>
    <cellStyle name="Comma 6 5 5 3 2" xfId="30867"/>
    <cellStyle name="Comma 6 5 5 4" xfId="30868"/>
    <cellStyle name="Comma 6 5 5 4 2" xfId="30869"/>
    <cellStyle name="Comma 6 5 5 5" xfId="30870"/>
    <cellStyle name="Comma 6 5 5 5 2" xfId="30871"/>
    <cellStyle name="Comma 6 5 5 6" xfId="30872"/>
    <cellStyle name="Comma 6 5 5 6 2" xfId="30873"/>
    <cellStyle name="Comma 6 5 5 7" xfId="30874"/>
    <cellStyle name="Comma 6 5 5 7 2" xfId="30875"/>
    <cellStyle name="Comma 6 5 5 8" xfId="30876"/>
    <cellStyle name="Comma 6 5 5 8 2" xfId="30877"/>
    <cellStyle name="Comma 6 5 5 9" xfId="30878"/>
    <cellStyle name="Comma 6 5 5 9 2" xfId="30879"/>
    <cellStyle name="Comma 6 5 6" xfId="30880"/>
    <cellStyle name="Comma 6 5 6 10" xfId="30881"/>
    <cellStyle name="Comma 6 5 6 10 2" xfId="30882"/>
    <cellStyle name="Comma 6 5 6 11" xfId="30883"/>
    <cellStyle name="Comma 6 5 6 11 2" xfId="30884"/>
    <cellStyle name="Comma 6 5 6 12" xfId="30885"/>
    <cellStyle name="Comma 6 5 6 2" xfId="30886"/>
    <cellStyle name="Comma 6 5 6 2 2" xfId="30887"/>
    <cellStyle name="Comma 6 5 6 3" xfId="30888"/>
    <cellStyle name="Comma 6 5 6 3 2" xfId="30889"/>
    <cellStyle name="Comma 6 5 6 4" xfId="30890"/>
    <cellStyle name="Comma 6 5 6 4 2" xfId="30891"/>
    <cellStyle name="Comma 6 5 6 5" xfId="30892"/>
    <cellStyle name="Comma 6 5 6 5 2" xfId="30893"/>
    <cellStyle name="Comma 6 5 6 6" xfId="30894"/>
    <cellStyle name="Comma 6 5 6 6 2" xfId="30895"/>
    <cellStyle name="Comma 6 5 6 7" xfId="30896"/>
    <cellStyle name="Comma 6 5 6 7 2" xfId="30897"/>
    <cellStyle name="Comma 6 5 6 8" xfId="30898"/>
    <cellStyle name="Comma 6 5 6 8 2" xfId="30899"/>
    <cellStyle name="Comma 6 5 6 9" xfId="30900"/>
    <cellStyle name="Comma 6 5 6 9 2" xfId="30901"/>
    <cellStyle name="Comma 6 5 7" xfId="30902"/>
    <cellStyle name="Comma 6 5 7 10" xfId="30903"/>
    <cellStyle name="Comma 6 5 7 10 2" xfId="30904"/>
    <cellStyle name="Comma 6 5 7 11" xfId="30905"/>
    <cellStyle name="Comma 6 5 7 11 2" xfId="30906"/>
    <cellStyle name="Comma 6 5 7 12" xfId="30907"/>
    <cellStyle name="Comma 6 5 7 2" xfId="30908"/>
    <cellStyle name="Comma 6 5 7 2 2" xfId="30909"/>
    <cellStyle name="Comma 6 5 7 3" xfId="30910"/>
    <cellStyle name="Comma 6 5 7 3 2" xfId="30911"/>
    <cellStyle name="Comma 6 5 7 4" xfId="30912"/>
    <cellStyle name="Comma 6 5 7 4 2" xfId="30913"/>
    <cellStyle name="Comma 6 5 7 5" xfId="30914"/>
    <cellStyle name="Comma 6 5 7 5 2" xfId="30915"/>
    <cellStyle name="Comma 6 5 7 6" xfId="30916"/>
    <cellStyle name="Comma 6 5 7 6 2" xfId="30917"/>
    <cellStyle name="Comma 6 5 7 7" xfId="30918"/>
    <cellStyle name="Comma 6 5 7 7 2" xfId="30919"/>
    <cellStyle name="Comma 6 5 7 8" xfId="30920"/>
    <cellStyle name="Comma 6 5 7 8 2" xfId="30921"/>
    <cellStyle name="Comma 6 5 7 9" xfId="30922"/>
    <cellStyle name="Comma 6 5 7 9 2" xfId="30923"/>
    <cellStyle name="Comma 6 5 8" xfId="30924"/>
    <cellStyle name="Comma 6 5 8 10" xfId="30925"/>
    <cellStyle name="Comma 6 5 8 10 2" xfId="30926"/>
    <cellStyle name="Comma 6 5 8 11" xfId="30927"/>
    <cellStyle name="Comma 6 5 8 11 2" xfId="30928"/>
    <cellStyle name="Comma 6 5 8 12" xfId="30929"/>
    <cellStyle name="Comma 6 5 8 2" xfId="30930"/>
    <cellStyle name="Comma 6 5 8 2 2" xfId="30931"/>
    <cellStyle name="Comma 6 5 8 3" xfId="30932"/>
    <cellStyle name="Comma 6 5 8 3 2" xfId="30933"/>
    <cellStyle name="Comma 6 5 8 4" xfId="30934"/>
    <cellStyle name="Comma 6 5 8 4 2" xfId="30935"/>
    <cellStyle name="Comma 6 5 8 5" xfId="30936"/>
    <cellStyle name="Comma 6 5 8 5 2" xfId="30937"/>
    <cellStyle name="Comma 6 5 8 6" xfId="30938"/>
    <cellStyle name="Comma 6 5 8 6 2" xfId="30939"/>
    <cellStyle name="Comma 6 5 8 7" xfId="30940"/>
    <cellStyle name="Comma 6 5 8 7 2" xfId="30941"/>
    <cellStyle name="Comma 6 5 8 8" xfId="30942"/>
    <cellStyle name="Comma 6 5 8 8 2" xfId="30943"/>
    <cellStyle name="Comma 6 5 8 9" xfId="30944"/>
    <cellStyle name="Comma 6 5 8 9 2" xfId="30945"/>
    <cellStyle name="Comma 6 5 9" xfId="30946"/>
    <cellStyle name="Comma 6 5 9 10" xfId="30947"/>
    <cellStyle name="Comma 6 5 9 10 2" xfId="30948"/>
    <cellStyle name="Comma 6 5 9 11" xfId="30949"/>
    <cellStyle name="Comma 6 5 9 11 2" xfId="30950"/>
    <cellStyle name="Comma 6 5 9 12" xfId="30951"/>
    <cellStyle name="Comma 6 5 9 2" xfId="30952"/>
    <cellStyle name="Comma 6 5 9 2 2" xfId="30953"/>
    <cellStyle name="Comma 6 5 9 3" xfId="30954"/>
    <cellStyle name="Comma 6 5 9 3 2" xfId="30955"/>
    <cellStyle name="Comma 6 5 9 4" xfId="30956"/>
    <cellStyle name="Comma 6 5 9 4 2" xfId="30957"/>
    <cellStyle name="Comma 6 5 9 5" xfId="30958"/>
    <cellStyle name="Comma 6 5 9 5 2" xfId="30959"/>
    <cellStyle name="Comma 6 5 9 6" xfId="30960"/>
    <cellStyle name="Comma 6 5 9 6 2" xfId="30961"/>
    <cellStyle name="Comma 6 5 9 7" xfId="30962"/>
    <cellStyle name="Comma 6 5 9 7 2" xfId="30963"/>
    <cellStyle name="Comma 6 5 9 8" xfId="30964"/>
    <cellStyle name="Comma 6 5 9 8 2" xfId="30965"/>
    <cellStyle name="Comma 6 5 9 9" xfId="30966"/>
    <cellStyle name="Comma 6 5 9 9 2" xfId="30967"/>
    <cellStyle name="Comma 6 50" xfId="30968"/>
    <cellStyle name="Comma 6 50 2" xfId="30969"/>
    <cellStyle name="Comma 6 51" xfId="30970"/>
    <cellStyle name="Comma 6 51 2" xfId="30971"/>
    <cellStyle name="Comma 6 52" xfId="30972"/>
    <cellStyle name="Comma 6 52 2" xfId="30973"/>
    <cellStyle name="Comma 6 53" xfId="30974"/>
    <cellStyle name="Comma 6 53 2" xfId="30975"/>
    <cellStyle name="Comma 6 54" xfId="30976"/>
    <cellStyle name="Comma 6 54 2" xfId="30977"/>
    <cellStyle name="Comma 6 55" xfId="30978"/>
    <cellStyle name="Comma 6 55 2" xfId="30979"/>
    <cellStyle name="Comma 6 56" xfId="30980"/>
    <cellStyle name="Comma 6 56 2" xfId="30981"/>
    <cellStyle name="Comma 6 57" xfId="30982"/>
    <cellStyle name="Comma 6 58" xfId="35935"/>
    <cellStyle name="Comma 6 59" xfId="38050"/>
    <cellStyle name="Comma 6 6" xfId="30983"/>
    <cellStyle name="Comma 6 6 10" xfId="30984"/>
    <cellStyle name="Comma 6 6 10 10" xfId="30985"/>
    <cellStyle name="Comma 6 6 10 10 2" xfId="30986"/>
    <cellStyle name="Comma 6 6 10 11" xfId="30987"/>
    <cellStyle name="Comma 6 6 10 11 2" xfId="30988"/>
    <cellStyle name="Comma 6 6 10 12" xfId="30989"/>
    <cellStyle name="Comma 6 6 10 2" xfId="30990"/>
    <cellStyle name="Comma 6 6 10 2 2" xfId="30991"/>
    <cellStyle name="Comma 6 6 10 3" xfId="30992"/>
    <cellStyle name="Comma 6 6 10 3 2" xfId="30993"/>
    <cellStyle name="Comma 6 6 10 4" xfId="30994"/>
    <cellStyle name="Comma 6 6 10 4 2" xfId="30995"/>
    <cellStyle name="Comma 6 6 10 5" xfId="30996"/>
    <cellStyle name="Comma 6 6 10 5 2" xfId="30997"/>
    <cellStyle name="Comma 6 6 10 6" xfId="30998"/>
    <cellStyle name="Comma 6 6 10 6 2" xfId="30999"/>
    <cellStyle name="Comma 6 6 10 7" xfId="31000"/>
    <cellStyle name="Comma 6 6 10 7 2" xfId="31001"/>
    <cellStyle name="Comma 6 6 10 8" xfId="31002"/>
    <cellStyle name="Comma 6 6 10 8 2" xfId="31003"/>
    <cellStyle name="Comma 6 6 10 9" xfId="31004"/>
    <cellStyle name="Comma 6 6 10 9 2" xfId="31005"/>
    <cellStyle name="Comma 6 6 11" xfId="31006"/>
    <cellStyle name="Comma 6 6 11 10" xfId="31007"/>
    <cellStyle name="Comma 6 6 11 10 2" xfId="31008"/>
    <cellStyle name="Comma 6 6 11 11" xfId="31009"/>
    <cellStyle name="Comma 6 6 11 11 2" xfId="31010"/>
    <cellStyle name="Comma 6 6 11 12" xfId="31011"/>
    <cellStyle name="Comma 6 6 11 2" xfId="31012"/>
    <cellStyle name="Comma 6 6 11 2 2" xfId="31013"/>
    <cellStyle name="Comma 6 6 11 3" xfId="31014"/>
    <cellStyle name="Comma 6 6 11 3 2" xfId="31015"/>
    <cellStyle name="Comma 6 6 11 4" xfId="31016"/>
    <cellStyle name="Comma 6 6 11 4 2" xfId="31017"/>
    <cellStyle name="Comma 6 6 11 5" xfId="31018"/>
    <cellStyle name="Comma 6 6 11 5 2" xfId="31019"/>
    <cellStyle name="Comma 6 6 11 6" xfId="31020"/>
    <cellStyle name="Comma 6 6 11 6 2" xfId="31021"/>
    <cellStyle name="Comma 6 6 11 7" xfId="31022"/>
    <cellStyle name="Comma 6 6 11 7 2" xfId="31023"/>
    <cellStyle name="Comma 6 6 11 8" xfId="31024"/>
    <cellStyle name="Comma 6 6 11 8 2" xfId="31025"/>
    <cellStyle name="Comma 6 6 11 9" xfId="31026"/>
    <cellStyle name="Comma 6 6 11 9 2" xfId="31027"/>
    <cellStyle name="Comma 6 6 12" xfId="31028"/>
    <cellStyle name="Comma 6 6 12 10" xfId="31029"/>
    <cellStyle name="Comma 6 6 12 10 2" xfId="31030"/>
    <cellStyle name="Comma 6 6 12 11" xfId="31031"/>
    <cellStyle name="Comma 6 6 12 11 2" xfId="31032"/>
    <cellStyle name="Comma 6 6 12 12" xfId="31033"/>
    <cellStyle name="Comma 6 6 12 2" xfId="31034"/>
    <cellStyle name="Comma 6 6 12 2 2" xfId="31035"/>
    <cellStyle name="Comma 6 6 12 3" xfId="31036"/>
    <cellStyle name="Comma 6 6 12 3 2" xfId="31037"/>
    <cellStyle name="Comma 6 6 12 4" xfId="31038"/>
    <cellStyle name="Comma 6 6 12 4 2" xfId="31039"/>
    <cellStyle name="Comma 6 6 12 5" xfId="31040"/>
    <cellStyle name="Comma 6 6 12 5 2" xfId="31041"/>
    <cellStyle name="Comma 6 6 12 6" xfId="31042"/>
    <cellStyle name="Comma 6 6 12 6 2" xfId="31043"/>
    <cellStyle name="Comma 6 6 12 7" xfId="31044"/>
    <cellStyle name="Comma 6 6 12 7 2" xfId="31045"/>
    <cellStyle name="Comma 6 6 12 8" xfId="31046"/>
    <cellStyle name="Comma 6 6 12 8 2" xfId="31047"/>
    <cellStyle name="Comma 6 6 12 9" xfId="31048"/>
    <cellStyle name="Comma 6 6 12 9 2" xfId="31049"/>
    <cellStyle name="Comma 6 6 13" xfId="31050"/>
    <cellStyle name="Comma 6 6 13 10" xfId="31051"/>
    <cellStyle name="Comma 6 6 13 10 2" xfId="31052"/>
    <cellStyle name="Comma 6 6 13 11" xfId="31053"/>
    <cellStyle name="Comma 6 6 13 11 2" xfId="31054"/>
    <cellStyle name="Comma 6 6 13 12" xfId="31055"/>
    <cellStyle name="Comma 6 6 13 2" xfId="31056"/>
    <cellStyle name="Comma 6 6 13 2 2" xfId="31057"/>
    <cellStyle name="Comma 6 6 13 3" xfId="31058"/>
    <cellStyle name="Comma 6 6 13 3 2" xfId="31059"/>
    <cellStyle name="Comma 6 6 13 4" xfId="31060"/>
    <cellStyle name="Comma 6 6 13 4 2" xfId="31061"/>
    <cellStyle name="Comma 6 6 13 5" xfId="31062"/>
    <cellStyle name="Comma 6 6 13 5 2" xfId="31063"/>
    <cellStyle name="Comma 6 6 13 6" xfId="31064"/>
    <cellStyle name="Comma 6 6 13 6 2" xfId="31065"/>
    <cellStyle name="Comma 6 6 13 7" xfId="31066"/>
    <cellStyle name="Comma 6 6 13 7 2" xfId="31067"/>
    <cellStyle name="Comma 6 6 13 8" xfId="31068"/>
    <cellStyle name="Comma 6 6 13 8 2" xfId="31069"/>
    <cellStyle name="Comma 6 6 13 9" xfId="31070"/>
    <cellStyle name="Comma 6 6 13 9 2" xfId="31071"/>
    <cellStyle name="Comma 6 6 14" xfId="31072"/>
    <cellStyle name="Comma 6 6 14 10" xfId="31073"/>
    <cellStyle name="Comma 6 6 14 10 2" xfId="31074"/>
    <cellStyle name="Comma 6 6 14 11" xfId="31075"/>
    <cellStyle name="Comma 6 6 14 11 2" xfId="31076"/>
    <cellStyle name="Comma 6 6 14 12" xfId="31077"/>
    <cellStyle name="Comma 6 6 14 2" xfId="31078"/>
    <cellStyle name="Comma 6 6 14 2 2" xfId="31079"/>
    <cellStyle name="Comma 6 6 14 3" xfId="31080"/>
    <cellStyle name="Comma 6 6 14 3 2" xfId="31081"/>
    <cellStyle name="Comma 6 6 14 4" xfId="31082"/>
    <cellStyle name="Comma 6 6 14 4 2" xfId="31083"/>
    <cellStyle name="Comma 6 6 14 5" xfId="31084"/>
    <cellStyle name="Comma 6 6 14 5 2" xfId="31085"/>
    <cellStyle name="Comma 6 6 14 6" xfId="31086"/>
    <cellStyle name="Comma 6 6 14 6 2" xfId="31087"/>
    <cellStyle name="Comma 6 6 14 7" xfId="31088"/>
    <cellStyle name="Comma 6 6 14 7 2" xfId="31089"/>
    <cellStyle name="Comma 6 6 14 8" xfId="31090"/>
    <cellStyle name="Comma 6 6 14 8 2" xfId="31091"/>
    <cellStyle name="Comma 6 6 14 9" xfId="31092"/>
    <cellStyle name="Comma 6 6 14 9 2" xfId="31093"/>
    <cellStyle name="Comma 6 6 15" xfId="31094"/>
    <cellStyle name="Comma 6 6 15 10" xfId="31095"/>
    <cellStyle name="Comma 6 6 15 10 2" xfId="31096"/>
    <cellStyle name="Comma 6 6 15 11" xfId="31097"/>
    <cellStyle name="Comma 6 6 15 11 2" xfId="31098"/>
    <cellStyle name="Comma 6 6 15 12" xfId="31099"/>
    <cellStyle name="Comma 6 6 15 2" xfId="31100"/>
    <cellStyle name="Comma 6 6 15 2 2" xfId="31101"/>
    <cellStyle name="Comma 6 6 15 3" xfId="31102"/>
    <cellStyle name="Comma 6 6 15 3 2" xfId="31103"/>
    <cellStyle name="Comma 6 6 15 4" xfId="31104"/>
    <cellStyle name="Comma 6 6 15 4 2" xfId="31105"/>
    <cellStyle name="Comma 6 6 15 5" xfId="31106"/>
    <cellStyle name="Comma 6 6 15 5 2" xfId="31107"/>
    <cellStyle name="Comma 6 6 15 6" xfId="31108"/>
    <cellStyle name="Comma 6 6 15 6 2" xfId="31109"/>
    <cellStyle name="Comma 6 6 15 7" xfId="31110"/>
    <cellStyle name="Comma 6 6 15 7 2" xfId="31111"/>
    <cellStyle name="Comma 6 6 15 8" xfId="31112"/>
    <cellStyle name="Comma 6 6 15 8 2" xfId="31113"/>
    <cellStyle name="Comma 6 6 15 9" xfId="31114"/>
    <cellStyle name="Comma 6 6 15 9 2" xfId="31115"/>
    <cellStyle name="Comma 6 6 16" xfId="31116"/>
    <cellStyle name="Comma 6 6 16 2" xfId="31117"/>
    <cellStyle name="Comma 6 6 17" xfId="31118"/>
    <cellStyle name="Comma 6 6 17 2" xfId="31119"/>
    <cellStyle name="Comma 6 6 18" xfId="31120"/>
    <cellStyle name="Comma 6 6 18 2" xfId="31121"/>
    <cellStyle name="Comma 6 6 19" xfId="31122"/>
    <cellStyle name="Comma 6 6 19 2" xfId="31123"/>
    <cellStyle name="Comma 6 6 2" xfId="31124"/>
    <cellStyle name="Comma 6 6 2 10" xfId="31125"/>
    <cellStyle name="Comma 6 6 2 10 2" xfId="31126"/>
    <cellStyle name="Comma 6 6 2 11" xfId="31127"/>
    <cellStyle name="Comma 6 6 2 11 2" xfId="31128"/>
    <cellStyle name="Comma 6 6 2 12" xfId="31129"/>
    <cellStyle name="Comma 6 6 2 2" xfId="31130"/>
    <cellStyle name="Comma 6 6 2 2 2" xfId="31131"/>
    <cellStyle name="Comma 6 6 2 3" xfId="31132"/>
    <cellStyle name="Comma 6 6 2 3 2" xfId="31133"/>
    <cellStyle name="Comma 6 6 2 4" xfId="31134"/>
    <cellStyle name="Comma 6 6 2 4 2" xfId="31135"/>
    <cellStyle name="Comma 6 6 2 5" xfId="31136"/>
    <cellStyle name="Comma 6 6 2 5 2" xfId="31137"/>
    <cellStyle name="Comma 6 6 2 6" xfId="31138"/>
    <cellStyle name="Comma 6 6 2 6 2" xfId="31139"/>
    <cellStyle name="Comma 6 6 2 7" xfId="31140"/>
    <cellStyle name="Comma 6 6 2 7 2" xfId="31141"/>
    <cellStyle name="Comma 6 6 2 8" xfId="31142"/>
    <cellStyle name="Comma 6 6 2 8 2" xfId="31143"/>
    <cellStyle name="Comma 6 6 2 9" xfId="31144"/>
    <cellStyle name="Comma 6 6 2 9 2" xfId="31145"/>
    <cellStyle name="Comma 6 6 20" xfId="31146"/>
    <cellStyle name="Comma 6 6 20 2" xfId="31147"/>
    <cellStyle name="Comma 6 6 21" xfId="31148"/>
    <cellStyle name="Comma 6 6 21 2" xfId="31149"/>
    <cellStyle name="Comma 6 6 22" xfId="31150"/>
    <cellStyle name="Comma 6 6 22 2" xfId="31151"/>
    <cellStyle name="Comma 6 6 23" xfId="31152"/>
    <cellStyle name="Comma 6 6 23 2" xfId="31153"/>
    <cellStyle name="Comma 6 6 24" xfId="31154"/>
    <cellStyle name="Comma 6 6 24 2" xfId="31155"/>
    <cellStyle name="Comma 6 6 25" xfId="31156"/>
    <cellStyle name="Comma 6 6 25 2" xfId="31157"/>
    <cellStyle name="Comma 6 6 26" xfId="31158"/>
    <cellStyle name="Comma 6 6 3" xfId="31159"/>
    <cellStyle name="Comma 6 6 3 10" xfId="31160"/>
    <cellStyle name="Comma 6 6 3 10 2" xfId="31161"/>
    <cellStyle name="Comma 6 6 3 11" xfId="31162"/>
    <cellStyle name="Comma 6 6 3 11 2" xfId="31163"/>
    <cellStyle name="Comma 6 6 3 12" xfId="31164"/>
    <cellStyle name="Comma 6 6 3 2" xfId="31165"/>
    <cellStyle name="Comma 6 6 3 2 2" xfId="31166"/>
    <cellStyle name="Comma 6 6 3 3" xfId="31167"/>
    <cellStyle name="Comma 6 6 3 3 2" xfId="31168"/>
    <cellStyle name="Comma 6 6 3 4" xfId="31169"/>
    <cellStyle name="Comma 6 6 3 4 2" xfId="31170"/>
    <cellStyle name="Comma 6 6 3 5" xfId="31171"/>
    <cellStyle name="Comma 6 6 3 5 2" xfId="31172"/>
    <cellStyle name="Comma 6 6 3 6" xfId="31173"/>
    <cellStyle name="Comma 6 6 3 6 2" xfId="31174"/>
    <cellStyle name="Comma 6 6 3 7" xfId="31175"/>
    <cellStyle name="Comma 6 6 3 7 2" xfId="31176"/>
    <cellStyle name="Comma 6 6 3 8" xfId="31177"/>
    <cellStyle name="Comma 6 6 3 8 2" xfId="31178"/>
    <cellStyle name="Comma 6 6 3 9" xfId="31179"/>
    <cellStyle name="Comma 6 6 3 9 2" xfId="31180"/>
    <cellStyle name="Comma 6 6 4" xfId="31181"/>
    <cellStyle name="Comma 6 6 4 10" xfId="31182"/>
    <cellStyle name="Comma 6 6 4 10 2" xfId="31183"/>
    <cellStyle name="Comma 6 6 4 11" xfId="31184"/>
    <cellStyle name="Comma 6 6 4 11 2" xfId="31185"/>
    <cellStyle name="Comma 6 6 4 12" xfId="31186"/>
    <cellStyle name="Comma 6 6 4 2" xfId="31187"/>
    <cellStyle name="Comma 6 6 4 2 2" xfId="31188"/>
    <cellStyle name="Comma 6 6 4 3" xfId="31189"/>
    <cellStyle name="Comma 6 6 4 3 2" xfId="31190"/>
    <cellStyle name="Comma 6 6 4 4" xfId="31191"/>
    <cellStyle name="Comma 6 6 4 4 2" xfId="31192"/>
    <cellStyle name="Comma 6 6 4 5" xfId="31193"/>
    <cellStyle name="Comma 6 6 4 5 2" xfId="31194"/>
    <cellStyle name="Comma 6 6 4 6" xfId="31195"/>
    <cellStyle name="Comma 6 6 4 6 2" xfId="31196"/>
    <cellStyle name="Comma 6 6 4 7" xfId="31197"/>
    <cellStyle name="Comma 6 6 4 7 2" xfId="31198"/>
    <cellStyle name="Comma 6 6 4 8" xfId="31199"/>
    <cellStyle name="Comma 6 6 4 8 2" xfId="31200"/>
    <cellStyle name="Comma 6 6 4 9" xfId="31201"/>
    <cellStyle name="Comma 6 6 4 9 2" xfId="31202"/>
    <cellStyle name="Comma 6 6 5" xfId="31203"/>
    <cellStyle name="Comma 6 6 5 10" xfId="31204"/>
    <cellStyle name="Comma 6 6 5 10 2" xfId="31205"/>
    <cellStyle name="Comma 6 6 5 11" xfId="31206"/>
    <cellStyle name="Comma 6 6 5 11 2" xfId="31207"/>
    <cellStyle name="Comma 6 6 5 12" xfId="31208"/>
    <cellStyle name="Comma 6 6 5 2" xfId="31209"/>
    <cellStyle name="Comma 6 6 5 2 2" xfId="31210"/>
    <cellStyle name="Comma 6 6 5 3" xfId="31211"/>
    <cellStyle name="Comma 6 6 5 3 2" xfId="31212"/>
    <cellStyle name="Comma 6 6 5 4" xfId="31213"/>
    <cellStyle name="Comma 6 6 5 4 2" xfId="31214"/>
    <cellStyle name="Comma 6 6 5 5" xfId="31215"/>
    <cellStyle name="Comma 6 6 5 5 2" xfId="31216"/>
    <cellStyle name="Comma 6 6 5 6" xfId="31217"/>
    <cellStyle name="Comma 6 6 5 6 2" xfId="31218"/>
    <cellStyle name="Comma 6 6 5 7" xfId="31219"/>
    <cellStyle name="Comma 6 6 5 7 2" xfId="31220"/>
    <cellStyle name="Comma 6 6 5 8" xfId="31221"/>
    <cellStyle name="Comma 6 6 5 8 2" xfId="31222"/>
    <cellStyle name="Comma 6 6 5 9" xfId="31223"/>
    <cellStyle name="Comma 6 6 5 9 2" xfId="31224"/>
    <cellStyle name="Comma 6 6 6" xfId="31225"/>
    <cellStyle name="Comma 6 6 6 10" xfId="31226"/>
    <cellStyle name="Comma 6 6 6 10 2" xfId="31227"/>
    <cellStyle name="Comma 6 6 6 11" xfId="31228"/>
    <cellStyle name="Comma 6 6 6 11 2" xfId="31229"/>
    <cellStyle name="Comma 6 6 6 12" xfId="31230"/>
    <cellStyle name="Comma 6 6 6 2" xfId="31231"/>
    <cellStyle name="Comma 6 6 6 2 2" xfId="31232"/>
    <cellStyle name="Comma 6 6 6 3" xfId="31233"/>
    <cellStyle name="Comma 6 6 6 3 2" xfId="31234"/>
    <cellStyle name="Comma 6 6 6 4" xfId="31235"/>
    <cellStyle name="Comma 6 6 6 4 2" xfId="31236"/>
    <cellStyle name="Comma 6 6 6 5" xfId="31237"/>
    <cellStyle name="Comma 6 6 6 5 2" xfId="31238"/>
    <cellStyle name="Comma 6 6 6 6" xfId="31239"/>
    <cellStyle name="Comma 6 6 6 6 2" xfId="31240"/>
    <cellStyle name="Comma 6 6 6 7" xfId="31241"/>
    <cellStyle name="Comma 6 6 6 7 2" xfId="31242"/>
    <cellStyle name="Comma 6 6 6 8" xfId="31243"/>
    <cellStyle name="Comma 6 6 6 8 2" xfId="31244"/>
    <cellStyle name="Comma 6 6 6 9" xfId="31245"/>
    <cellStyle name="Comma 6 6 6 9 2" xfId="31246"/>
    <cellStyle name="Comma 6 6 7" xfId="31247"/>
    <cellStyle name="Comma 6 6 7 10" xfId="31248"/>
    <cellStyle name="Comma 6 6 7 10 2" xfId="31249"/>
    <cellStyle name="Comma 6 6 7 11" xfId="31250"/>
    <cellStyle name="Comma 6 6 7 11 2" xfId="31251"/>
    <cellStyle name="Comma 6 6 7 12" xfId="31252"/>
    <cellStyle name="Comma 6 6 7 2" xfId="31253"/>
    <cellStyle name="Comma 6 6 7 2 2" xfId="31254"/>
    <cellStyle name="Comma 6 6 7 3" xfId="31255"/>
    <cellStyle name="Comma 6 6 7 3 2" xfId="31256"/>
    <cellStyle name="Comma 6 6 7 4" xfId="31257"/>
    <cellStyle name="Comma 6 6 7 4 2" xfId="31258"/>
    <cellStyle name="Comma 6 6 7 5" xfId="31259"/>
    <cellStyle name="Comma 6 6 7 5 2" xfId="31260"/>
    <cellStyle name="Comma 6 6 7 6" xfId="31261"/>
    <cellStyle name="Comma 6 6 7 6 2" xfId="31262"/>
    <cellStyle name="Comma 6 6 7 7" xfId="31263"/>
    <cellStyle name="Comma 6 6 7 7 2" xfId="31264"/>
    <cellStyle name="Comma 6 6 7 8" xfId="31265"/>
    <cellStyle name="Comma 6 6 7 8 2" xfId="31266"/>
    <cellStyle name="Comma 6 6 7 9" xfId="31267"/>
    <cellStyle name="Comma 6 6 7 9 2" xfId="31268"/>
    <cellStyle name="Comma 6 6 8" xfId="31269"/>
    <cellStyle name="Comma 6 6 8 10" xfId="31270"/>
    <cellStyle name="Comma 6 6 8 10 2" xfId="31271"/>
    <cellStyle name="Comma 6 6 8 11" xfId="31272"/>
    <cellStyle name="Comma 6 6 8 11 2" xfId="31273"/>
    <cellStyle name="Comma 6 6 8 12" xfId="31274"/>
    <cellStyle name="Comma 6 6 8 2" xfId="31275"/>
    <cellStyle name="Comma 6 6 8 2 2" xfId="31276"/>
    <cellStyle name="Comma 6 6 8 3" xfId="31277"/>
    <cellStyle name="Comma 6 6 8 3 2" xfId="31278"/>
    <cellStyle name="Comma 6 6 8 4" xfId="31279"/>
    <cellStyle name="Comma 6 6 8 4 2" xfId="31280"/>
    <cellStyle name="Comma 6 6 8 5" xfId="31281"/>
    <cellStyle name="Comma 6 6 8 5 2" xfId="31282"/>
    <cellStyle name="Comma 6 6 8 6" xfId="31283"/>
    <cellStyle name="Comma 6 6 8 6 2" xfId="31284"/>
    <cellStyle name="Comma 6 6 8 7" xfId="31285"/>
    <cellStyle name="Comma 6 6 8 7 2" xfId="31286"/>
    <cellStyle name="Comma 6 6 8 8" xfId="31287"/>
    <cellStyle name="Comma 6 6 8 8 2" xfId="31288"/>
    <cellStyle name="Comma 6 6 8 9" xfId="31289"/>
    <cellStyle name="Comma 6 6 8 9 2" xfId="31290"/>
    <cellStyle name="Comma 6 6 9" xfId="31291"/>
    <cellStyle name="Comma 6 6 9 10" xfId="31292"/>
    <cellStyle name="Comma 6 6 9 10 2" xfId="31293"/>
    <cellStyle name="Comma 6 6 9 11" xfId="31294"/>
    <cellStyle name="Comma 6 6 9 11 2" xfId="31295"/>
    <cellStyle name="Comma 6 6 9 12" xfId="31296"/>
    <cellStyle name="Comma 6 6 9 2" xfId="31297"/>
    <cellStyle name="Comma 6 6 9 2 2" xfId="31298"/>
    <cellStyle name="Comma 6 6 9 3" xfId="31299"/>
    <cellStyle name="Comma 6 6 9 3 2" xfId="31300"/>
    <cellStyle name="Comma 6 6 9 4" xfId="31301"/>
    <cellStyle name="Comma 6 6 9 4 2" xfId="31302"/>
    <cellStyle name="Comma 6 6 9 5" xfId="31303"/>
    <cellStyle name="Comma 6 6 9 5 2" xfId="31304"/>
    <cellStyle name="Comma 6 6 9 6" xfId="31305"/>
    <cellStyle name="Comma 6 6 9 6 2" xfId="31306"/>
    <cellStyle name="Comma 6 6 9 7" xfId="31307"/>
    <cellStyle name="Comma 6 6 9 7 2" xfId="31308"/>
    <cellStyle name="Comma 6 6 9 8" xfId="31309"/>
    <cellStyle name="Comma 6 6 9 8 2" xfId="31310"/>
    <cellStyle name="Comma 6 6 9 9" xfId="31311"/>
    <cellStyle name="Comma 6 6 9 9 2" xfId="31312"/>
    <cellStyle name="Comma 6 60" xfId="39347"/>
    <cellStyle name="Comma 6 61" xfId="40881"/>
    <cellStyle name="Comma 6 7" xfId="31313"/>
    <cellStyle name="Comma 6 7 10" xfId="31314"/>
    <cellStyle name="Comma 6 7 10 2" xfId="31315"/>
    <cellStyle name="Comma 6 7 11" xfId="31316"/>
    <cellStyle name="Comma 6 7 11 2" xfId="31317"/>
    <cellStyle name="Comma 6 7 12" xfId="31318"/>
    <cellStyle name="Comma 6 7 2" xfId="31319"/>
    <cellStyle name="Comma 6 7 2 2" xfId="31320"/>
    <cellStyle name="Comma 6 7 3" xfId="31321"/>
    <cellStyle name="Comma 6 7 3 2" xfId="31322"/>
    <cellStyle name="Comma 6 7 4" xfId="31323"/>
    <cellStyle name="Comma 6 7 4 2" xfId="31324"/>
    <cellStyle name="Comma 6 7 5" xfId="31325"/>
    <cellStyle name="Comma 6 7 5 2" xfId="31326"/>
    <cellStyle name="Comma 6 7 6" xfId="31327"/>
    <cellStyle name="Comma 6 7 6 2" xfId="31328"/>
    <cellStyle name="Comma 6 7 7" xfId="31329"/>
    <cellStyle name="Comma 6 7 7 2" xfId="31330"/>
    <cellStyle name="Comma 6 7 8" xfId="31331"/>
    <cellStyle name="Comma 6 7 8 2" xfId="31332"/>
    <cellStyle name="Comma 6 7 9" xfId="31333"/>
    <cellStyle name="Comma 6 7 9 2" xfId="31334"/>
    <cellStyle name="Comma 6 8" xfId="31335"/>
    <cellStyle name="Comma 6 8 10" xfId="31336"/>
    <cellStyle name="Comma 6 8 10 2" xfId="31337"/>
    <cellStyle name="Comma 6 8 11" xfId="31338"/>
    <cellStyle name="Comma 6 8 11 2" xfId="31339"/>
    <cellStyle name="Comma 6 8 12" xfId="31340"/>
    <cellStyle name="Comma 6 8 2" xfId="31341"/>
    <cellStyle name="Comma 6 8 2 2" xfId="31342"/>
    <cellStyle name="Comma 6 8 3" xfId="31343"/>
    <cellStyle name="Comma 6 8 3 2" xfId="31344"/>
    <cellStyle name="Comma 6 8 4" xfId="31345"/>
    <cellStyle name="Comma 6 8 4 2" xfId="31346"/>
    <cellStyle name="Comma 6 8 5" xfId="31347"/>
    <cellStyle name="Comma 6 8 5 2" xfId="31348"/>
    <cellStyle name="Comma 6 8 6" xfId="31349"/>
    <cellStyle name="Comma 6 8 6 2" xfId="31350"/>
    <cellStyle name="Comma 6 8 7" xfId="31351"/>
    <cellStyle name="Comma 6 8 7 2" xfId="31352"/>
    <cellStyle name="Comma 6 8 8" xfId="31353"/>
    <cellStyle name="Comma 6 8 8 2" xfId="31354"/>
    <cellStyle name="Comma 6 8 9" xfId="31355"/>
    <cellStyle name="Comma 6 8 9 2" xfId="31356"/>
    <cellStyle name="Comma 6 9" xfId="31357"/>
    <cellStyle name="Comma 6 9 10" xfId="31358"/>
    <cellStyle name="Comma 6 9 10 2" xfId="31359"/>
    <cellStyle name="Comma 6 9 11" xfId="31360"/>
    <cellStyle name="Comma 6 9 11 2" xfId="31361"/>
    <cellStyle name="Comma 6 9 12" xfId="31362"/>
    <cellStyle name="Comma 6 9 2" xfId="31363"/>
    <cellStyle name="Comma 6 9 2 2" xfId="31364"/>
    <cellStyle name="Comma 6 9 3" xfId="31365"/>
    <cellStyle name="Comma 6 9 3 2" xfId="31366"/>
    <cellStyle name="Comma 6 9 4" xfId="31367"/>
    <cellStyle name="Comma 6 9 4 2" xfId="31368"/>
    <cellStyle name="Comma 6 9 5" xfId="31369"/>
    <cellStyle name="Comma 6 9 5 2" xfId="31370"/>
    <cellStyle name="Comma 6 9 6" xfId="31371"/>
    <cellStyle name="Comma 6 9 6 2" xfId="31372"/>
    <cellStyle name="Comma 6 9 7" xfId="31373"/>
    <cellStyle name="Comma 6 9 7 2" xfId="31374"/>
    <cellStyle name="Comma 6 9 8" xfId="31375"/>
    <cellStyle name="Comma 6 9 8 2" xfId="31376"/>
    <cellStyle name="Comma 6 9 9" xfId="31377"/>
    <cellStyle name="Comma 6 9 9 2" xfId="31378"/>
    <cellStyle name="Comma 6_consumption scenario A" xfId="37627"/>
    <cellStyle name="Comma 60" xfId="31379"/>
    <cellStyle name="Comma 61" xfId="31380"/>
    <cellStyle name="Comma 64" xfId="31381"/>
    <cellStyle name="Comma 67" xfId="31382"/>
    <cellStyle name="Comma 68" xfId="31383"/>
    <cellStyle name="Comma 7" xfId="31384"/>
    <cellStyle name="Comma 7 10" xfId="31385"/>
    <cellStyle name="Comma 7 11" xfId="31386"/>
    <cellStyle name="Comma 7 12" xfId="31387"/>
    <cellStyle name="Comma 7 13" xfId="31388"/>
    <cellStyle name="Comma 7 14" xfId="31389"/>
    <cellStyle name="Comma 7 15" xfId="31390"/>
    <cellStyle name="Comma 7 16" xfId="31391"/>
    <cellStyle name="Comma 7 17" xfId="31392"/>
    <cellStyle name="Comma 7 18" xfId="31393"/>
    <cellStyle name="Comma 7 19" xfId="31394"/>
    <cellStyle name="Comma 7 2" xfId="31395"/>
    <cellStyle name="Comma 7 2 2" xfId="37223"/>
    <cellStyle name="Comma 7 2 2 2" xfId="37224"/>
    <cellStyle name="Comma 7 2 2 2 2" xfId="40567"/>
    <cellStyle name="Comma 7 2 2 2 3" xfId="42108"/>
    <cellStyle name="Comma 7 2 2 3" xfId="38553"/>
    <cellStyle name="Comma 7 2 2 4" xfId="39849"/>
    <cellStyle name="Comma 7 2 2 5" xfId="41390"/>
    <cellStyle name="Comma 7 2 3" xfId="37225"/>
    <cellStyle name="Comma 7 2 3 2" xfId="40249"/>
    <cellStyle name="Comma 7 2 3 3" xfId="41790"/>
    <cellStyle name="Comma 7 2 4" xfId="38234"/>
    <cellStyle name="Comma 7 2 5" xfId="39531"/>
    <cellStyle name="Comma 7 2 6" xfId="41072"/>
    <cellStyle name="Comma 7 2_consumption scenario A" xfId="37636"/>
    <cellStyle name="Comma 7 20" xfId="31396"/>
    <cellStyle name="Comma 7 21" xfId="31397"/>
    <cellStyle name="Comma 7 22" xfId="31398"/>
    <cellStyle name="Comma 7 23" xfId="31399"/>
    <cellStyle name="Comma 7 24" xfId="31400"/>
    <cellStyle name="Comma 7 25" xfId="31401"/>
    <cellStyle name="Comma 7 26" xfId="31402"/>
    <cellStyle name="Comma 7 27" xfId="31403"/>
    <cellStyle name="Comma 7 28" xfId="31404"/>
    <cellStyle name="Comma 7 29" xfId="31405"/>
    <cellStyle name="Comma 7 3" xfId="31406"/>
    <cellStyle name="Comma 7 3 2" xfId="37226"/>
    <cellStyle name="Comma 7 3 2 2" xfId="40566"/>
    <cellStyle name="Comma 7 3 2 3" xfId="42107"/>
    <cellStyle name="Comma 7 3 3" xfId="38552"/>
    <cellStyle name="Comma 7 3 4" xfId="39848"/>
    <cellStyle name="Comma 7 3 5" xfId="41389"/>
    <cellStyle name="Comma 7 3_consumption scenario A" xfId="37637"/>
    <cellStyle name="Comma 7 30" xfId="31407"/>
    <cellStyle name="Comma 7 31" xfId="31408"/>
    <cellStyle name="Comma 7 32" xfId="31409"/>
    <cellStyle name="Comma 7 33" xfId="31410"/>
    <cellStyle name="Comma 7 34" xfId="31411"/>
    <cellStyle name="Comma 7 35" xfId="31412"/>
    <cellStyle name="Comma 7 36" xfId="31413"/>
    <cellStyle name="Comma 7 37" xfId="31414"/>
    <cellStyle name="Comma 7 38" xfId="31415"/>
    <cellStyle name="Comma 7 39" xfId="36099"/>
    <cellStyle name="Comma 7 4" xfId="31416"/>
    <cellStyle name="Comma 7 4 2" xfId="40081"/>
    <cellStyle name="Comma 7 4 3" xfId="41622"/>
    <cellStyle name="Comma 7 40" xfId="38066"/>
    <cellStyle name="Comma 7 41" xfId="39363"/>
    <cellStyle name="Comma 7 42" xfId="40904"/>
    <cellStyle name="Comma 7 5" xfId="31417"/>
    <cellStyle name="Comma 7 6" xfId="31418"/>
    <cellStyle name="Comma 7 7" xfId="31419"/>
    <cellStyle name="Comma 7 8" xfId="31420"/>
    <cellStyle name="Comma 7 9" xfId="31421"/>
    <cellStyle name="Comma 7_consumption scenario A" xfId="37635"/>
    <cellStyle name="Comma 71" xfId="31422"/>
    <cellStyle name="Comma 8" xfId="31423"/>
    <cellStyle name="Comma 8 10" xfId="31424"/>
    <cellStyle name="Comma 8 10 10" xfId="31425"/>
    <cellStyle name="Comma 8 10 10 2" xfId="31426"/>
    <cellStyle name="Comma 8 10 11" xfId="31427"/>
    <cellStyle name="Comma 8 10 11 2" xfId="31428"/>
    <cellStyle name="Comma 8 10 12" xfId="31429"/>
    <cellStyle name="Comma 8 10 2" xfId="31430"/>
    <cellStyle name="Comma 8 10 2 2" xfId="31431"/>
    <cellStyle name="Comma 8 10 3" xfId="31432"/>
    <cellStyle name="Comma 8 10 3 2" xfId="31433"/>
    <cellStyle name="Comma 8 10 4" xfId="31434"/>
    <cellStyle name="Comma 8 10 4 2" xfId="31435"/>
    <cellStyle name="Comma 8 10 5" xfId="31436"/>
    <cellStyle name="Comma 8 10 5 2" xfId="31437"/>
    <cellStyle name="Comma 8 10 6" xfId="31438"/>
    <cellStyle name="Comma 8 10 6 2" xfId="31439"/>
    <cellStyle name="Comma 8 10 7" xfId="31440"/>
    <cellStyle name="Comma 8 10 7 2" xfId="31441"/>
    <cellStyle name="Comma 8 10 8" xfId="31442"/>
    <cellStyle name="Comma 8 10 8 2" xfId="31443"/>
    <cellStyle name="Comma 8 10 9" xfId="31444"/>
    <cellStyle name="Comma 8 10 9 2" xfId="31445"/>
    <cellStyle name="Comma 8 11" xfId="31446"/>
    <cellStyle name="Comma 8 11 10" xfId="31447"/>
    <cellStyle name="Comma 8 11 10 2" xfId="31448"/>
    <cellStyle name="Comma 8 11 11" xfId="31449"/>
    <cellStyle name="Comma 8 11 11 2" xfId="31450"/>
    <cellStyle name="Comma 8 11 12" xfId="31451"/>
    <cellStyle name="Comma 8 11 2" xfId="31452"/>
    <cellStyle name="Comma 8 11 2 2" xfId="31453"/>
    <cellStyle name="Comma 8 11 3" xfId="31454"/>
    <cellStyle name="Comma 8 11 3 2" xfId="31455"/>
    <cellStyle name="Comma 8 11 4" xfId="31456"/>
    <cellStyle name="Comma 8 11 4 2" xfId="31457"/>
    <cellStyle name="Comma 8 11 5" xfId="31458"/>
    <cellStyle name="Comma 8 11 5 2" xfId="31459"/>
    <cellStyle name="Comma 8 11 6" xfId="31460"/>
    <cellStyle name="Comma 8 11 6 2" xfId="31461"/>
    <cellStyle name="Comma 8 11 7" xfId="31462"/>
    <cellStyle name="Comma 8 11 7 2" xfId="31463"/>
    <cellStyle name="Comma 8 11 8" xfId="31464"/>
    <cellStyle name="Comma 8 11 8 2" xfId="31465"/>
    <cellStyle name="Comma 8 11 9" xfId="31466"/>
    <cellStyle name="Comma 8 11 9 2" xfId="31467"/>
    <cellStyle name="Comma 8 12" xfId="31468"/>
    <cellStyle name="Comma 8 12 10" xfId="31469"/>
    <cellStyle name="Comma 8 12 10 2" xfId="31470"/>
    <cellStyle name="Comma 8 12 11" xfId="31471"/>
    <cellStyle name="Comma 8 12 11 2" xfId="31472"/>
    <cellStyle name="Comma 8 12 12" xfId="31473"/>
    <cellStyle name="Comma 8 12 2" xfId="31474"/>
    <cellStyle name="Comma 8 12 2 2" xfId="31475"/>
    <cellStyle name="Comma 8 12 3" xfId="31476"/>
    <cellStyle name="Comma 8 12 3 2" xfId="31477"/>
    <cellStyle name="Comma 8 12 4" xfId="31478"/>
    <cellStyle name="Comma 8 12 4 2" xfId="31479"/>
    <cellStyle name="Comma 8 12 5" xfId="31480"/>
    <cellStyle name="Comma 8 12 5 2" xfId="31481"/>
    <cellStyle name="Comma 8 12 6" xfId="31482"/>
    <cellStyle name="Comma 8 12 6 2" xfId="31483"/>
    <cellStyle name="Comma 8 12 7" xfId="31484"/>
    <cellStyle name="Comma 8 12 7 2" xfId="31485"/>
    <cellStyle name="Comma 8 12 8" xfId="31486"/>
    <cellStyle name="Comma 8 12 8 2" xfId="31487"/>
    <cellStyle name="Comma 8 12 9" xfId="31488"/>
    <cellStyle name="Comma 8 12 9 2" xfId="31489"/>
    <cellStyle name="Comma 8 13" xfId="31490"/>
    <cellStyle name="Comma 8 13 10" xfId="31491"/>
    <cellStyle name="Comma 8 13 10 2" xfId="31492"/>
    <cellStyle name="Comma 8 13 11" xfId="31493"/>
    <cellStyle name="Comma 8 13 11 2" xfId="31494"/>
    <cellStyle name="Comma 8 13 12" xfId="31495"/>
    <cellStyle name="Comma 8 13 2" xfId="31496"/>
    <cellStyle name="Comma 8 13 2 2" xfId="31497"/>
    <cellStyle name="Comma 8 13 3" xfId="31498"/>
    <cellStyle name="Comma 8 13 3 2" xfId="31499"/>
    <cellStyle name="Comma 8 13 4" xfId="31500"/>
    <cellStyle name="Comma 8 13 4 2" xfId="31501"/>
    <cellStyle name="Comma 8 13 5" xfId="31502"/>
    <cellStyle name="Comma 8 13 5 2" xfId="31503"/>
    <cellStyle name="Comma 8 13 6" xfId="31504"/>
    <cellStyle name="Comma 8 13 6 2" xfId="31505"/>
    <cellStyle name="Comma 8 13 7" xfId="31506"/>
    <cellStyle name="Comma 8 13 7 2" xfId="31507"/>
    <cellStyle name="Comma 8 13 8" xfId="31508"/>
    <cellStyle name="Comma 8 13 8 2" xfId="31509"/>
    <cellStyle name="Comma 8 13 9" xfId="31510"/>
    <cellStyle name="Comma 8 13 9 2" xfId="31511"/>
    <cellStyle name="Comma 8 14" xfId="31512"/>
    <cellStyle name="Comma 8 14 10" xfId="31513"/>
    <cellStyle name="Comma 8 14 10 2" xfId="31514"/>
    <cellStyle name="Comma 8 14 11" xfId="31515"/>
    <cellStyle name="Comma 8 14 11 2" xfId="31516"/>
    <cellStyle name="Comma 8 14 12" xfId="31517"/>
    <cellStyle name="Comma 8 14 2" xfId="31518"/>
    <cellStyle name="Comma 8 14 2 2" xfId="31519"/>
    <cellStyle name="Comma 8 14 3" xfId="31520"/>
    <cellStyle name="Comma 8 14 3 2" xfId="31521"/>
    <cellStyle name="Comma 8 14 4" xfId="31522"/>
    <cellStyle name="Comma 8 14 4 2" xfId="31523"/>
    <cellStyle name="Comma 8 14 5" xfId="31524"/>
    <cellStyle name="Comma 8 14 5 2" xfId="31525"/>
    <cellStyle name="Comma 8 14 6" xfId="31526"/>
    <cellStyle name="Comma 8 14 6 2" xfId="31527"/>
    <cellStyle name="Comma 8 14 7" xfId="31528"/>
    <cellStyle name="Comma 8 14 7 2" xfId="31529"/>
    <cellStyle name="Comma 8 14 8" xfId="31530"/>
    <cellStyle name="Comma 8 14 8 2" xfId="31531"/>
    <cellStyle name="Comma 8 14 9" xfId="31532"/>
    <cellStyle name="Comma 8 14 9 2" xfId="31533"/>
    <cellStyle name="Comma 8 15" xfId="31534"/>
    <cellStyle name="Comma 8 15 10" xfId="31535"/>
    <cellStyle name="Comma 8 15 10 2" xfId="31536"/>
    <cellStyle name="Comma 8 15 11" xfId="31537"/>
    <cellStyle name="Comma 8 15 11 2" xfId="31538"/>
    <cellStyle name="Comma 8 15 12" xfId="31539"/>
    <cellStyle name="Comma 8 15 2" xfId="31540"/>
    <cellStyle name="Comma 8 15 2 2" xfId="31541"/>
    <cellStyle name="Comma 8 15 3" xfId="31542"/>
    <cellStyle name="Comma 8 15 3 2" xfId="31543"/>
    <cellStyle name="Comma 8 15 4" xfId="31544"/>
    <cellStyle name="Comma 8 15 4 2" xfId="31545"/>
    <cellStyle name="Comma 8 15 5" xfId="31546"/>
    <cellStyle name="Comma 8 15 5 2" xfId="31547"/>
    <cellStyle name="Comma 8 15 6" xfId="31548"/>
    <cellStyle name="Comma 8 15 6 2" xfId="31549"/>
    <cellStyle name="Comma 8 15 7" xfId="31550"/>
    <cellStyle name="Comma 8 15 7 2" xfId="31551"/>
    <cellStyle name="Comma 8 15 8" xfId="31552"/>
    <cellStyle name="Comma 8 15 8 2" xfId="31553"/>
    <cellStyle name="Comma 8 15 9" xfId="31554"/>
    <cellStyle name="Comma 8 15 9 2" xfId="31555"/>
    <cellStyle name="Comma 8 16" xfId="31556"/>
    <cellStyle name="Comma 8 16 10" xfId="31557"/>
    <cellStyle name="Comma 8 16 10 2" xfId="31558"/>
    <cellStyle name="Comma 8 16 11" xfId="31559"/>
    <cellStyle name="Comma 8 16 11 2" xfId="31560"/>
    <cellStyle name="Comma 8 16 12" xfId="31561"/>
    <cellStyle name="Comma 8 16 2" xfId="31562"/>
    <cellStyle name="Comma 8 16 2 2" xfId="31563"/>
    <cellStyle name="Comma 8 16 3" xfId="31564"/>
    <cellStyle name="Comma 8 16 3 2" xfId="31565"/>
    <cellStyle name="Comma 8 16 4" xfId="31566"/>
    <cellStyle name="Comma 8 16 4 2" xfId="31567"/>
    <cellStyle name="Comma 8 16 5" xfId="31568"/>
    <cellStyle name="Comma 8 16 5 2" xfId="31569"/>
    <cellStyle name="Comma 8 16 6" xfId="31570"/>
    <cellStyle name="Comma 8 16 6 2" xfId="31571"/>
    <cellStyle name="Comma 8 16 7" xfId="31572"/>
    <cellStyle name="Comma 8 16 7 2" xfId="31573"/>
    <cellStyle name="Comma 8 16 8" xfId="31574"/>
    <cellStyle name="Comma 8 16 8 2" xfId="31575"/>
    <cellStyle name="Comma 8 16 9" xfId="31576"/>
    <cellStyle name="Comma 8 16 9 2" xfId="31577"/>
    <cellStyle name="Comma 8 17" xfId="31578"/>
    <cellStyle name="Comma 8 17 10" xfId="31579"/>
    <cellStyle name="Comma 8 17 10 2" xfId="31580"/>
    <cellStyle name="Comma 8 17 11" xfId="31581"/>
    <cellStyle name="Comma 8 17 11 2" xfId="31582"/>
    <cellStyle name="Comma 8 17 12" xfId="31583"/>
    <cellStyle name="Comma 8 17 2" xfId="31584"/>
    <cellStyle name="Comma 8 17 2 2" xfId="31585"/>
    <cellStyle name="Comma 8 17 3" xfId="31586"/>
    <cellStyle name="Comma 8 17 3 2" xfId="31587"/>
    <cellStyle name="Comma 8 17 4" xfId="31588"/>
    <cellStyle name="Comma 8 17 4 2" xfId="31589"/>
    <cellStyle name="Comma 8 17 5" xfId="31590"/>
    <cellStyle name="Comma 8 17 5 2" xfId="31591"/>
    <cellStyle name="Comma 8 17 6" xfId="31592"/>
    <cellStyle name="Comma 8 17 6 2" xfId="31593"/>
    <cellStyle name="Comma 8 17 7" xfId="31594"/>
    <cellStyle name="Comma 8 17 7 2" xfId="31595"/>
    <cellStyle name="Comma 8 17 8" xfId="31596"/>
    <cellStyle name="Comma 8 17 8 2" xfId="31597"/>
    <cellStyle name="Comma 8 17 9" xfId="31598"/>
    <cellStyle name="Comma 8 17 9 2" xfId="31599"/>
    <cellStyle name="Comma 8 18" xfId="31600"/>
    <cellStyle name="Comma 8 18 10" xfId="31601"/>
    <cellStyle name="Comma 8 18 10 2" xfId="31602"/>
    <cellStyle name="Comma 8 18 11" xfId="31603"/>
    <cellStyle name="Comma 8 18 11 2" xfId="31604"/>
    <cellStyle name="Comma 8 18 12" xfId="31605"/>
    <cellStyle name="Comma 8 18 2" xfId="31606"/>
    <cellStyle name="Comma 8 18 2 2" xfId="31607"/>
    <cellStyle name="Comma 8 18 3" xfId="31608"/>
    <cellStyle name="Comma 8 18 3 2" xfId="31609"/>
    <cellStyle name="Comma 8 18 4" xfId="31610"/>
    <cellStyle name="Comma 8 18 4 2" xfId="31611"/>
    <cellStyle name="Comma 8 18 5" xfId="31612"/>
    <cellStyle name="Comma 8 18 5 2" xfId="31613"/>
    <cellStyle name="Comma 8 18 6" xfId="31614"/>
    <cellStyle name="Comma 8 18 6 2" xfId="31615"/>
    <cellStyle name="Comma 8 18 7" xfId="31616"/>
    <cellStyle name="Comma 8 18 7 2" xfId="31617"/>
    <cellStyle name="Comma 8 18 8" xfId="31618"/>
    <cellStyle name="Comma 8 18 8 2" xfId="31619"/>
    <cellStyle name="Comma 8 18 9" xfId="31620"/>
    <cellStyle name="Comma 8 18 9 2" xfId="31621"/>
    <cellStyle name="Comma 8 19" xfId="31622"/>
    <cellStyle name="Comma 8 19 10" xfId="31623"/>
    <cellStyle name="Comma 8 19 10 2" xfId="31624"/>
    <cellStyle name="Comma 8 19 11" xfId="31625"/>
    <cellStyle name="Comma 8 19 11 2" xfId="31626"/>
    <cellStyle name="Comma 8 19 12" xfId="31627"/>
    <cellStyle name="Comma 8 19 2" xfId="31628"/>
    <cellStyle name="Comma 8 19 2 2" xfId="31629"/>
    <cellStyle name="Comma 8 19 3" xfId="31630"/>
    <cellStyle name="Comma 8 19 3 2" xfId="31631"/>
    <cellStyle name="Comma 8 19 4" xfId="31632"/>
    <cellStyle name="Comma 8 19 4 2" xfId="31633"/>
    <cellStyle name="Comma 8 19 5" xfId="31634"/>
    <cellStyle name="Comma 8 19 5 2" xfId="31635"/>
    <cellStyle name="Comma 8 19 6" xfId="31636"/>
    <cellStyle name="Comma 8 19 6 2" xfId="31637"/>
    <cellStyle name="Comma 8 19 7" xfId="31638"/>
    <cellStyle name="Comma 8 19 7 2" xfId="31639"/>
    <cellStyle name="Comma 8 19 8" xfId="31640"/>
    <cellStyle name="Comma 8 19 8 2" xfId="31641"/>
    <cellStyle name="Comma 8 19 9" xfId="31642"/>
    <cellStyle name="Comma 8 19 9 2" xfId="31643"/>
    <cellStyle name="Comma 8 2" xfId="31644"/>
    <cellStyle name="Comma 8 2 10" xfId="31645"/>
    <cellStyle name="Comma 8 2 10 10" xfId="31646"/>
    <cellStyle name="Comma 8 2 10 10 2" xfId="31647"/>
    <cellStyle name="Comma 8 2 10 11" xfId="31648"/>
    <cellStyle name="Comma 8 2 10 11 2" xfId="31649"/>
    <cellStyle name="Comma 8 2 10 12" xfId="31650"/>
    <cellStyle name="Comma 8 2 10 2" xfId="31651"/>
    <cellStyle name="Comma 8 2 10 2 2" xfId="31652"/>
    <cellStyle name="Comma 8 2 10 3" xfId="31653"/>
    <cellStyle name="Comma 8 2 10 3 2" xfId="31654"/>
    <cellStyle name="Comma 8 2 10 4" xfId="31655"/>
    <cellStyle name="Comma 8 2 10 4 2" xfId="31656"/>
    <cellStyle name="Comma 8 2 10 5" xfId="31657"/>
    <cellStyle name="Comma 8 2 10 5 2" xfId="31658"/>
    <cellStyle name="Comma 8 2 10 6" xfId="31659"/>
    <cellStyle name="Comma 8 2 10 6 2" xfId="31660"/>
    <cellStyle name="Comma 8 2 10 7" xfId="31661"/>
    <cellStyle name="Comma 8 2 10 7 2" xfId="31662"/>
    <cellStyle name="Comma 8 2 10 8" xfId="31663"/>
    <cellStyle name="Comma 8 2 10 8 2" xfId="31664"/>
    <cellStyle name="Comma 8 2 10 9" xfId="31665"/>
    <cellStyle name="Comma 8 2 10 9 2" xfId="31666"/>
    <cellStyle name="Comma 8 2 11" xfId="31667"/>
    <cellStyle name="Comma 8 2 11 10" xfId="31668"/>
    <cellStyle name="Comma 8 2 11 10 2" xfId="31669"/>
    <cellStyle name="Comma 8 2 11 11" xfId="31670"/>
    <cellStyle name="Comma 8 2 11 11 2" xfId="31671"/>
    <cellStyle name="Comma 8 2 11 12" xfId="31672"/>
    <cellStyle name="Comma 8 2 11 2" xfId="31673"/>
    <cellStyle name="Comma 8 2 11 2 2" xfId="31674"/>
    <cellStyle name="Comma 8 2 11 3" xfId="31675"/>
    <cellStyle name="Comma 8 2 11 3 2" xfId="31676"/>
    <cellStyle name="Comma 8 2 11 4" xfId="31677"/>
    <cellStyle name="Comma 8 2 11 4 2" xfId="31678"/>
    <cellStyle name="Comma 8 2 11 5" xfId="31679"/>
    <cellStyle name="Comma 8 2 11 5 2" xfId="31680"/>
    <cellStyle name="Comma 8 2 11 6" xfId="31681"/>
    <cellStyle name="Comma 8 2 11 6 2" xfId="31682"/>
    <cellStyle name="Comma 8 2 11 7" xfId="31683"/>
    <cellStyle name="Comma 8 2 11 7 2" xfId="31684"/>
    <cellStyle name="Comma 8 2 11 8" xfId="31685"/>
    <cellStyle name="Comma 8 2 11 8 2" xfId="31686"/>
    <cellStyle name="Comma 8 2 11 9" xfId="31687"/>
    <cellStyle name="Comma 8 2 11 9 2" xfId="31688"/>
    <cellStyle name="Comma 8 2 12" xfId="31689"/>
    <cellStyle name="Comma 8 2 12 10" xfId="31690"/>
    <cellStyle name="Comma 8 2 12 10 2" xfId="31691"/>
    <cellStyle name="Comma 8 2 12 11" xfId="31692"/>
    <cellStyle name="Comma 8 2 12 11 2" xfId="31693"/>
    <cellStyle name="Comma 8 2 12 12" xfId="31694"/>
    <cellStyle name="Comma 8 2 12 2" xfId="31695"/>
    <cellStyle name="Comma 8 2 12 2 2" xfId="31696"/>
    <cellStyle name="Comma 8 2 12 3" xfId="31697"/>
    <cellStyle name="Comma 8 2 12 3 2" xfId="31698"/>
    <cellStyle name="Comma 8 2 12 4" xfId="31699"/>
    <cellStyle name="Comma 8 2 12 4 2" xfId="31700"/>
    <cellStyle name="Comma 8 2 12 5" xfId="31701"/>
    <cellStyle name="Comma 8 2 12 5 2" xfId="31702"/>
    <cellStyle name="Comma 8 2 12 6" xfId="31703"/>
    <cellStyle name="Comma 8 2 12 6 2" xfId="31704"/>
    <cellStyle name="Comma 8 2 12 7" xfId="31705"/>
    <cellStyle name="Comma 8 2 12 7 2" xfId="31706"/>
    <cellStyle name="Comma 8 2 12 8" xfId="31707"/>
    <cellStyle name="Comma 8 2 12 8 2" xfId="31708"/>
    <cellStyle name="Comma 8 2 12 9" xfId="31709"/>
    <cellStyle name="Comma 8 2 12 9 2" xfId="31710"/>
    <cellStyle name="Comma 8 2 13" xfId="31711"/>
    <cellStyle name="Comma 8 2 13 10" xfId="31712"/>
    <cellStyle name="Comma 8 2 13 10 2" xfId="31713"/>
    <cellStyle name="Comma 8 2 13 11" xfId="31714"/>
    <cellStyle name="Comma 8 2 13 11 2" xfId="31715"/>
    <cellStyle name="Comma 8 2 13 12" xfId="31716"/>
    <cellStyle name="Comma 8 2 13 2" xfId="31717"/>
    <cellStyle name="Comma 8 2 13 2 2" xfId="31718"/>
    <cellStyle name="Comma 8 2 13 3" xfId="31719"/>
    <cellStyle name="Comma 8 2 13 3 2" xfId="31720"/>
    <cellStyle name="Comma 8 2 13 4" xfId="31721"/>
    <cellStyle name="Comma 8 2 13 4 2" xfId="31722"/>
    <cellStyle name="Comma 8 2 13 5" xfId="31723"/>
    <cellStyle name="Comma 8 2 13 5 2" xfId="31724"/>
    <cellStyle name="Comma 8 2 13 6" xfId="31725"/>
    <cellStyle name="Comma 8 2 13 6 2" xfId="31726"/>
    <cellStyle name="Comma 8 2 13 7" xfId="31727"/>
    <cellStyle name="Comma 8 2 13 7 2" xfId="31728"/>
    <cellStyle name="Comma 8 2 13 8" xfId="31729"/>
    <cellStyle name="Comma 8 2 13 8 2" xfId="31730"/>
    <cellStyle name="Comma 8 2 13 9" xfId="31731"/>
    <cellStyle name="Comma 8 2 13 9 2" xfId="31732"/>
    <cellStyle name="Comma 8 2 14" xfId="31733"/>
    <cellStyle name="Comma 8 2 14 10" xfId="31734"/>
    <cellStyle name="Comma 8 2 14 10 2" xfId="31735"/>
    <cellStyle name="Comma 8 2 14 11" xfId="31736"/>
    <cellStyle name="Comma 8 2 14 11 2" xfId="31737"/>
    <cellStyle name="Comma 8 2 14 12" xfId="31738"/>
    <cellStyle name="Comma 8 2 14 2" xfId="31739"/>
    <cellStyle name="Comma 8 2 14 2 2" xfId="31740"/>
    <cellStyle name="Comma 8 2 14 3" xfId="31741"/>
    <cellStyle name="Comma 8 2 14 3 2" xfId="31742"/>
    <cellStyle name="Comma 8 2 14 4" xfId="31743"/>
    <cellStyle name="Comma 8 2 14 4 2" xfId="31744"/>
    <cellStyle name="Comma 8 2 14 5" xfId="31745"/>
    <cellStyle name="Comma 8 2 14 5 2" xfId="31746"/>
    <cellStyle name="Comma 8 2 14 6" xfId="31747"/>
    <cellStyle name="Comma 8 2 14 6 2" xfId="31748"/>
    <cellStyle name="Comma 8 2 14 7" xfId="31749"/>
    <cellStyle name="Comma 8 2 14 7 2" xfId="31750"/>
    <cellStyle name="Comma 8 2 14 8" xfId="31751"/>
    <cellStyle name="Comma 8 2 14 8 2" xfId="31752"/>
    <cellStyle name="Comma 8 2 14 9" xfId="31753"/>
    <cellStyle name="Comma 8 2 14 9 2" xfId="31754"/>
    <cellStyle name="Comma 8 2 15" xfId="31755"/>
    <cellStyle name="Comma 8 2 15 10" xfId="31756"/>
    <cellStyle name="Comma 8 2 15 10 2" xfId="31757"/>
    <cellStyle name="Comma 8 2 15 11" xfId="31758"/>
    <cellStyle name="Comma 8 2 15 11 2" xfId="31759"/>
    <cellStyle name="Comma 8 2 15 12" xfId="31760"/>
    <cellStyle name="Comma 8 2 15 2" xfId="31761"/>
    <cellStyle name="Comma 8 2 15 2 2" xfId="31762"/>
    <cellStyle name="Comma 8 2 15 3" xfId="31763"/>
    <cellStyle name="Comma 8 2 15 3 2" xfId="31764"/>
    <cellStyle name="Comma 8 2 15 4" xfId="31765"/>
    <cellStyle name="Comma 8 2 15 4 2" xfId="31766"/>
    <cellStyle name="Comma 8 2 15 5" xfId="31767"/>
    <cellStyle name="Comma 8 2 15 5 2" xfId="31768"/>
    <cellStyle name="Comma 8 2 15 6" xfId="31769"/>
    <cellStyle name="Comma 8 2 15 6 2" xfId="31770"/>
    <cellStyle name="Comma 8 2 15 7" xfId="31771"/>
    <cellStyle name="Comma 8 2 15 7 2" xfId="31772"/>
    <cellStyle name="Comma 8 2 15 8" xfId="31773"/>
    <cellStyle name="Comma 8 2 15 8 2" xfId="31774"/>
    <cellStyle name="Comma 8 2 15 9" xfId="31775"/>
    <cellStyle name="Comma 8 2 15 9 2" xfId="31776"/>
    <cellStyle name="Comma 8 2 16" xfId="31777"/>
    <cellStyle name="Comma 8 2 16 10" xfId="31778"/>
    <cellStyle name="Comma 8 2 16 10 2" xfId="31779"/>
    <cellStyle name="Comma 8 2 16 11" xfId="31780"/>
    <cellStyle name="Comma 8 2 16 11 2" xfId="31781"/>
    <cellStyle name="Comma 8 2 16 12" xfId="31782"/>
    <cellStyle name="Comma 8 2 16 2" xfId="31783"/>
    <cellStyle name="Comma 8 2 16 2 2" xfId="31784"/>
    <cellStyle name="Comma 8 2 16 3" xfId="31785"/>
    <cellStyle name="Comma 8 2 16 3 2" xfId="31786"/>
    <cellStyle name="Comma 8 2 16 4" xfId="31787"/>
    <cellStyle name="Comma 8 2 16 4 2" xfId="31788"/>
    <cellStyle name="Comma 8 2 16 5" xfId="31789"/>
    <cellStyle name="Comma 8 2 16 5 2" xfId="31790"/>
    <cellStyle name="Comma 8 2 16 6" xfId="31791"/>
    <cellStyle name="Comma 8 2 16 6 2" xfId="31792"/>
    <cellStyle name="Comma 8 2 16 7" xfId="31793"/>
    <cellStyle name="Comma 8 2 16 7 2" xfId="31794"/>
    <cellStyle name="Comma 8 2 16 8" xfId="31795"/>
    <cellStyle name="Comma 8 2 16 8 2" xfId="31796"/>
    <cellStyle name="Comma 8 2 16 9" xfId="31797"/>
    <cellStyle name="Comma 8 2 16 9 2" xfId="31798"/>
    <cellStyle name="Comma 8 2 17" xfId="31799"/>
    <cellStyle name="Comma 8 2 17 10" xfId="31800"/>
    <cellStyle name="Comma 8 2 17 10 2" xfId="31801"/>
    <cellStyle name="Comma 8 2 17 11" xfId="31802"/>
    <cellStyle name="Comma 8 2 17 11 2" xfId="31803"/>
    <cellStyle name="Comma 8 2 17 12" xfId="31804"/>
    <cellStyle name="Comma 8 2 17 2" xfId="31805"/>
    <cellStyle name="Comma 8 2 17 2 2" xfId="31806"/>
    <cellStyle name="Comma 8 2 17 3" xfId="31807"/>
    <cellStyle name="Comma 8 2 17 3 2" xfId="31808"/>
    <cellStyle name="Comma 8 2 17 4" xfId="31809"/>
    <cellStyle name="Comma 8 2 17 4 2" xfId="31810"/>
    <cellStyle name="Comma 8 2 17 5" xfId="31811"/>
    <cellStyle name="Comma 8 2 17 5 2" xfId="31812"/>
    <cellStyle name="Comma 8 2 17 6" xfId="31813"/>
    <cellStyle name="Comma 8 2 17 6 2" xfId="31814"/>
    <cellStyle name="Comma 8 2 17 7" xfId="31815"/>
    <cellStyle name="Comma 8 2 17 7 2" xfId="31816"/>
    <cellStyle name="Comma 8 2 17 8" xfId="31817"/>
    <cellStyle name="Comma 8 2 17 8 2" xfId="31818"/>
    <cellStyle name="Comma 8 2 17 9" xfId="31819"/>
    <cellStyle name="Comma 8 2 17 9 2" xfId="31820"/>
    <cellStyle name="Comma 8 2 18" xfId="31821"/>
    <cellStyle name="Comma 8 2 18 10" xfId="31822"/>
    <cellStyle name="Comma 8 2 18 10 2" xfId="31823"/>
    <cellStyle name="Comma 8 2 18 11" xfId="31824"/>
    <cellStyle name="Comma 8 2 18 11 2" xfId="31825"/>
    <cellStyle name="Comma 8 2 18 12" xfId="31826"/>
    <cellStyle name="Comma 8 2 18 2" xfId="31827"/>
    <cellStyle name="Comma 8 2 18 2 2" xfId="31828"/>
    <cellStyle name="Comma 8 2 18 3" xfId="31829"/>
    <cellStyle name="Comma 8 2 18 3 2" xfId="31830"/>
    <cellStyle name="Comma 8 2 18 4" xfId="31831"/>
    <cellStyle name="Comma 8 2 18 4 2" xfId="31832"/>
    <cellStyle name="Comma 8 2 18 5" xfId="31833"/>
    <cellStyle name="Comma 8 2 18 5 2" xfId="31834"/>
    <cellStyle name="Comma 8 2 18 6" xfId="31835"/>
    <cellStyle name="Comma 8 2 18 6 2" xfId="31836"/>
    <cellStyle name="Comma 8 2 18 7" xfId="31837"/>
    <cellStyle name="Comma 8 2 18 7 2" xfId="31838"/>
    <cellStyle name="Comma 8 2 18 8" xfId="31839"/>
    <cellStyle name="Comma 8 2 18 8 2" xfId="31840"/>
    <cellStyle name="Comma 8 2 18 9" xfId="31841"/>
    <cellStyle name="Comma 8 2 18 9 2" xfId="31842"/>
    <cellStyle name="Comma 8 2 19" xfId="31843"/>
    <cellStyle name="Comma 8 2 19 10" xfId="31844"/>
    <cellStyle name="Comma 8 2 19 10 2" xfId="31845"/>
    <cellStyle name="Comma 8 2 19 11" xfId="31846"/>
    <cellStyle name="Comma 8 2 19 11 2" xfId="31847"/>
    <cellStyle name="Comma 8 2 19 12" xfId="31848"/>
    <cellStyle name="Comma 8 2 19 2" xfId="31849"/>
    <cellStyle name="Comma 8 2 19 2 2" xfId="31850"/>
    <cellStyle name="Comma 8 2 19 3" xfId="31851"/>
    <cellStyle name="Comma 8 2 19 3 2" xfId="31852"/>
    <cellStyle name="Comma 8 2 19 4" xfId="31853"/>
    <cellStyle name="Comma 8 2 19 4 2" xfId="31854"/>
    <cellStyle name="Comma 8 2 19 5" xfId="31855"/>
    <cellStyle name="Comma 8 2 19 5 2" xfId="31856"/>
    <cellStyle name="Comma 8 2 19 6" xfId="31857"/>
    <cellStyle name="Comma 8 2 19 6 2" xfId="31858"/>
    <cellStyle name="Comma 8 2 19 7" xfId="31859"/>
    <cellStyle name="Comma 8 2 19 7 2" xfId="31860"/>
    <cellStyle name="Comma 8 2 19 8" xfId="31861"/>
    <cellStyle name="Comma 8 2 19 8 2" xfId="31862"/>
    <cellStyle name="Comma 8 2 19 9" xfId="31863"/>
    <cellStyle name="Comma 8 2 19 9 2" xfId="31864"/>
    <cellStyle name="Comma 8 2 2" xfId="31865"/>
    <cellStyle name="Comma 8 2 2 10" xfId="31866"/>
    <cellStyle name="Comma 8 2 2 10 2" xfId="31867"/>
    <cellStyle name="Comma 8 2 2 11" xfId="31868"/>
    <cellStyle name="Comma 8 2 2 11 2" xfId="31869"/>
    <cellStyle name="Comma 8 2 2 12" xfId="31870"/>
    <cellStyle name="Comma 8 2 2 13" xfId="38555"/>
    <cellStyle name="Comma 8 2 2 14" xfId="39851"/>
    <cellStyle name="Comma 8 2 2 15" xfId="41392"/>
    <cellStyle name="Comma 8 2 2 2" xfId="31871"/>
    <cellStyle name="Comma 8 2 2 2 2" xfId="31872"/>
    <cellStyle name="Comma 8 2 2 2 3" xfId="40569"/>
    <cellStyle name="Comma 8 2 2 2 4" xfId="42110"/>
    <cellStyle name="Comma 8 2 2 2_consumption scenario A" xfId="37641"/>
    <cellStyle name="Comma 8 2 2 3" xfId="31873"/>
    <cellStyle name="Comma 8 2 2 3 2" xfId="31874"/>
    <cellStyle name="Comma 8 2 2 4" xfId="31875"/>
    <cellStyle name="Comma 8 2 2 4 2" xfId="31876"/>
    <cellStyle name="Comma 8 2 2 5" xfId="31877"/>
    <cellStyle name="Comma 8 2 2 5 2" xfId="31878"/>
    <cellStyle name="Comma 8 2 2 6" xfId="31879"/>
    <cellStyle name="Comma 8 2 2 6 2" xfId="31880"/>
    <cellStyle name="Comma 8 2 2 7" xfId="31881"/>
    <cellStyle name="Comma 8 2 2 7 2" xfId="31882"/>
    <cellStyle name="Comma 8 2 2 8" xfId="31883"/>
    <cellStyle name="Comma 8 2 2 8 2" xfId="31884"/>
    <cellStyle name="Comma 8 2 2 9" xfId="31885"/>
    <cellStyle name="Comma 8 2 2 9 2" xfId="31886"/>
    <cellStyle name="Comma 8 2 2_consumption scenario A" xfId="37640"/>
    <cellStyle name="Comma 8 2 20" xfId="31887"/>
    <cellStyle name="Comma 8 2 20 10" xfId="31888"/>
    <cellStyle name="Comma 8 2 20 10 2" xfId="31889"/>
    <cellStyle name="Comma 8 2 20 11" xfId="31890"/>
    <cellStyle name="Comma 8 2 20 11 2" xfId="31891"/>
    <cellStyle name="Comma 8 2 20 12" xfId="31892"/>
    <cellStyle name="Comma 8 2 20 2" xfId="31893"/>
    <cellStyle name="Comma 8 2 20 2 2" xfId="31894"/>
    <cellStyle name="Comma 8 2 20 3" xfId="31895"/>
    <cellStyle name="Comma 8 2 20 3 2" xfId="31896"/>
    <cellStyle name="Comma 8 2 20 4" xfId="31897"/>
    <cellStyle name="Comma 8 2 20 4 2" xfId="31898"/>
    <cellStyle name="Comma 8 2 20 5" xfId="31899"/>
    <cellStyle name="Comma 8 2 20 5 2" xfId="31900"/>
    <cellStyle name="Comma 8 2 20 6" xfId="31901"/>
    <cellStyle name="Comma 8 2 20 6 2" xfId="31902"/>
    <cellStyle name="Comma 8 2 20 7" xfId="31903"/>
    <cellStyle name="Comma 8 2 20 7 2" xfId="31904"/>
    <cellStyle name="Comma 8 2 20 8" xfId="31905"/>
    <cellStyle name="Comma 8 2 20 8 2" xfId="31906"/>
    <cellStyle name="Comma 8 2 20 9" xfId="31907"/>
    <cellStyle name="Comma 8 2 20 9 2" xfId="31908"/>
    <cellStyle name="Comma 8 2 21" xfId="31909"/>
    <cellStyle name="Comma 8 2 21 10" xfId="31910"/>
    <cellStyle name="Comma 8 2 21 10 2" xfId="31911"/>
    <cellStyle name="Comma 8 2 21 11" xfId="31912"/>
    <cellStyle name="Comma 8 2 21 11 2" xfId="31913"/>
    <cellStyle name="Comma 8 2 21 12" xfId="31914"/>
    <cellStyle name="Comma 8 2 21 2" xfId="31915"/>
    <cellStyle name="Comma 8 2 21 2 2" xfId="31916"/>
    <cellStyle name="Comma 8 2 21 3" xfId="31917"/>
    <cellStyle name="Comma 8 2 21 3 2" xfId="31918"/>
    <cellStyle name="Comma 8 2 21 4" xfId="31919"/>
    <cellStyle name="Comma 8 2 21 4 2" xfId="31920"/>
    <cellStyle name="Comma 8 2 21 5" xfId="31921"/>
    <cellStyle name="Comma 8 2 21 5 2" xfId="31922"/>
    <cellStyle name="Comma 8 2 21 6" xfId="31923"/>
    <cellStyle name="Comma 8 2 21 6 2" xfId="31924"/>
    <cellStyle name="Comma 8 2 21 7" xfId="31925"/>
    <cellStyle name="Comma 8 2 21 7 2" xfId="31926"/>
    <cellStyle name="Comma 8 2 21 8" xfId="31927"/>
    <cellStyle name="Comma 8 2 21 8 2" xfId="31928"/>
    <cellStyle name="Comma 8 2 21 9" xfId="31929"/>
    <cellStyle name="Comma 8 2 21 9 2" xfId="31930"/>
    <cellStyle name="Comma 8 2 22" xfId="31931"/>
    <cellStyle name="Comma 8 2 22 10" xfId="31932"/>
    <cellStyle name="Comma 8 2 22 10 2" xfId="31933"/>
    <cellStyle name="Comma 8 2 22 11" xfId="31934"/>
    <cellStyle name="Comma 8 2 22 11 2" xfId="31935"/>
    <cellStyle name="Comma 8 2 22 12" xfId="31936"/>
    <cellStyle name="Comma 8 2 22 2" xfId="31937"/>
    <cellStyle name="Comma 8 2 22 2 2" xfId="31938"/>
    <cellStyle name="Comma 8 2 22 3" xfId="31939"/>
    <cellStyle name="Comma 8 2 22 3 2" xfId="31940"/>
    <cellStyle name="Comma 8 2 22 4" xfId="31941"/>
    <cellStyle name="Comma 8 2 22 4 2" xfId="31942"/>
    <cellStyle name="Comma 8 2 22 5" xfId="31943"/>
    <cellStyle name="Comma 8 2 22 5 2" xfId="31944"/>
    <cellStyle name="Comma 8 2 22 6" xfId="31945"/>
    <cellStyle name="Comma 8 2 22 6 2" xfId="31946"/>
    <cellStyle name="Comma 8 2 22 7" xfId="31947"/>
    <cellStyle name="Comma 8 2 22 7 2" xfId="31948"/>
    <cellStyle name="Comma 8 2 22 8" xfId="31949"/>
    <cellStyle name="Comma 8 2 22 8 2" xfId="31950"/>
    <cellStyle name="Comma 8 2 22 9" xfId="31951"/>
    <cellStyle name="Comma 8 2 22 9 2" xfId="31952"/>
    <cellStyle name="Comma 8 2 23" xfId="31953"/>
    <cellStyle name="Comma 8 2 23 10" xfId="31954"/>
    <cellStyle name="Comma 8 2 23 10 2" xfId="31955"/>
    <cellStyle name="Comma 8 2 23 11" xfId="31956"/>
    <cellStyle name="Comma 8 2 23 11 2" xfId="31957"/>
    <cellStyle name="Comma 8 2 23 12" xfId="31958"/>
    <cellStyle name="Comma 8 2 23 2" xfId="31959"/>
    <cellStyle name="Comma 8 2 23 2 2" xfId="31960"/>
    <cellStyle name="Comma 8 2 23 3" xfId="31961"/>
    <cellStyle name="Comma 8 2 23 3 2" xfId="31962"/>
    <cellStyle name="Comma 8 2 23 4" xfId="31963"/>
    <cellStyle name="Comma 8 2 23 4 2" xfId="31964"/>
    <cellStyle name="Comma 8 2 23 5" xfId="31965"/>
    <cellStyle name="Comma 8 2 23 5 2" xfId="31966"/>
    <cellStyle name="Comma 8 2 23 6" xfId="31967"/>
    <cellStyle name="Comma 8 2 23 6 2" xfId="31968"/>
    <cellStyle name="Comma 8 2 23 7" xfId="31969"/>
    <cellStyle name="Comma 8 2 23 7 2" xfId="31970"/>
    <cellStyle name="Comma 8 2 23 8" xfId="31971"/>
    <cellStyle name="Comma 8 2 23 8 2" xfId="31972"/>
    <cellStyle name="Comma 8 2 23 9" xfId="31973"/>
    <cellStyle name="Comma 8 2 23 9 2" xfId="31974"/>
    <cellStyle name="Comma 8 2 24" xfId="31975"/>
    <cellStyle name="Comma 8 2 24 10" xfId="31976"/>
    <cellStyle name="Comma 8 2 24 10 2" xfId="31977"/>
    <cellStyle name="Comma 8 2 24 11" xfId="31978"/>
    <cellStyle name="Comma 8 2 24 11 2" xfId="31979"/>
    <cellStyle name="Comma 8 2 24 12" xfId="31980"/>
    <cellStyle name="Comma 8 2 24 2" xfId="31981"/>
    <cellStyle name="Comma 8 2 24 2 2" xfId="31982"/>
    <cellStyle name="Comma 8 2 24 3" xfId="31983"/>
    <cellStyle name="Comma 8 2 24 3 2" xfId="31984"/>
    <cellStyle name="Comma 8 2 24 4" xfId="31985"/>
    <cellStyle name="Comma 8 2 24 4 2" xfId="31986"/>
    <cellStyle name="Comma 8 2 24 5" xfId="31987"/>
    <cellStyle name="Comma 8 2 24 5 2" xfId="31988"/>
    <cellStyle name="Comma 8 2 24 6" xfId="31989"/>
    <cellStyle name="Comma 8 2 24 6 2" xfId="31990"/>
    <cellStyle name="Comma 8 2 24 7" xfId="31991"/>
    <cellStyle name="Comma 8 2 24 7 2" xfId="31992"/>
    <cellStyle name="Comma 8 2 24 8" xfId="31993"/>
    <cellStyle name="Comma 8 2 24 8 2" xfId="31994"/>
    <cellStyle name="Comma 8 2 24 9" xfId="31995"/>
    <cellStyle name="Comma 8 2 24 9 2" xfId="31996"/>
    <cellStyle name="Comma 8 2 25" xfId="31997"/>
    <cellStyle name="Comma 8 2 25 10" xfId="31998"/>
    <cellStyle name="Comma 8 2 25 10 2" xfId="31999"/>
    <cellStyle name="Comma 8 2 25 11" xfId="32000"/>
    <cellStyle name="Comma 8 2 25 11 2" xfId="32001"/>
    <cellStyle name="Comma 8 2 25 12" xfId="32002"/>
    <cellStyle name="Comma 8 2 25 2" xfId="32003"/>
    <cellStyle name="Comma 8 2 25 2 2" xfId="32004"/>
    <cellStyle name="Comma 8 2 25 3" xfId="32005"/>
    <cellStyle name="Comma 8 2 25 3 2" xfId="32006"/>
    <cellStyle name="Comma 8 2 25 4" xfId="32007"/>
    <cellStyle name="Comma 8 2 25 4 2" xfId="32008"/>
    <cellStyle name="Comma 8 2 25 5" xfId="32009"/>
    <cellStyle name="Comma 8 2 25 5 2" xfId="32010"/>
    <cellStyle name="Comma 8 2 25 6" xfId="32011"/>
    <cellStyle name="Comma 8 2 25 6 2" xfId="32012"/>
    <cellStyle name="Comma 8 2 25 7" xfId="32013"/>
    <cellStyle name="Comma 8 2 25 7 2" xfId="32014"/>
    <cellStyle name="Comma 8 2 25 8" xfId="32015"/>
    <cellStyle name="Comma 8 2 25 8 2" xfId="32016"/>
    <cellStyle name="Comma 8 2 25 9" xfId="32017"/>
    <cellStyle name="Comma 8 2 25 9 2" xfId="32018"/>
    <cellStyle name="Comma 8 2 26" xfId="32019"/>
    <cellStyle name="Comma 8 2 26 10" xfId="32020"/>
    <cellStyle name="Comma 8 2 26 10 2" xfId="32021"/>
    <cellStyle name="Comma 8 2 26 11" xfId="32022"/>
    <cellStyle name="Comma 8 2 26 11 2" xfId="32023"/>
    <cellStyle name="Comma 8 2 26 12" xfId="32024"/>
    <cellStyle name="Comma 8 2 26 2" xfId="32025"/>
    <cellStyle name="Comma 8 2 26 2 2" xfId="32026"/>
    <cellStyle name="Comma 8 2 26 3" xfId="32027"/>
    <cellStyle name="Comma 8 2 26 3 2" xfId="32028"/>
    <cellStyle name="Comma 8 2 26 4" xfId="32029"/>
    <cellStyle name="Comma 8 2 26 4 2" xfId="32030"/>
    <cellStyle name="Comma 8 2 26 5" xfId="32031"/>
    <cellStyle name="Comma 8 2 26 5 2" xfId="32032"/>
    <cellStyle name="Comma 8 2 26 6" xfId="32033"/>
    <cellStyle name="Comma 8 2 26 6 2" xfId="32034"/>
    <cellStyle name="Comma 8 2 26 7" xfId="32035"/>
    <cellStyle name="Comma 8 2 26 7 2" xfId="32036"/>
    <cellStyle name="Comma 8 2 26 8" xfId="32037"/>
    <cellStyle name="Comma 8 2 26 8 2" xfId="32038"/>
    <cellStyle name="Comma 8 2 26 9" xfId="32039"/>
    <cellStyle name="Comma 8 2 26 9 2" xfId="32040"/>
    <cellStyle name="Comma 8 2 27" xfId="32041"/>
    <cellStyle name="Comma 8 2 27 10" xfId="32042"/>
    <cellStyle name="Comma 8 2 27 10 2" xfId="32043"/>
    <cellStyle name="Comma 8 2 27 11" xfId="32044"/>
    <cellStyle name="Comma 8 2 27 11 2" xfId="32045"/>
    <cellStyle name="Comma 8 2 27 12" xfId="32046"/>
    <cellStyle name="Comma 8 2 27 2" xfId="32047"/>
    <cellStyle name="Comma 8 2 27 2 2" xfId="32048"/>
    <cellStyle name="Comma 8 2 27 3" xfId="32049"/>
    <cellStyle name="Comma 8 2 27 3 2" xfId="32050"/>
    <cellStyle name="Comma 8 2 27 4" xfId="32051"/>
    <cellStyle name="Comma 8 2 27 4 2" xfId="32052"/>
    <cellStyle name="Comma 8 2 27 5" xfId="32053"/>
    <cellStyle name="Comma 8 2 27 5 2" xfId="32054"/>
    <cellStyle name="Comma 8 2 27 6" xfId="32055"/>
    <cellStyle name="Comma 8 2 27 6 2" xfId="32056"/>
    <cellStyle name="Comma 8 2 27 7" xfId="32057"/>
    <cellStyle name="Comma 8 2 27 7 2" xfId="32058"/>
    <cellStyle name="Comma 8 2 27 8" xfId="32059"/>
    <cellStyle name="Comma 8 2 27 8 2" xfId="32060"/>
    <cellStyle name="Comma 8 2 27 9" xfId="32061"/>
    <cellStyle name="Comma 8 2 27 9 2" xfId="32062"/>
    <cellStyle name="Comma 8 2 28" xfId="32063"/>
    <cellStyle name="Comma 8 2 28 10" xfId="32064"/>
    <cellStyle name="Comma 8 2 28 10 2" xfId="32065"/>
    <cellStyle name="Comma 8 2 28 11" xfId="32066"/>
    <cellStyle name="Comma 8 2 28 11 2" xfId="32067"/>
    <cellStyle name="Comma 8 2 28 12" xfId="32068"/>
    <cellStyle name="Comma 8 2 28 2" xfId="32069"/>
    <cellStyle name="Comma 8 2 28 2 2" xfId="32070"/>
    <cellStyle name="Comma 8 2 28 3" xfId="32071"/>
    <cellStyle name="Comma 8 2 28 3 2" xfId="32072"/>
    <cellStyle name="Comma 8 2 28 4" xfId="32073"/>
    <cellStyle name="Comma 8 2 28 4 2" xfId="32074"/>
    <cellStyle name="Comma 8 2 28 5" xfId="32075"/>
    <cellStyle name="Comma 8 2 28 5 2" xfId="32076"/>
    <cellStyle name="Comma 8 2 28 6" xfId="32077"/>
    <cellStyle name="Comma 8 2 28 6 2" xfId="32078"/>
    <cellStyle name="Comma 8 2 28 7" xfId="32079"/>
    <cellStyle name="Comma 8 2 28 7 2" xfId="32080"/>
    <cellStyle name="Comma 8 2 28 8" xfId="32081"/>
    <cellStyle name="Comma 8 2 28 8 2" xfId="32082"/>
    <cellStyle name="Comma 8 2 28 9" xfId="32083"/>
    <cellStyle name="Comma 8 2 28 9 2" xfId="32084"/>
    <cellStyle name="Comma 8 2 29" xfId="32085"/>
    <cellStyle name="Comma 8 2 29 10" xfId="32086"/>
    <cellStyle name="Comma 8 2 29 10 2" xfId="32087"/>
    <cellStyle name="Comma 8 2 29 11" xfId="32088"/>
    <cellStyle name="Comma 8 2 29 11 2" xfId="32089"/>
    <cellStyle name="Comma 8 2 29 12" xfId="32090"/>
    <cellStyle name="Comma 8 2 29 2" xfId="32091"/>
    <cellStyle name="Comma 8 2 29 2 2" xfId="32092"/>
    <cellStyle name="Comma 8 2 29 3" xfId="32093"/>
    <cellStyle name="Comma 8 2 29 3 2" xfId="32094"/>
    <cellStyle name="Comma 8 2 29 4" xfId="32095"/>
    <cellStyle name="Comma 8 2 29 4 2" xfId="32096"/>
    <cellStyle name="Comma 8 2 29 5" xfId="32097"/>
    <cellStyle name="Comma 8 2 29 5 2" xfId="32098"/>
    <cellStyle name="Comma 8 2 29 6" xfId="32099"/>
    <cellStyle name="Comma 8 2 29 6 2" xfId="32100"/>
    <cellStyle name="Comma 8 2 29 7" xfId="32101"/>
    <cellStyle name="Comma 8 2 29 7 2" xfId="32102"/>
    <cellStyle name="Comma 8 2 29 8" xfId="32103"/>
    <cellStyle name="Comma 8 2 29 8 2" xfId="32104"/>
    <cellStyle name="Comma 8 2 29 9" xfId="32105"/>
    <cellStyle name="Comma 8 2 29 9 2" xfId="32106"/>
    <cellStyle name="Comma 8 2 3" xfId="32107"/>
    <cellStyle name="Comma 8 2 3 10" xfId="32108"/>
    <cellStyle name="Comma 8 2 3 10 2" xfId="32109"/>
    <cellStyle name="Comma 8 2 3 11" xfId="32110"/>
    <cellStyle name="Comma 8 2 3 11 2" xfId="32111"/>
    <cellStyle name="Comma 8 2 3 12" xfId="32112"/>
    <cellStyle name="Comma 8 2 3 13" xfId="40250"/>
    <cellStyle name="Comma 8 2 3 14" xfId="41791"/>
    <cellStyle name="Comma 8 2 3 2" xfId="32113"/>
    <cellStyle name="Comma 8 2 3 2 2" xfId="32114"/>
    <cellStyle name="Comma 8 2 3 3" xfId="32115"/>
    <cellStyle name="Comma 8 2 3 3 2" xfId="32116"/>
    <cellStyle name="Comma 8 2 3 4" xfId="32117"/>
    <cellStyle name="Comma 8 2 3 4 2" xfId="32118"/>
    <cellStyle name="Comma 8 2 3 5" xfId="32119"/>
    <cellStyle name="Comma 8 2 3 5 2" xfId="32120"/>
    <cellStyle name="Comma 8 2 3 6" xfId="32121"/>
    <cellStyle name="Comma 8 2 3 6 2" xfId="32122"/>
    <cellStyle name="Comma 8 2 3 7" xfId="32123"/>
    <cellStyle name="Comma 8 2 3 7 2" xfId="32124"/>
    <cellStyle name="Comma 8 2 3 8" xfId="32125"/>
    <cellStyle name="Comma 8 2 3 8 2" xfId="32126"/>
    <cellStyle name="Comma 8 2 3 9" xfId="32127"/>
    <cellStyle name="Comma 8 2 3 9 2" xfId="32128"/>
    <cellStyle name="Comma 8 2 3_consumption scenario A" xfId="37642"/>
    <cellStyle name="Comma 8 2 30" xfId="32129"/>
    <cellStyle name="Comma 8 2 30 10" xfId="32130"/>
    <cellStyle name="Comma 8 2 30 10 2" xfId="32131"/>
    <cellStyle name="Comma 8 2 30 11" xfId="32132"/>
    <cellStyle name="Comma 8 2 30 11 2" xfId="32133"/>
    <cellStyle name="Comma 8 2 30 12" xfId="32134"/>
    <cellStyle name="Comma 8 2 30 2" xfId="32135"/>
    <cellStyle name="Comma 8 2 30 2 2" xfId="32136"/>
    <cellStyle name="Comma 8 2 30 3" xfId="32137"/>
    <cellStyle name="Comma 8 2 30 3 2" xfId="32138"/>
    <cellStyle name="Comma 8 2 30 4" xfId="32139"/>
    <cellStyle name="Comma 8 2 30 4 2" xfId="32140"/>
    <cellStyle name="Comma 8 2 30 5" xfId="32141"/>
    <cellStyle name="Comma 8 2 30 5 2" xfId="32142"/>
    <cellStyle name="Comma 8 2 30 6" xfId="32143"/>
    <cellStyle name="Comma 8 2 30 6 2" xfId="32144"/>
    <cellStyle name="Comma 8 2 30 7" xfId="32145"/>
    <cellStyle name="Comma 8 2 30 7 2" xfId="32146"/>
    <cellStyle name="Comma 8 2 30 8" xfId="32147"/>
    <cellStyle name="Comma 8 2 30 8 2" xfId="32148"/>
    <cellStyle name="Comma 8 2 30 9" xfId="32149"/>
    <cellStyle name="Comma 8 2 30 9 2" xfId="32150"/>
    <cellStyle name="Comma 8 2 31" xfId="32151"/>
    <cellStyle name="Comma 8 2 31 10" xfId="32152"/>
    <cellStyle name="Comma 8 2 31 10 2" xfId="32153"/>
    <cellStyle name="Comma 8 2 31 11" xfId="32154"/>
    <cellStyle name="Comma 8 2 31 11 2" xfId="32155"/>
    <cellStyle name="Comma 8 2 31 12" xfId="32156"/>
    <cellStyle name="Comma 8 2 31 2" xfId="32157"/>
    <cellStyle name="Comma 8 2 31 2 2" xfId="32158"/>
    <cellStyle name="Comma 8 2 31 3" xfId="32159"/>
    <cellStyle name="Comma 8 2 31 3 2" xfId="32160"/>
    <cellStyle name="Comma 8 2 31 4" xfId="32161"/>
    <cellStyle name="Comma 8 2 31 4 2" xfId="32162"/>
    <cellStyle name="Comma 8 2 31 5" xfId="32163"/>
    <cellStyle name="Comma 8 2 31 5 2" xfId="32164"/>
    <cellStyle name="Comma 8 2 31 6" xfId="32165"/>
    <cellStyle name="Comma 8 2 31 6 2" xfId="32166"/>
    <cellStyle name="Comma 8 2 31 7" xfId="32167"/>
    <cellStyle name="Comma 8 2 31 7 2" xfId="32168"/>
    <cellStyle name="Comma 8 2 31 8" xfId="32169"/>
    <cellStyle name="Comma 8 2 31 8 2" xfId="32170"/>
    <cellStyle name="Comma 8 2 31 9" xfId="32171"/>
    <cellStyle name="Comma 8 2 31 9 2" xfId="32172"/>
    <cellStyle name="Comma 8 2 32" xfId="32173"/>
    <cellStyle name="Comma 8 2 32 10" xfId="32174"/>
    <cellStyle name="Comma 8 2 32 10 2" xfId="32175"/>
    <cellStyle name="Comma 8 2 32 11" xfId="32176"/>
    <cellStyle name="Comma 8 2 32 11 2" xfId="32177"/>
    <cellStyle name="Comma 8 2 32 12" xfId="32178"/>
    <cellStyle name="Comma 8 2 32 2" xfId="32179"/>
    <cellStyle name="Comma 8 2 32 2 2" xfId="32180"/>
    <cellStyle name="Comma 8 2 32 3" xfId="32181"/>
    <cellStyle name="Comma 8 2 32 3 2" xfId="32182"/>
    <cellStyle name="Comma 8 2 32 4" xfId="32183"/>
    <cellStyle name="Comma 8 2 32 4 2" xfId="32184"/>
    <cellStyle name="Comma 8 2 32 5" xfId="32185"/>
    <cellStyle name="Comma 8 2 32 5 2" xfId="32186"/>
    <cellStyle name="Comma 8 2 32 6" xfId="32187"/>
    <cellStyle name="Comma 8 2 32 6 2" xfId="32188"/>
    <cellStyle name="Comma 8 2 32 7" xfId="32189"/>
    <cellStyle name="Comma 8 2 32 7 2" xfId="32190"/>
    <cellStyle name="Comma 8 2 32 8" xfId="32191"/>
    <cellStyle name="Comma 8 2 32 8 2" xfId="32192"/>
    <cellStyle name="Comma 8 2 32 9" xfId="32193"/>
    <cellStyle name="Comma 8 2 32 9 2" xfId="32194"/>
    <cellStyle name="Comma 8 2 33" xfId="32195"/>
    <cellStyle name="Comma 8 2 33 10" xfId="32196"/>
    <cellStyle name="Comma 8 2 33 10 2" xfId="32197"/>
    <cellStyle name="Comma 8 2 33 11" xfId="32198"/>
    <cellStyle name="Comma 8 2 33 11 2" xfId="32199"/>
    <cellStyle name="Comma 8 2 33 12" xfId="32200"/>
    <cellStyle name="Comma 8 2 33 2" xfId="32201"/>
    <cellStyle name="Comma 8 2 33 2 2" xfId="32202"/>
    <cellStyle name="Comma 8 2 33 3" xfId="32203"/>
    <cellStyle name="Comma 8 2 33 3 2" xfId="32204"/>
    <cellStyle name="Comma 8 2 33 4" xfId="32205"/>
    <cellStyle name="Comma 8 2 33 4 2" xfId="32206"/>
    <cellStyle name="Comma 8 2 33 5" xfId="32207"/>
    <cellStyle name="Comma 8 2 33 5 2" xfId="32208"/>
    <cellStyle name="Comma 8 2 33 6" xfId="32209"/>
    <cellStyle name="Comma 8 2 33 6 2" xfId="32210"/>
    <cellStyle name="Comma 8 2 33 7" xfId="32211"/>
    <cellStyle name="Comma 8 2 33 7 2" xfId="32212"/>
    <cellStyle name="Comma 8 2 33 8" xfId="32213"/>
    <cellStyle name="Comma 8 2 33 8 2" xfId="32214"/>
    <cellStyle name="Comma 8 2 33 9" xfId="32215"/>
    <cellStyle name="Comma 8 2 33 9 2" xfId="32216"/>
    <cellStyle name="Comma 8 2 34" xfId="32217"/>
    <cellStyle name="Comma 8 2 34 10" xfId="32218"/>
    <cellStyle name="Comma 8 2 34 10 2" xfId="32219"/>
    <cellStyle name="Comma 8 2 34 11" xfId="32220"/>
    <cellStyle name="Comma 8 2 34 11 2" xfId="32221"/>
    <cellStyle name="Comma 8 2 34 12" xfId="32222"/>
    <cellStyle name="Comma 8 2 34 2" xfId="32223"/>
    <cellStyle name="Comma 8 2 34 2 2" xfId="32224"/>
    <cellStyle name="Comma 8 2 34 3" xfId="32225"/>
    <cellStyle name="Comma 8 2 34 3 2" xfId="32226"/>
    <cellStyle name="Comma 8 2 34 4" xfId="32227"/>
    <cellStyle name="Comma 8 2 34 4 2" xfId="32228"/>
    <cellStyle name="Comma 8 2 34 5" xfId="32229"/>
    <cellStyle name="Comma 8 2 34 5 2" xfId="32230"/>
    <cellStyle name="Comma 8 2 34 6" xfId="32231"/>
    <cellStyle name="Comma 8 2 34 6 2" xfId="32232"/>
    <cellStyle name="Comma 8 2 34 7" xfId="32233"/>
    <cellStyle name="Comma 8 2 34 7 2" xfId="32234"/>
    <cellStyle name="Comma 8 2 34 8" xfId="32235"/>
    <cellStyle name="Comma 8 2 34 8 2" xfId="32236"/>
    <cellStyle name="Comma 8 2 34 9" xfId="32237"/>
    <cellStyle name="Comma 8 2 34 9 2" xfId="32238"/>
    <cellStyle name="Comma 8 2 35" xfId="32239"/>
    <cellStyle name="Comma 8 2 35 10" xfId="32240"/>
    <cellStyle name="Comma 8 2 35 10 2" xfId="32241"/>
    <cellStyle name="Comma 8 2 35 11" xfId="32242"/>
    <cellStyle name="Comma 8 2 35 11 2" xfId="32243"/>
    <cellStyle name="Comma 8 2 35 12" xfId="32244"/>
    <cellStyle name="Comma 8 2 35 2" xfId="32245"/>
    <cellStyle name="Comma 8 2 35 2 2" xfId="32246"/>
    <cellStyle name="Comma 8 2 35 3" xfId="32247"/>
    <cellStyle name="Comma 8 2 35 3 2" xfId="32248"/>
    <cellStyle name="Comma 8 2 35 4" xfId="32249"/>
    <cellStyle name="Comma 8 2 35 4 2" xfId="32250"/>
    <cellStyle name="Comma 8 2 35 5" xfId="32251"/>
    <cellStyle name="Comma 8 2 35 5 2" xfId="32252"/>
    <cellStyle name="Comma 8 2 35 6" xfId="32253"/>
    <cellStyle name="Comma 8 2 35 6 2" xfId="32254"/>
    <cellStyle name="Comma 8 2 35 7" xfId="32255"/>
    <cellStyle name="Comma 8 2 35 7 2" xfId="32256"/>
    <cellStyle name="Comma 8 2 35 8" xfId="32257"/>
    <cellStyle name="Comma 8 2 35 8 2" xfId="32258"/>
    <cellStyle name="Comma 8 2 35 9" xfId="32259"/>
    <cellStyle name="Comma 8 2 35 9 2" xfId="32260"/>
    <cellStyle name="Comma 8 2 36" xfId="32261"/>
    <cellStyle name="Comma 8 2 36 10" xfId="32262"/>
    <cellStyle name="Comma 8 2 36 10 2" xfId="32263"/>
    <cellStyle name="Comma 8 2 36 11" xfId="32264"/>
    <cellStyle name="Comma 8 2 36 11 2" xfId="32265"/>
    <cellStyle name="Comma 8 2 36 12" xfId="32266"/>
    <cellStyle name="Comma 8 2 36 2" xfId="32267"/>
    <cellStyle name="Comma 8 2 36 2 2" xfId="32268"/>
    <cellStyle name="Comma 8 2 36 3" xfId="32269"/>
    <cellStyle name="Comma 8 2 36 3 2" xfId="32270"/>
    <cellStyle name="Comma 8 2 36 4" xfId="32271"/>
    <cellStyle name="Comma 8 2 36 4 2" xfId="32272"/>
    <cellStyle name="Comma 8 2 36 5" xfId="32273"/>
    <cellStyle name="Comma 8 2 36 5 2" xfId="32274"/>
    <cellStyle name="Comma 8 2 36 6" xfId="32275"/>
    <cellStyle name="Comma 8 2 36 6 2" xfId="32276"/>
    <cellStyle name="Comma 8 2 36 7" xfId="32277"/>
    <cellStyle name="Comma 8 2 36 7 2" xfId="32278"/>
    <cellStyle name="Comma 8 2 36 8" xfId="32279"/>
    <cellStyle name="Comma 8 2 36 8 2" xfId="32280"/>
    <cellStyle name="Comma 8 2 36 9" xfId="32281"/>
    <cellStyle name="Comma 8 2 36 9 2" xfId="32282"/>
    <cellStyle name="Comma 8 2 37" xfId="32283"/>
    <cellStyle name="Comma 8 2 37 10" xfId="32284"/>
    <cellStyle name="Comma 8 2 37 10 2" xfId="32285"/>
    <cellStyle name="Comma 8 2 37 11" xfId="32286"/>
    <cellStyle name="Comma 8 2 37 11 2" xfId="32287"/>
    <cellStyle name="Comma 8 2 37 12" xfId="32288"/>
    <cellStyle name="Comma 8 2 37 2" xfId="32289"/>
    <cellStyle name="Comma 8 2 37 2 2" xfId="32290"/>
    <cellStyle name="Comma 8 2 37 3" xfId="32291"/>
    <cellStyle name="Comma 8 2 37 3 2" xfId="32292"/>
    <cellStyle name="Comma 8 2 37 4" xfId="32293"/>
    <cellStyle name="Comma 8 2 37 4 2" xfId="32294"/>
    <cellStyle name="Comma 8 2 37 5" xfId="32295"/>
    <cellStyle name="Comma 8 2 37 5 2" xfId="32296"/>
    <cellStyle name="Comma 8 2 37 6" xfId="32297"/>
    <cellStyle name="Comma 8 2 37 6 2" xfId="32298"/>
    <cellStyle name="Comma 8 2 37 7" xfId="32299"/>
    <cellStyle name="Comma 8 2 37 7 2" xfId="32300"/>
    <cellStyle name="Comma 8 2 37 8" xfId="32301"/>
    <cellStyle name="Comma 8 2 37 8 2" xfId="32302"/>
    <cellStyle name="Comma 8 2 37 9" xfId="32303"/>
    <cellStyle name="Comma 8 2 37 9 2" xfId="32304"/>
    <cellStyle name="Comma 8 2 38" xfId="32305"/>
    <cellStyle name="Comma 8 2 38 10" xfId="32306"/>
    <cellStyle name="Comma 8 2 38 10 2" xfId="32307"/>
    <cellStyle name="Comma 8 2 38 11" xfId="32308"/>
    <cellStyle name="Comma 8 2 38 11 2" xfId="32309"/>
    <cellStyle name="Comma 8 2 38 12" xfId="32310"/>
    <cellStyle name="Comma 8 2 38 2" xfId="32311"/>
    <cellStyle name="Comma 8 2 38 2 2" xfId="32312"/>
    <cellStyle name="Comma 8 2 38 3" xfId="32313"/>
    <cellStyle name="Comma 8 2 38 3 2" xfId="32314"/>
    <cellStyle name="Comma 8 2 38 4" xfId="32315"/>
    <cellStyle name="Comma 8 2 38 4 2" xfId="32316"/>
    <cellStyle name="Comma 8 2 38 5" xfId="32317"/>
    <cellStyle name="Comma 8 2 38 5 2" xfId="32318"/>
    <cellStyle name="Comma 8 2 38 6" xfId="32319"/>
    <cellStyle name="Comma 8 2 38 6 2" xfId="32320"/>
    <cellStyle name="Comma 8 2 38 7" xfId="32321"/>
    <cellStyle name="Comma 8 2 38 7 2" xfId="32322"/>
    <cellStyle name="Comma 8 2 38 8" xfId="32323"/>
    <cellStyle name="Comma 8 2 38 8 2" xfId="32324"/>
    <cellStyle name="Comma 8 2 38 9" xfId="32325"/>
    <cellStyle name="Comma 8 2 38 9 2" xfId="32326"/>
    <cellStyle name="Comma 8 2 39" xfId="32327"/>
    <cellStyle name="Comma 8 2 39 10" xfId="32328"/>
    <cellStyle name="Comma 8 2 39 10 2" xfId="32329"/>
    <cellStyle name="Comma 8 2 39 11" xfId="32330"/>
    <cellStyle name="Comma 8 2 39 11 2" xfId="32331"/>
    <cellStyle name="Comma 8 2 39 12" xfId="32332"/>
    <cellStyle name="Comma 8 2 39 2" xfId="32333"/>
    <cellStyle name="Comma 8 2 39 2 2" xfId="32334"/>
    <cellStyle name="Comma 8 2 39 3" xfId="32335"/>
    <cellStyle name="Comma 8 2 39 3 2" xfId="32336"/>
    <cellStyle name="Comma 8 2 39 4" xfId="32337"/>
    <cellStyle name="Comma 8 2 39 4 2" xfId="32338"/>
    <cellStyle name="Comma 8 2 39 5" xfId="32339"/>
    <cellStyle name="Comma 8 2 39 5 2" xfId="32340"/>
    <cellStyle name="Comma 8 2 39 6" xfId="32341"/>
    <cellStyle name="Comma 8 2 39 6 2" xfId="32342"/>
    <cellStyle name="Comma 8 2 39 7" xfId="32343"/>
    <cellStyle name="Comma 8 2 39 7 2" xfId="32344"/>
    <cellStyle name="Comma 8 2 39 8" xfId="32345"/>
    <cellStyle name="Comma 8 2 39 8 2" xfId="32346"/>
    <cellStyle name="Comma 8 2 39 9" xfId="32347"/>
    <cellStyle name="Comma 8 2 39 9 2" xfId="32348"/>
    <cellStyle name="Comma 8 2 4" xfId="32349"/>
    <cellStyle name="Comma 8 2 4 10" xfId="32350"/>
    <cellStyle name="Comma 8 2 4 10 2" xfId="32351"/>
    <cellStyle name="Comma 8 2 4 11" xfId="32352"/>
    <cellStyle name="Comma 8 2 4 11 2" xfId="32353"/>
    <cellStyle name="Comma 8 2 4 12" xfId="32354"/>
    <cellStyle name="Comma 8 2 4 2" xfId="32355"/>
    <cellStyle name="Comma 8 2 4 2 2" xfId="32356"/>
    <cellStyle name="Comma 8 2 4 3" xfId="32357"/>
    <cellStyle name="Comma 8 2 4 3 2" xfId="32358"/>
    <cellStyle name="Comma 8 2 4 4" xfId="32359"/>
    <cellStyle name="Comma 8 2 4 4 2" xfId="32360"/>
    <cellStyle name="Comma 8 2 4 5" xfId="32361"/>
    <cellStyle name="Comma 8 2 4 5 2" xfId="32362"/>
    <cellStyle name="Comma 8 2 4 6" xfId="32363"/>
    <cellStyle name="Comma 8 2 4 6 2" xfId="32364"/>
    <cellStyle name="Comma 8 2 4 7" xfId="32365"/>
    <cellStyle name="Comma 8 2 4 7 2" xfId="32366"/>
    <cellStyle name="Comma 8 2 4 8" xfId="32367"/>
    <cellStyle name="Comma 8 2 4 8 2" xfId="32368"/>
    <cellStyle name="Comma 8 2 4 9" xfId="32369"/>
    <cellStyle name="Comma 8 2 4 9 2" xfId="32370"/>
    <cellStyle name="Comma 8 2 40" xfId="32371"/>
    <cellStyle name="Comma 8 2 40 2" xfId="32372"/>
    <cellStyle name="Comma 8 2 41" xfId="32373"/>
    <cellStyle name="Comma 8 2 41 2" xfId="32374"/>
    <cellStyle name="Comma 8 2 42" xfId="32375"/>
    <cellStyle name="Comma 8 2 42 2" xfId="32376"/>
    <cellStyle name="Comma 8 2 43" xfId="32377"/>
    <cellStyle name="Comma 8 2 43 2" xfId="32378"/>
    <cellStyle name="Comma 8 2 44" xfId="32379"/>
    <cellStyle name="Comma 8 2 44 2" xfId="32380"/>
    <cellStyle name="Comma 8 2 45" xfId="32381"/>
    <cellStyle name="Comma 8 2 45 2" xfId="32382"/>
    <cellStyle name="Comma 8 2 46" xfId="32383"/>
    <cellStyle name="Comma 8 2 46 2" xfId="32384"/>
    <cellStyle name="Comma 8 2 47" xfId="32385"/>
    <cellStyle name="Comma 8 2 47 2" xfId="32386"/>
    <cellStyle name="Comma 8 2 48" xfId="32387"/>
    <cellStyle name="Comma 8 2 48 2" xfId="32388"/>
    <cellStyle name="Comma 8 2 49" xfId="32389"/>
    <cellStyle name="Comma 8 2 49 2" xfId="32390"/>
    <cellStyle name="Comma 8 2 5" xfId="32391"/>
    <cellStyle name="Comma 8 2 5 10" xfId="32392"/>
    <cellStyle name="Comma 8 2 5 10 2" xfId="32393"/>
    <cellStyle name="Comma 8 2 5 11" xfId="32394"/>
    <cellStyle name="Comma 8 2 5 11 2" xfId="32395"/>
    <cellStyle name="Comma 8 2 5 12" xfId="32396"/>
    <cellStyle name="Comma 8 2 5 2" xfId="32397"/>
    <cellStyle name="Comma 8 2 5 2 2" xfId="32398"/>
    <cellStyle name="Comma 8 2 5 3" xfId="32399"/>
    <cellStyle name="Comma 8 2 5 3 2" xfId="32400"/>
    <cellStyle name="Comma 8 2 5 4" xfId="32401"/>
    <cellStyle name="Comma 8 2 5 4 2" xfId="32402"/>
    <cellStyle name="Comma 8 2 5 5" xfId="32403"/>
    <cellStyle name="Comma 8 2 5 5 2" xfId="32404"/>
    <cellStyle name="Comma 8 2 5 6" xfId="32405"/>
    <cellStyle name="Comma 8 2 5 6 2" xfId="32406"/>
    <cellStyle name="Comma 8 2 5 7" xfId="32407"/>
    <cellStyle name="Comma 8 2 5 7 2" xfId="32408"/>
    <cellStyle name="Comma 8 2 5 8" xfId="32409"/>
    <cellStyle name="Comma 8 2 5 8 2" xfId="32410"/>
    <cellStyle name="Comma 8 2 5 9" xfId="32411"/>
    <cellStyle name="Comma 8 2 5 9 2" xfId="32412"/>
    <cellStyle name="Comma 8 2 50" xfId="32413"/>
    <cellStyle name="Comma 8 2 50 2" xfId="32414"/>
    <cellStyle name="Comma 8 2 51" xfId="32415"/>
    <cellStyle name="Comma 8 2 51 2" xfId="32416"/>
    <cellStyle name="Comma 8 2 52" xfId="32417"/>
    <cellStyle name="Comma 8 2 53" xfId="38235"/>
    <cellStyle name="Comma 8 2 54" xfId="39532"/>
    <cellStyle name="Comma 8 2 55" xfId="41073"/>
    <cellStyle name="Comma 8 2 6" xfId="32418"/>
    <cellStyle name="Comma 8 2 6 10" xfId="32419"/>
    <cellStyle name="Comma 8 2 6 10 2" xfId="32420"/>
    <cellStyle name="Comma 8 2 6 11" xfId="32421"/>
    <cellStyle name="Comma 8 2 6 11 2" xfId="32422"/>
    <cellStyle name="Comma 8 2 6 12" xfId="32423"/>
    <cellStyle name="Comma 8 2 6 2" xfId="32424"/>
    <cellStyle name="Comma 8 2 6 2 2" xfId="32425"/>
    <cellStyle name="Comma 8 2 6 3" xfId="32426"/>
    <cellStyle name="Comma 8 2 6 3 2" xfId="32427"/>
    <cellStyle name="Comma 8 2 6 4" xfId="32428"/>
    <cellStyle name="Comma 8 2 6 4 2" xfId="32429"/>
    <cellStyle name="Comma 8 2 6 5" xfId="32430"/>
    <cellStyle name="Comma 8 2 6 5 2" xfId="32431"/>
    <cellStyle name="Comma 8 2 6 6" xfId="32432"/>
    <cellStyle name="Comma 8 2 6 6 2" xfId="32433"/>
    <cellStyle name="Comma 8 2 6 7" xfId="32434"/>
    <cellStyle name="Comma 8 2 6 7 2" xfId="32435"/>
    <cellStyle name="Comma 8 2 6 8" xfId="32436"/>
    <cellStyle name="Comma 8 2 6 8 2" xfId="32437"/>
    <cellStyle name="Comma 8 2 6 9" xfId="32438"/>
    <cellStyle name="Comma 8 2 6 9 2" xfId="32439"/>
    <cellStyle name="Comma 8 2 7" xfId="32440"/>
    <cellStyle name="Comma 8 2 7 10" xfId="32441"/>
    <cellStyle name="Comma 8 2 7 10 2" xfId="32442"/>
    <cellStyle name="Comma 8 2 7 11" xfId="32443"/>
    <cellStyle name="Comma 8 2 7 11 2" xfId="32444"/>
    <cellStyle name="Comma 8 2 7 12" xfId="32445"/>
    <cellStyle name="Comma 8 2 7 2" xfId="32446"/>
    <cellStyle name="Comma 8 2 7 2 2" xfId="32447"/>
    <cellStyle name="Comma 8 2 7 3" xfId="32448"/>
    <cellStyle name="Comma 8 2 7 3 2" xfId="32449"/>
    <cellStyle name="Comma 8 2 7 4" xfId="32450"/>
    <cellStyle name="Comma 8 2 7 4 2" xfId="32451"/>
    <cellStyle name="Comma 8 2 7 5" xfId="32452"/>
    <cellStyle name="Comma 8 2 7 5 2" xfId="32453"/>
    <cellStyle name="Comma 8 2 7 6" xfId="32454"/>
    <cellStyle name="Comma 8 2 7 6 2" xfId="32455"/>
    <cellStyle name="Comma 8 2 7 7" xfId="32456"/>
    <cellStyle name="Comma 8 2 7 7 2" xfId="32457"/>
    <cellStyle name="Comma 8 2 7 8" xfId="32458"/>
    <cellStyle name="Comma 8 2 7 8 2" xfId="32459"/>
    <cellStyle name="Comma 8 2 7 9" xfId="32460"/>
    <cellStyle name="Comma 8 2 7 9 2" xfId="32461"/>
    <cellStyle name="Comma 8 2 8" xfId="32462"/>
    <cellStyle name="Comma 8 2 8 10" xfId="32463"/>
    <cellStyle name="Comma 8 2 8 10 2" xfId="32464"/>
    <cellStyle name="Comma 8 2 8 11" xfId="32465"/>
    <cellStyle name="Comma 8 2 8 11 2" xfId="32466"/>
    <cellStyle name="Comma 8 2 8 12" xfId="32467"/>
    <cellStyle name="Comma 8 2 8 2" xfId="32468"/>
    <cellStyle name="Comma 8 2 8 2 2" xfId="32469"/>
    <cellStyle name="Comma 8 2 8 3" xfId="32470"/>
    <cellStyle name="Comma 8 2 8 3 2" xfId="32471"/>
    <cellStyle name="Comma 8 2 8 4" xfId="32472"/>
    <cellStyle name="Comma 8 2 8 4 2" xfId="32473"/>
    <cellStyle name="Comma 8 2 8 5" xfId="32474"/>
    <cellStyle name="Comma 8 2 8 5 2" xfId="32475"/>
    <cellStyle name="Comma 8 2 8 6" xfId="32476"/>
    <cellStyle name="Comma 8 2 8 6 2" xfId="32477"/>
    <cellStyle name="Comma 8 2 8 7" xfId="32478"/>
    <cellStyle name="Comma 8 2 8 7 2" xfId="32479"/>
    <cellStyle name="Comma 8 2 8 8" xfId="32480"/>
    <cellStyle name="Comma 8 2 8 8 2" xfId="32481"/>
    <cellStyle name="Comma 8 2 8 9" xfId="32482"/>
    <cellStyle name="Comma 8 2 8 9 2" xfId="32483"/>
    <cellStyle name="Comma 8 2 9" xfId="32484"/>
    <cellStyle name="Comma 8 2 9 10" xfId="32485"/>
    <cellStyle name="Comma 8 2 9 10 2" xfId="32486"/>
    <cellStyle name="Comma 8 2 9 11" xfId="32487"/>
    <cellStyle name="Comma 8 2 9 11 2" xfId="32488"/>
    <cellStyle name="Comma 8 2 9 12" xfId="32489"/>
    <cellStyle name="Comma 8 2 9 2" xfId="32490"/>
    <cellStyle name="Comma 8 2 9 2 2" xfId="32491"/>
    <cellStyle name="Comma 8 2 9 3" xfId="32492"/>
    <cellStyle name="Comma 8 2 9 3 2" xfId="32493"/>
    <cellStyle name="Comma 8 2 9 4" xfId="32494"/>
    <cellStyle name="Comma 8 2 9 4 2" xfId="32495"/>
    <cellStyle name="Comma 8 2 9 5" xfId="32496"/>
    <cellStyle name="Comma 8 2 9 5 2" xfId="32497"/>
    <cellStyle name="Comma 8 2 9 6" xfId="32498"/>
    <cellStyle name="Comma 8 2 9 6 2" xfId="32499"/>
    <cellStyle name="Comma 8 2 9 7" xfId="32500"/>
    <cellStyle name="Comma 8 2 9 7 2" xfId="32501"/>
    <cellStyle name="Comma 8 2 9 8" xfId="32502"/>
    <cellStyle name="Comma 8 2 9 8 2" xfId="32503"/>
    <cellStyle name="Comma 8 2 9 9" xfId="32504"/>
    <cellStyle name="Comma 8 2 9 9 2" xfId="32505"/>
    <cellStyle name="Comma 8 2_consumption scenario A" xfId="37639"/>
    <cellStyle name="Comma 8 20" xfId="32506"/>
    <cellStyle name="Comma 8 20 10" xfId="32507"/>
    <cellStyle name="Comma 8 20 10 2" xfId="32508"/>
    <cellStyle name="Comma 8 20 11" xfId="32509"/>
    <cellStyle name="Comma 8 20 11 2" xfId="32510"/>
    <cellStyle name="Comma 8 20 12" xfId="32511"/>
    <cellStyle name="Comma 8 20 2" xfId="32512"/>
    <cellStyle name="Comma 8 20 2 2" xfId="32513"/>
    <cellStyle name="Comma 8 20 3" xfId="32514"/>
    <cellStyle name="Comma 8 20 3 2" xfId="32515"/>
    <cellStyle name="Comma 8 20 4" xfId="32516"/>
    <cellStyle name="Comma 8 20 4 2" xfId="32517"/>
    <cellStyle name="Comma 8 20 5" xfId="32518"/>
    <cellStyle name="Comma 8 20 5 2" xfId="32519"/>
    <cellStyle name="Comma 8 20 6" xfId="32520"/>
    <cellStyle name="Comma 8 20 6 2" xfId="32521"/>
    <cellStyle name="Comma 8 20 7" xfId="32522"/>
    <cellStyle name="Comma 8 20 7 2" xfId="32523"/>
    <cellStyle name="Comma 8 20 8" xfId="32524"/>
    <cellStyle name="Comma 8 20 8 2" xfId="32525"/>
    <cellStyle name="Comma 8 20 9" xfId="32526"/>
    <cellStyle name="Comma 8 20 9 2" xfId="32527"/>
    <cellStyle name="Comma 8 21" xfId="32528"/>
    <cellStyle name="Comma 8 21 10" xfId="32529"/>
    <cellStyle name="Comma 8 21 10 2" xfId="32530"/>
    <cellStyle name="Comma 8 21 11" xfId="32531"/>
    <cellStyle name="Comma 8 21 11 2" xfId="32532"/>
    <cellStyle name="Comma 8 21 12" xfId="32533"/>
    <cellStyle name="Comma 8 21 2" xfId="32534"/>
    <cellStyle name="Comma 8 21 2 2" xfId="32535"/>
    <cellStyle name="Comma 8 21 3" xfId="32536"/>
    <cellStyle name="Comma 8 21 3 2" xfId="32537"/>
    <cellStyle name="Comma 8 21 4" xfId="32538"/>
    <cellStyle name="Comma 8 21 4 2" xfId="32539"/>
    <cellStyle name="Comma 8 21 5" xfId="32540"/>
    <cellStyle name="Comma 8 21 5 2" xfId="32541"/>
    <cellStyle name="Comma 8 21 6" xfId="32542"/>
    <cellStyle name="Comma 8 21 6 2" xfId="32543"/>
    <cellStyle name="Comma 8 21 7" xfId="32544"/>
    <cellStyle name="Comma 8 21 7 2" xfId="32545"/>
    <cellStyle name="Comma 8 21 8" xfId="32546"/>
    <cellStyle name="Comma 8 21 8 2" xfId="32547"/>
    <cellStyle name="Comma 8 21 9" xfId="32548"/>
    <cellStyle name="Comma 8 21 9 2" xfId="32549"/>
    <cellStyle name="Comma 8 22" xfId="32550"/>
    <cellStyle name="Comma 8 22 10" xfId="32551"/>
    <cellStyle name="Comma 8 22 10 2" xfId="32552"/>
    <cellStyle name="Comma 8 22 11" xfId="32553"/>
    <cellStyle name="Comma 8 22 11 2" xfId="32554"/>
    <cellStyle name="Comma 8 22 12" xfId="32555"/>
    <cellStyle name="Comma 8 22 2" xfId="32556"/>
    <cellStyle name="Comma 8 22 2 2" xfId="32557"/>
    <cellStyle name="Comma 8 22 3" xfId="32558"/>
    <cellStyle name="Comma 8 22 3 2" xfId="32559"/>
    <cellStyle name="Comma 8 22 4" xfId="32560"/>
    <cellStyle name="Comma 8 22 4 2" xfId="32561"/>
    <cellStyle name="Comma 8 22 5" xfId="32562"/>
    <cellStyle name="Comma 8 22 5 2" xfId="32563"/>
    <cellStyle name="Comma 8 22 6" xfId="32564"/>
    <cellStyle name="Comma 8 22 6 2" xfId="32565"/>
    <cellStyle name="Comma 8 22 7" xfId="32566"/>
    <cellStyle name="Comma 8 22 7 2" xfId="32567"/>
    <cellStyle name="Comma 8 22 8" xfId="32568"/>
    <cellStyle name="Comma 8 22 8 2" xfId="32569"/>
    <cellStyle name="Comma 8 22 9" xfId="32570"/>
    <cellStyle name="Comma 8 22 9 2" xfId="32571"/>
    <cellStyle name="Comma 8 23" xfId="32572"/>
    <cellStyle name="Comma 8 23 10" xfId="32573"/>
    <cellStyle name="Comma 8 23 10 2" xfId="32574"/>
    <cellStyle name="Comma 8 23 11" xfId="32575"/>
    <cellStyle name="Comma 8 23 11 2" xfId="32576"/>
    <cellStyle name="Comma 8 23 12" xfId="32577"/>
    <cellStyle name="Comma 8 23 2" xfId="32578"/>
    <cellStyle name="Comma 8 23 2 2" xfId="32579"/>
    <cellStyle name="Comma 8 23 3" xfId="32580"/>
    <cellStyle name="Comma 8 23 3 2" xfId="32581"/>
    <cellStyle name="Comma 8 23 4" xfId="32582"/>
    <cellStyle name="Comma 8 23 4 2" xfId="32583"/>
    <cellStyle name="Comma 8 23 5" xfId="32584"/>
    <cellStyle name="Comma 8 23 5 2" xfId="32585"/>
    <cellStyle name="Comma 8 23 6" xfId="32586"/>
    <cellStyle name="Comma 8 23 6 2" xfId="32587"/>
    <cellStyle name="Comma 8 23 7" xfId="32588"/>
    <cellStyle name="Comma 8 23 7 2" xfId="32589"/>
    <cellStyle name="Comma 8 23 8" xfId="32590"/>
    <cellStyle name="Comma 8 23 8 2" xfId="32591"/>
    <cellStyle name="Comma 8 23 9" xfId="32592"/>
    <cellStyle name="Comma 8 23 9 2" xfId="32593"/>
    <cellStyle name="Comma 8 24" xfId="32594"/>
    <cellStyle name="Comma 8 24 10" xfId="32595"/>
    <cellStyle name="Comma 8 24 10 2" xfId="32596"/>
    <cellStyle name="Comma 8 24 11" xfId="32597"/>
    <cellStyle name="Comma 8 24 11 2" xfId="32598"/>
    <cellStyle name="Comma 8 24 12" xfId="32599"/>
    <cellStyle name="Comma 8 24 2" xfId="32600"/>
    <cellStyle name="Comma 8 24 2 2" xfId="32601"/>
    <cellStyle name="Comma 8 24 3" xfId="32602"/>
    <cellStyle name="Comma 8 24 3 2" xfId="32603"/>
    <cellStyle name="Comma 8 24 4" xfId="32604"/>
    <cellStyle name="Comma 8 24 4 2" xfId="32605"/>
    <cellStyle name="Comma 8 24 5" xfId="32606"/>
    <cellStyle name="Comma 8 24 5 2" xfId="32607"/>
    <cellStyle name="Comma 8 24 6" xfId="32608"/>
    <cellStyle name="Comma 8 24 6 2" xfId="32609"/>
    <cellStyle name="Comma 8 24 7" xfId="32610"/>
    <cellStyle name="Comma 8 24 7 2" xfId="32611"/>
    <cellStyle name="Comma 8 24 8" xfId="32612"/>
    <cellStyle name="Comma 8 24 8 2" xfId="32613"/>
    <cellStyle name="Comma 8 24 9" xfId="32614"/>
    <cellStyle name="Comma 8 24 9 2" xfId="32615"/>
    <cellStyle name="Comma 8 25" xfId="32616"/>
    <cellStyle name="Comma 8 25 10" xfId="32617"/>
    <cellStyle name="Comma 8 25 10 2" xfId="32618"/>
    <cellStyle name="Comma 8 25 11" xfId="32619"/>
    <cellStyle name="Comma 8 25 11 2" xfId="32620"/>
    <cellStyle name="Comma 8 25 12" xfId="32621"/>
    <cellStyle name="Comma 8 25 2" xfId="32622"/>
    <cellStyle name="Comma 8 25 2 2" xfId="32623"/>
    <cellStyle name="Comma 8 25 3" xfId="32624"/>
    <cellStyle name="Comma 8 25 3 2" xfId="32625"/>
    <cellStyle name="Comma 8 25 4" xfId="32626"/>
    <cellStyle name="Comma 8 25 4 2" xfId="32627"/>
    <cellStyle name="Comma 8 25 5" xfId="32628"/>
    <cellStyle name="Comma 8 25 5 2" xfId="32629"/>
    <cellStyle name="Comma 8 25 6" xfId="32630"/>
    <cellStyle name="Comma 8 25 6 2" xfId="32631"/>
    <cellStyle name="Comma 8 25 7" xfId="32632"/>
    <cellStyle name="Comma 8 25 7 2" xfId="32633"/>
    <cellStyle name="Comma 8 25 8" xfId="32634"/>
    <cellStyle name="Comma 8 25 8 2" xfId="32635"/>
    <cellStyle name="Comma 8 25 9" xfId="32636"/>
    <cellStyle name="Comma 8 25 9 2" xfId="32637"/>
    <cellStyle name="Comma 8 26" xfId="32638"/>
    <cellStyle name="Comma 8 26 10" xfId="32639"/>
    <cellStyle name="Comma 8 26 10 2" xfId="32640"/>
    <cellStyle name="Comma 8 26 11" xfId="32641"/>
    <cellStyle name="Comma 8 26 11 2" xfId="32642"/>
    <cellStyle name="Comma 8 26 12" xfId="32643"/>
    <cellStyle name="Comma 8 26 2" xfId="32644"/>
    <cellStyle name="Comma 8 26 2 2" xfId="32645"/>
    <cellStyle name="Comma 8 26 3" xfId="32646"/>
    <cellStyle name="Comma 8 26 3 2" xfId="32647"/>
    <cellStyle name="Comma 8 26 4" xfId="32648"/>
    <cellStyle name="Comma 8 26 4 2" xfId="32649"/>
    <cellStyle name="Comma 8 26 5" xfId="32650"/>
    <cellStyle name="Comma 8 26 5 2" xfId="32651"/>
    <cellStyle name="Comma 8 26 6" xfId="32652"/>
    <cellStyle name="Comma 8 26 6 2" xfId="32653"/>
    <cellStyle name="Comma 8 26 7" xfId="32654"/>
    <cellStyle name="Comma 8 26 7 2" xfId="32655"/>
    <cellStyle name="Comma 8 26 8" xfId="32656"/>
    <cellStyle name="Comma 8 26 8 2" xfId="32657"/>
    <cellStyle name="Comma 8 26 9" xfId="32658"/>
    <cellStyle name="Comma 8 26 9 2" xfId="32659"/>
    <cellStyle name="Comma 8 27" xfId="32660"/>
    <cellStyle name="Comma 8 27 10" xfId="32661"/>
    <cellStyle name="Comma 8 27 10 2" xfId="32662"/>
    <cellStyle name="Comma 8 27 11" xfId="32663"/>
    <cellStyle name="Comma 8 27 11 2" xfId="32664"/>
    <cellStyle name="Comma 8 27 12" xfId="32665"/>
    <cellStyle name="Comma 8 27 2" xfId="32666"/>
    <cellStyle name="Comma 8 27 2 2" xfId="32667"/>
    <cellStyle name="Comma 8 27 3" xfId="32668"/>
    <cellStyle name="Comma 8 27 3 2" xfId="32669"/>
    <cellStyle name="Comma 8 27 4" xfId="32670"/>
    <cellStyle name="Comma 8 27 4 2" xfId="32671"/>
    <cellStyle name="Comma 8 27 5" xfId="32672"/>
    <cellStyle name="Comma 8 27 5 2" xfId="32673"/>
    <cellStyle name="Comma 8 27 6" xfId="32674"/>
    <cellStyle name="Comma 8 27 6 2" xfId="32675"/>
    <cellStyle name="Comma 8 27 7" xfId="32676"/>
    <cellStyle name="Comma 8 27 7 2" xfId="32677"/>
    <cellStyle name="Comma 8 27 8" xfId="32678"/>
    <cellStyle name="Comma 8 27 8 2" xfId="32679"/>
    <cellStyle name="Comma 8 27 9" xfId="32680"/>
    <cellStyle name="Comma 8 27 9 2" xfId="32681"/>
    <cellStyle name="Comma 8 28" xfId="32682"/>
    <cellStyle name="Comma 8 28 10" xfId="32683"/>
    <cellStyle name="Comma 8 28 10 2" xfId="32684"/>
    <cellStyle name="Comma 8 28 11" xfId="32685"/>
    <cellStyle name="Comma 8 28 11 2" xfId="32686"/>
    <cellStyle name="Comma 8 28 12" xfId="32687"/>
    <cellStyle name="Comma 8 28 2" xfId="32688"/>
    <cellStyle name="Comma 8 28 2 2" xfId="32689"/>
    <cellStyle name="Comma 8 28 3" xfId="32690"/>
    <cellStyle name="Comma 8 28 3 2" xfId="32691"/>
    <cellStyle name="Comma 8 28 4" xfId="32692"/>
    <cellStyle name="Comma 8 28 4 2" xfId="32693"/>
    <cellStyle name="Comma 8 28 5" xfId="32694"/>
    <cellStyle name="Comma 8 28 5 2" xfId="32695"/>
    <cellStyle name="Comma 8 28 6" xfId="32696"/>
    <cellStyle name="Comma 8 28 6 2" xfId="32697"/>
    <cellStyle name="Comma 8 28 7" xfId="32698"/>
    <cellStyle name="Comma 8 28 7 2" xfId="32699"/>
    <cellStyle name="Comma 8 28 8" xfId="32700"/>
    <cellStyle name="Comma 8 28 8 2" xfId="32701"/>
    <cellStyle name="Comma 8 28 9" xfId="32702"/>
    <cellStyle name="Comma 8 28 9 2" xfId="32703"/>
    <cellStyle name="Comma 8 29" xfId="32704"/>
    <cellStyle name="Comma 8 29 10" xfId="32705"/>
    <cellStyle name="Comma 8 29 10 2" xfId="32706"/>
    <cellStyle name="Comma 8 29 11" xfId="32707"/>
    <cellStyle name="Comma 8 29 11 2" xfId="32708"/>
    <cellStyle name="Comma 8 29 12" xfId="32709"/>
    <cellStyle name="Comma 8 29 2" xfId="32710"/>
    <cellStyle name="Comma 8 29 2 2" xfId="32711"/>
    <cellStyle name="Comma 8 29 3" xfId="32712"/>
    <cellStyle name="Comma 8 29 3 2" xfId="32713"/>
    <cellStyle name="Comma 8 29 4" xfId="32714"/>
    <cellStyle name="Comma 8 29 4 2" xfId="32715"/>
    <cellStyle name="Comma 8 29 5" xfId="32716"/>
    <cellStyle name="Comma 8 29 5 2" xfId="32717"/>
    <cellStyle name="Comma 8 29 6" xfId="32718"/>
    <cellStyle name="Comma 8 29 6 2" xfId="32719"/>
    <cellStyle name="Comma 8 29 7" xfId="32720"/>
    <cellStyle name="Comma 8 29 7 2" xfId="32721"/>
    <cellStyle name="Comma 8 29 8" xfId="32722"/>
    <cellStyle name="Comma 8 29 8 2" xfId="32723"/>
    <cellStyle name="Comma 8 29 9" xfId="32724"/>
    <cellStyle name="Comma 8 29 9 2" xfId="32725"/>
    <cellStyle name="Comma 8 3" xfId="32726"/>
    <cellStyle name="Comma 8 3 10" xfId="32727"/>
    <cellStyle name="Comma 8 3 10 10" xfId="32728"/>
    <cellStyle name="Comma 8 3 10 10 2" xfId="32729"/>
    <cellStyle name="Comma 8 3 10 11" xfId="32730"/>
    <cellStyle name="Comma 8 3 10 11 2" xfId="32731"/>
    <cellStyle name="Comma 8 3 10 12" xfId="32732"/>
    <cellStyle name="Comma 8 3 10 2" xfId="32733"/>
    <cellStyle name="Comma 8 3 10 2 2" xfId="32734"/>
    <cellStyle name="Comma 8 3 10 3" xfId="32735"/>
    <cellStyle name="Comma 8 3 10 3 2" xfId="32736"/>
    <cellStyle name="Comma 8 3 10 4" xfId="32737"/>
    <cellStyle name="Comma 8 3 10 4 2" xfId="32738"/>
    <cellStyle name="Comma 8 3 10 5" xfId="32739"/>
    <cellStyle name="Comma 8 3 10 5 2" xfId="32740"/>
    <cellStyle name="Comma 8 3 10 6" xfId="32741"/>
    <cellStyle name="Comma 8 3 10 6 2" xfId="32742"/>
    <cellStyle name="Comma 8 3 10 7" xfId="32743"/>
    <cellStyle name="Comma 8 3 10 7 2" xfId="32744"/>
    <cellStyle name="Comma 8 3 10 8" xfId="32745"/>
    <cellStyle name="Comma 8 3 10 8 2" xfId="32746"/>
    <cellStyle name="Comma 8 3 10 9" xfId="32747"/>
    <cellStyle name="Comma 8 3 10 9 2" xfId="32748"/>
    <cellStyle name="Comma 8 3 11" xfId="32749"/>
    <cellStyle name="Comma 8 3 11 10" xfId="32750"/>
    <cellStyle name="Comma 8 3 11 10 2" xfId="32751"/>
    <cellStyle name="Comma 8 3 11 11" xfId="32752"/>
    <cellStyle name="Comma 8 3 11 11 2" xfId="32753"/>
    <cellStyle name="Comma 8 3 11 12" xfId="32754"/>
    <cellStyle name="Comma 8 3 11 2" xfId="32755"/>
    <cellStyle name="Comma 8 3 11 2 2" xfId="32756"/>
    <cellStyle name="Comma 8 3 11 3" xfId="32757"/>
    <cellStyle name="Comma 8 3 11 3 2" xfId="32758"/>
    <cellStyle name="Comma 8 3 11 4" xfId="32759"/>
    <cellStyle name="Comma 8 3 11 4 2" xfId="32760"/>
    <cellStyle name="Comma 8 3 11 5" xfId="32761"/>
    <cellStyle name="Comma 8 3 11 5 2" xfId="32762"/>
    <cellStyle name="Comma 8 3 11 6" xfId="32763"/>
    <cellStyle name="Comma 8 3 11 6 2" xfId="32764"/>
    <cellStyle name="Comma 8 3 11 7" xfId="32765"/>
    <cellStyle name="Comma 8 3 11 7 2" xfId="32766"/>
    <cellStyle name="Comma 8 3 11 8" xfId="32767"/>
    <cellStyle name="Comma 8 3 11 8 2" xfId="32768"/>
    <cellStyle name="Comma 8 3 11 9" xfId="32769"/>
    <cellStyle name="Comma 8 3 11 9 2" xfId="32770"/>
    <cellStyle name="Comma 8 3 12" xfId="32771"/>
    <cellStyle name="Comma 8 3 12 10" xfId="32772"/>
    <cellStyle name="Comma 8 3 12 10 2" xfId="32773"/>
    <cellStyle name="Comma 8 3 12 11" xfId="32774"/>
    <cellStyle name="Comma 8 3 12 11 2" xfId="32775"/>
    <cellStyle name="Comma 8 3 12 12" xfId="32776"/>
    <cellStyle name="Comma 8 3 12 2" xfId="32777"/>
    <cellStyle name="Comma 8 3 12 2 2" xfId="32778"/>
    <cellStyle name="Comma 8 3 12 3" xfId="32779"/>
    <cellStyle name="Comma 8 3 12 3 2" xfId="32780"/>
    <cellStyle name="Comma 8 3 12 4" xfId="32781"/>
    <cellStyle name="Comma 8 3 12 4 2" xfId="32782"/>
    <cellStyle name="Comma 8 3 12 5" xfId="32783"/>
    <cellStyle name="Comma 8 3 12 5 2" xfId="32784"/>
    <cellStyle name="Comma 8 3 12 6" xfId="32785"/>
    <cellStyle name="Comma 8 3 12 6 2" xfId="32786"/>
    <cellStyle name="Comma 8 3 12 7" xfId="32787"/>
    <cellStyle name="Comma 8 3 12 7 2" xfId="32788"/>
    <cellStyle name="Comma 8 3 12 8" xfId="32789"/>
    <cellStyle name="Comma 8 3 12 8 2" xfId="32790"/>
    <cellStyle name="Comma 8 3 12 9" xfId="32791"/>
    <cellStyle name="Comma 8 3 12 9 2" xfId="32792"/>
    <cellStyle name="Comma 8 3 13" xfId="32793"/>
    <cellStyle name="Comma 8 3 13 10" xfId="32794"/>
    <cellStyle name="Comma 8 3 13 10 2" xfId="32795"/>
    <cellStyle name="Comma 8 3 13 11" xfId="32796"/>
    <cellStyle name="Comma 8 3 13 11 2" xfId="32797"/>
    <cellStyle name="Comma 8 3 13 12" xfId="32798"/>
    <cellStyle name="Comma 8 3 13 2" xfId="32799"/>
    <cellStyle name="Comma 8 3 13 2 2" xfId="32800"/>
    <cellStyle name="Comma 8 3 13 3" xfId="32801"/>
    <cellStyle name="Comma 8 3 13 3 2" xfId="32802"/>
    <cellStyle name="Comma 8 3 13 4" xfId="32803"/>
    <cellStyle name="Comma 8 3 13 4 2" xfId="32804"/>
    <cellStyle name="Comma 8 3 13 5" xfId="32805"/>
    <cellStyle name="Comma 8 3 13 5 2" xfId="32806"/>
    <cellStyle name="Comma 8 3 13 6" xfId="32807"/>
    <cellStyle name="Comma 8 3 13 6 2" xfId="32808"/>
    <cellStyle name="Comma 8 3 13 7" xfId="32809"/>
    <cellStyle name="Comma 8 3 13 7 2" xfId="32810"/>
    <cellStyle name="Comma 8 3 13 8" xfId="32811"/>
    <cellStyle name="Comma 8 3 13 8 2" xfId="32812"/>
    <cellStyle name="Comma 8 3 13 9" xfId="32813"/>
    <cellStyle name="Comma 8 3 13 9 2" xfId="32814"/>
    <cellStyle name="Comma 8 3 14" xfId="32815"/>
    <cellStyle name="Comma 8 3 14 10" xfId="32816"/>
    <cellStyle name="Comma 8 3 14 10 2" xfId="32817"/>
    <cellStyle name="Comma 8 3 14 11" xfId="32818"/>
    <cellStyle name="Comma 8 3 14 11 2" xfId="32819"/>
    <cellStyle name="Comma 8 3 14 12" xfId="32820"/>
    <cellStyle name="Comma 8 3 14 2" xfId="32821"/>
    <cellStyle name="Comma 8 3 14 2 2" xfId="32822"/>
    <cellStyle name="Comma 8 3 14 3" xfId="32823"/>
    <cellStyle name="Comma 8 3 14 3 2" xfId="32824"/>
    <cellStyle name="Comma 8 3 14 4" xfId="32825"/>
    <cellStyle name="Comma 8 3 14 4 2" xfId="32826"/>
    <cellStyle name="Comma 8 3 14 5" xfId="32827"/>
    <cellStyle name="Comma 8 3 14 5 2" xfId="32828"/>
    <cellStyle name="Comma 8 3 14 6" xfId="32829"/>
    <cellStyle name="Comma 8 3 14 6 2" xfId="32830"/>
    <cellStyle name="Comma 8 3 14 7" xfId="32831"/>
    <cellStyle name="Comma 8 3 14 7 2" xfId="32832"/>
    <cellStyle name="Comma 8 3 14 8" xfId="32833"/>
    <cellStyle name="Comma 8 3 14 8 2" xfId="32834"/>
    <cellStyle name="Comma 8 3 14 9" xfId="32835"/>
    <cellStyle name="Comma 8 3 14 9 2" xfId="32836"/>
    <cellStyle name="Comma 8 3 15" xfId="32837"/>
    <cellStyle name="Comma 8 3 15 10" xfId="32838"/>
    <cellStyle name="Comma 8 3 15 10 2" xfId="32839"/>
    <cellStyle name="Comma 8 3 15 11" xfId="32840"/>
    <cellStyle name="Comma 8 3 15 11 2" xfId="32841"/>
    <cellStyle name="Comma 8 3 15 12" xfId="32842"/>
    <cellStyle name="Comma 8 3 15 2" xfId="32843"/>
    <cellStyle name="Comma 8 3 15 2 2" xfId="32844"/>
    <cellStyle name="Comma 8 3 15 3" xfId="32845"/>
    <cellStyle name="Comma 8 3 15 3 2" xfId="32846"/>
    <cellStyle name="Comma 8 3 15 4" xfId="32847"/>
    <cellStyle name="Comma 8 3 15 4 2" xfId="32848"/>
    <cellStyle name="Comma 8 3 15 5" xfId="32849"/>
    <cellStyle name="Comma 8 3 15 5 2" xfId="32850"/>
    <cellStyle name="Comma 8 3 15 6" xfId="32851"/>
    <cellStyle name="Comma 8 3 15 6 2" xfId="32852"/>
    <cellStyle name="Comma 8 3 15 7" xfId="32853"/>
    <cellStyle name="Comma 8 3 15 7 2" xfId="32854"/>
    <cellStyle name="Comma 8 3 15 8" xfId="32855"/>
    <cellStyle name="Comma 8 3 15 8 2" xfId="32856"/>
    <cellStyle name="Comma 8 3 15 9" xfId="32857"/>
    <cellStyle name="Comma 8 3 15 9 2" xfId="32858"/>
    <cellStyle name="Comma 8 3 16" xfId="32859"/>
    <cellStyle name="Comma 8 3 16 10" xfId="32860"/>
    <cellStyle name="Comma 8 3 16 10 2" xfId="32861"/>
    <cellStyle name="Comma 8 3 16 11" xfId="32862"/>
    <cellStyle name="Comma 8 3 16 11 2" xfId="32863"/>
    <cellStyle name="Comma 8 3 16 12" xfId="32864"/>
    <cellStyle name="Comma 8 3 16 2" xfId="32865"/>
    <cellStyle name="Comma 8 3 16 2 2" xfId="32866"/>
    <cellStyle name="Comma 8 3 16 3" xfId="32867"/>
    <cellStyle name="Comma 8 3 16 3 2" xfId="32868"/>
    <cellStyle name="Comma 8 3 16 4" xfId="32869"/>
    <cellStyle name="Comma 8 3 16 4 2" xfId="32870"/>
    <cellStyle name="Comma 8 3 16 5" xfId="32871"/>
    <cellStyle name="Comma 8 3 16 5 2" xfId="32872"/>
    <cellStyle name="Comma 8 3 16 6" xfId="32873"/>
    <cellStyle name="Comma 8 3 16 6 2" xfId="32874"/>
    <cellStyle name="Comma 8 3 16 7" xfId="32875"/>
    <cellStyle name="Comma 8 3 16 7 2" xfId="32876"/>
    <cellStyle name="Comma 8 3 16 8" xfId="32877"/>
    <cellStyle name="Comma 8 3 16 8 2" xfId="32878"/>
    <cellStyle name="Comma 8 3 16 9" xfId="32879"/>
    <cellStyle name="Comma 8 3 16 9 2" xfId="32880"/>
    <cellStyle name="Comma 8 3 17" xfId="32881"/>
    <cellStyle name="Comma 8 3 17 10" xfId="32882"/>
    <cellStyle name="Comma 8 3 17 10 2" xfId="32883"/>
    <cellStyle name="Comma 8 3 17 11" xfId="32884"/>
    <cellStyle name="Comma 8 3 17 11 2" xfId="32885"/>
    <cellStyle name="Comma 8 3 17 12" xfId="32886"/>
    <cellStyle name="Comma 8 3 17 2" xfId="32887"/>
    <cellStyle name="Comma 8 3 17 2 2" xfId="32888"/>
    <cellStyle name="Comma 8 3 17 3" xfId="32889"/>
    <cellStyle name="Comma 8 3 17 3 2" xfId="32890"/>
    <cellStyle name="Comma 8 3 17 4" xfId="32891"/>
    <cellStyle name="Comma 8 3 17 4 2" xfId="32892"/>
    <cellStyle name="Comma 8 3 17 5" xfId="32893"/>
    <cellStyle name="Comma 8 3 17 5 2" xfId="32894"/>
    <cellStyle name="Comma 8 3 17 6" xfId="32895"/>
    <cellStyle name="Comma 8 3 17 6 2" xfId="32896"/>
    <cellStyle name="Comma 8 3 17 7" xfId="32897"/>
    <cellStyle name="Comma 8 3 17 7 2" xfId="32898"/>
    <cellStyle name="Comma 8 3 17 8" xfId="32899"/>
    <cellStyle name="Comma 8 3 17 8 2" xfId="32900"/>
    <cellStyle name="Comma 8 3 17 9" xfId="32901"/>
    <cellStyle name="Comma 8 3 17 9 2" xfId="32902"/>
    <cellStyle name="Comma 8 3 18" xfId="32903"/>
    <cellStyle name="Comma 8 3 18 10" xfId="32904"/>
    <cellStyle name="Comma 8 3 18 10 2" xfId="32905"/>
    <cellStyle name="Comma 8 3 18 11" xfId="32906"/>
    <cellStyle name="Comma 8 3 18 11 2" xfId="32907"/>
    <cellStyle name="Comma 8 3 18 12" xfId="32908"/>
    <cellStyle name="Comma 8 3 18 2" xfId="32909"/>
    <cellStyle name="Comma 8 3 18 2 2" xfId="32910"/>
    <cellStyle name="Comma 8 3 18 3" xfId="32911"/>
    <cellStyle name="Comma 8 3 18 3 2" xfId="32912"/>
    <cellStyle name="Comma 8 3 18 4" xfId="32913"/>
    <cellStyle name="Comma 8 3 18 4 2" xfId="32914"/>
    <cellStyle name="Comma 8 3 18 5" xfId="32915"/>
    <cellStyle name="Comma 8 3 18 5 2" xfId="32916"/>
    <cellStyle name="Comma 8 3 18 6" xfId="32917"/>
    <cellStyle name="Comma 8 3 18 6 2" xfId="32918"/>
    <cellStyle name="Comma 8 3 18 7" xfId="32919"/>
    <cellStyle name="Comma 8 3 18 7 2" xfId="32920"/>
    <cellStyle name="Comma 8 3 18 8" xfId="32921"/>
    <cellStyle name="Comma 8 3 18 8 2" xfId="32922"/>
    <cellStyle name="Comma 8 3 18 9" xfId="32923"/>
    <cellStyle name="Comma 8 3 18 9 2" xfId="32924"/>
    <cellStyle name="Comma 8 3 19" xfId="32925"/>
    <cellStyle name="Comma 8 3 19 10" xfId="32926"/>
    <cellStyle name="Comma 8 3 19 10 2" xfId="32927"/>
    <cellStyle name="Comma 8 3 19 11" xfId="32928"/>
    <cellStyle name="Comma 8 3 19 11 2" xfId="32929"/>
    <cellStyle name="Comma 8 3 19 12" xfId="32930"/>
    <cellStyle name="Comma 8 3 19 2" xfId="32931"/>
    <cellStyle name="Comma 8 3 19 2 2" xfId="32932"/>
    <cellStyle name="Comma 8 3 19 3" xfId="32933"/>
    <cellStyle name="Comma 8 3 19 3 2" xfId="32934"/>
    <cellStyle name="Comma 8 3 19 4" xfId="32935"/>
    <cellStyle name="Comma 8 3 19 4 2" xfId="32936"/>
    <cellStyle name="Comma 8 3 19 5" xfId="32937"/>
    <cellStyle name="Comma 8 3 19 5 2" xfId="32938"/>
    <cellStyle name="Comma 8 3 19 6" xfId="32939"/>
    <cellStyle name="Comma 8 3 19 6 2" xfId="32940"/>
    <cellStyle name="Comma 8 3 19 7" xfId="32941"/>
    <cellStyle name="Comma 8 3 19 7 2" xfId="32942"/>
    <cellStyle name="Comma 8 3 19 8" xfId="32943"/>
    <cellStyle name="Comma 8 3 19 8 2" xfId="32944"/>
    <cellStyle name="Comma 8 3 19 9" xfId="32945"/>
    <cellStyle name="Comma 8 3 19 9 2" xfId="32946"/>
    <cellStyle name="Comma 8 3 2" xfId="32947"/>
    <cellStyle name="Comma 8 3 2 10" xfId="32948"/>
    <cellStyle name="Comma 8 3 2 10 2" xfId="32949"/>
    <cellStyle name="Comma 8 3 2 11" xfId="32950"/>
    <cellStyle name="Comma 8 3 2 11 2" xfId="32951"/>
    <cellStyle name="Comma 8 3 2 12" xfId="32952"/>
    <cellStyle name="Comma 8 3 2 13" xfId="40568"/>
    <cellStyle name="Comma 8 3 2 14" xfId="42109"/>
    <cellStyle name="Comma 8 3 2 2" xfId="32953"/>
    <cellStyle name="Comma 8 3 2 2 2" xfId="32954"/>
    <cellStyle name="Comma 8 3 2 3" xfId="32955"/>
    <cellStyle name="Comma 8 3 2 3 2" xfId="32956"/>
    <cellStyle name="Comma 8 3 2 4" xfId="32957"/>
    <cellStyle name="Comma 8 3 2 4 2" xfId="32958"/>
    <cellStyle name="Comma 8 3 2 5" xfId="32959"/>
    <cellStyle name="Comma 8 3 2 5 2" xfId="32960"/>
    <cellStyle name="Comma 8 3 2 6" xfId="32961"/>
    <cellStyle name="Comma 8 3 2 6 2" xfId="32962"/>
    <cellStyle name="Comma 8 3 2 7" xfId="32963"/>
    <cellStyle name="Comma 8 3 2 7 2" xfId="32964"/>
    <cellStyle name="Comma 8 3 2 8" xfId="32965"/>
    <cellStyle name="Comma 8 3 2 8 2" xfId="32966"/>
    <cellStyle name="Comma 8 3 2 9" xfId="32967"/>
    <cellStyle name="Comma 8 3 2 9 2" xfId="32968"/>
    <cellStyle name="Comma 8 3 2_consumption scenario A" xfId="37644"/>
    <cellStyle name="Comma 8 3 20" xfId="32969"/>
    <cellStyle name="Comma 8 3 20 10" xfId="32970"/>
    <cellStyle name="Comma 8 3 20 10 2" xfId="32971"/>
    <cellStyle name="Comma 8 3 20 11" xfId="32972"/>
    <cellStyle name="Comma 8 3 20 11 2" xfId="32973"/>
    <cellStyle name="Comma 8 3 20 12" xfId="32974"/>
    <cellStyle name="Comma 8 3 20 2" xfId="32975"/>
    <cellStyle name="Comma 8 3 20 2 2" xfId="32976"/>
    <cellStyle name="Comma 8 3 20 3" xfId="32977"/>
    <cellStyle name="Comma 8 3 20 3 2" xfId="32978"/>
    <cellStyle name="Comma 8 3 20 4" xfId="32979"/>
    <cellStyle name="Comma 8 3 20 4 2" xfId="32980"/>
    <cellStyle name="Comma 8 3 20 5" xfId="32981"/>
    <cellStyle name="Comma 8 3 20 5 2" xfId="32982"/>
    <cellStyle name="Comma 8 3 20 6" xfId="32983"/>
    <cellStyle name="Comma 8 3 20 6 2" xfId="32984"/>
    <cellStyle name="Comma 8 3 20 7" xfId="32985"/>
    <cellStyle name="Comma 8 3 20 7 2" xfId="32986"/>
    <cellStyle name="Comma 8 3 20 8" xfId="32987"/>
    <cellStyle name="Comma 8 3 20 8 2" xfId="32988"/>
    <cellStyle name="Comma 8 3 20 9" xfId="32989"/>
    <cellStyle name="Comma 8 3 20 9 2" xfId="32990"/>
    <cellStyle name="Comma 8 3 21" xfId="32991"/>
    <cellStyle name="Comma 8 3 21 10" xfId="32992"/>
    <cellStyle name="Comma 8 3 21 10 2" xfId="32993"/>
    <cellStyle name="Comma 8 3 21 11" xfId="32994"/>
    <cellStyle name="Comma 8 3 21 11 2" xfId="32995"/>
    <cellStyle name="Comma 8 3 21 12" xfId="32996"/>
    <cellStyle name="Comma 8 3 21 2" xfId="32997"/>
    <cellStyle name="Comma 8 3 21 2 2" xfId="32998"/>
    <cellStyle name="Comma 8 3 21 3" xfId="32999"/>
    <cellStyle name="Comma 8 3 21 3 2" xfId="33000"/>
    <cellStyle name="Comma 8 3 21 4" xfId="33001"/>
    <cellStyle name="Comma 8 3 21 4 2" xfId="33002"/>
    <cellStyle name="Comma 8 3 21 5" xfId="33003"/>
    <cellStyle name="Comma 8 3 21 5 2" xfId="33004"/>
    <cellStyle name="Comma 8 3 21 6" xfId="33005"/>
    <cellStyle name="Comma 8 3 21 6 2" xfId="33006"/>
    <cellStyle name="Comma 8 3 21 7" xfId="33007"/>
    <cellStyle name="Comma 8 3 21 7 2" xfId="33008"/>
    <cellStyle name="Comma 8 3 21 8" xfId="33009"/>
    <cellStyle name="Comma 8 3 21 8 2" xfId="33010"/>
    <cellStyle name="Comma 8 3 21 9" xfId="33011"/>
    <cellStyle name="Comma 8 3 21 9 2" xfId="33012"/>
    <cellStyle name="Comma 8 3 22" xfId="33013"/>
    <cellStyle name="Comma 8 3 22 10" xfId="33014"/>
    <cellStyle name="Comma 8 3 22 10 2" xfId="33015"/>
    <cellStyle name="Comma 8 3 22 11" xfId="33016"/>
    <cellStyle name="Comma 8 3 22 11 2" xfId="33017"/>
    <cellStyle name="Comma 8 3 22 12" xfId="33018"/>
    <cellStyle name="Comma 8 3 22 2" xfId="33019"/>
    <cellStyle name="Comma 8 3 22 2 2" xfId="33020"/>
    <cellStyle name="Comma 8 3 22 3" xfId="33021"/>
    <cellStyle name="Comma 8 3 22 3 2" xfId="33022"/>
    <cellStyle name="Comma 8 3 22 4" xfId="33023"/>
    <cellStyle name="Comma 8 3 22 4 2" xfId="33024"/>
    <cellStyle name="Comma 8 3 22 5" xfId="33025"/>
    <cellStyle name="Comma 8 3 22 5 2" xfId="33026"/>
    <cellStyle name="Comma 8 3 22 6" xfId="33027"/>
    <cellStyle name="Comma 8 3 22 6 2" xfId="33028"/>
    <cellStyle name="Comma 8 3 22 7" xfId="33029"/>
    <cellStyle name="Comma 8 3 22 7 2" xfId="33030"/>
    <cellStyle name="Comma 8 3 22 8" xfId="33031"/>
    <cellStyle name="Comma 8 3 22 8 2" xfId="33032"/>
    <cellStyle name="Comma 8 3 22 9" xfId="33033"/>
    <cellStyle name="Comma 8 3 22 9 2" xfId="33034"/>
    <cellStyle name="Comma 8 3 23" xfId="33035"/>
    <cellStyle name="Comma 8 3 23 10" xfId="33036"/>
    <cellStyle name="Comma 8 3 23 10 2" xfId="33037"/>
    <cellStyle name="Comma 8 3 23 11" xfId="33038"/>
    <cellStyle name="Comma 8 3 23 11 2" xfId="33039"/>
    <cellStyle name="Comma 8 3 23 12" xfId="33040"/>
    <cellStyle name="Comma 8 3 23 2" xfId="33041"/>
    <cellStyle name="Comma 8 3 23 2 2" xfId="33042"/>
    <cellStyle name="Comma 8 3 23 3" xfId="33043"/>
    <cellStyle name="Comma 8 3 23 3 2" xfId="33044"/>
    <cellStyle name="Comma 8 3 23 4" xfId="33045"/>
    <cellStyle name="Comma 8 3 23 4 2" xfId="33046"/>
    <cellStyle name="Comma 8 3 23 5" xfId="33047"/>
    <cellStyle name="Comma 8 3 23 5 2" xfId="33048"/>
    <cellStyle name="Comma 8 3 23 6" xfId="33049"/>
    <cellStyle name="Comma 8 3 23 6 2" xfId="33050"/>
    <cellStyle name="Comma 8 3 23 7" xfId="33051"/>
    <cellStyle name="Comma 8 3 23 7 2" xfId="33052"/>
    <cellStyle name="Comma 8 3 23 8" xfId="33053"/>
    <cellStyle name="Comma 8 3 23 8 2" xfId="33054"/>
    <cellStyle name="Comma 8 3 23 9" xfId="33055"/>
    <cellStyle name="Comma 8 3 23 9 2" xfId="33056"/>
    <cellStyle name="Comma 8 3 24" xfId="33057"/>
    <cellStyle name="Comma 8 3 24 10" xfId="33058"/>
    <cellStyle name="Comma 8 3 24 10 2" xfId="33059"/>
    <cellStyle name="Comma 8 3 24 11" xfId="33060"/>
    <cellStyle name="Comma 8 3 24 11 2" xfId="33061"/>
    <cellStyle name="Comma 8 3 24 12" xfId="33062"/>
    <cellStyle name="Comma 8 3 24 2" xfId="33063"/>
    <cellStyle name="Comma 8 3 24 2 2" xfId="33064"/>
    <cellStyle name="Comma 8 3 24 3" xfId="33065"/>
    <cellStyle name="Comma 8 3 24 3 2" xfId="33066"/>
    <cellStyle name="Comma 8 3 24 4" xfId="33067"/>
    <cellStyle name="Comma 8 3 24 4 2" xfId="33068"/>
    <cellStyle name="Comma 8 3 24 5" xfId="33069"/>
    <cellStyle name="Comma 8 3 24 5 2" xfId="33070"/>
    <cellStyle name="Comma 8 3 24 6" xfId="33071"/>
    <cellStyle name="Comma 8 3 24 6 2" xfId="33072"/>
    <cellStyle name="Comma 8 3 24 7" xfId="33073"/>
    <cellStyle name="Comma 8 3 24 7 2" xfId="33074"/>
    <cellStyle name="Comma 8 3 24 8" xfId="33075"/>
    <cellStyle name="Comma 8 3 24 8 2" xfId="33076"/>
    <cellStyle name="Comma 8 3 24 9" xfId="33077"/>
    <cellStyle name="Comma 8 3 24 9 2" xfId="33078"/>
    <cellStyle name="Comma 8 3 25" xfId="33079"/>
    <cellStyle name="Comma 8 3 25 10" xfId="33080"/>
    <cellStyle name="Comma 8 3 25 10 2" xfId="33081"/>
    <cellStyle name="Comma 8 3 25 11" xfId="33082"/>
    <cellStyle name="Comma 8 3 25 11 2" xfId="33083"/>
    <cellStyle name="Comma 8 3 25 12" xfId="33084"/>
    <cellStyle name="Comma 8 3 25 2" xfId="33085"/>
    <cellStyle name="Comma 8 3 25 2 2" xfId="33086"/>
    <cellStyle name="Comma 8 3 25 3" xfId="33087"/>
    <cellStyle name="Comma 8 3 25 3 2" xfId="33088"/>
    <cellStyle name="Comma 8 3 25 4" xfId="33089"/>
    <cellStyle name="Comma 8 3 25 4 2" xfId="33090"/>
    <cellStyle name="Comma 8 3 25 5" xfId="33091"/>
    <cellStyle name="Comma 8 3 25 5 2" xfId="33092"/>
    <cellStyle name="Comma 8 3 25 6" xfId="33093"/>
    <cellStyle name="Comma 8 3 25 6 2" xfId="33094"/>
    <cellStyle name="Comma 8 3 25 7" xfId="33095"/>
    <cellStyle name="Comma 8 3 25 7 2" xfId="33096"/>
    <cellStyle name="Comma 8 3 25 8" xfId="33097"/>
    <cellStyle name="Comma 8 3 25 8 2" xfId="33098"/>
    <cellStyle name="Comma 8 3 25 9" xfId="33099"/>
    <cellStyle name="Comma 8 3 25 9 2" xfId="33100"/>
    <cellStyle name="Comma 8 3 26" xfId="33101"/>
    <cellStyle name="Comma 8 3 26 10" xfId="33102"/>
    <cellStyle name="Comma 8 3 26 10 2" xfId="33103"/>
    <cellStyle name="Comma 8 3 26 11" xfId="33104"/>
    <cellStyle name="Comma 8 3 26 11 2" xfId="33105"/>
    <cellStyle name="Comma 8 3 26 12" xfId="33106"/>
    <cellStyle name="Comma 8 3 26 2" xfId="33107"/>
    <cellStyle name="Comma 8 3 26 2 2" xfId="33108"/>
    <cellStyle name="Comma 8 3 26 3" xfId="33109"/>
    <cellStyle name="Comma 8 3 26 3 2" xfId="33110"/>
    <cellStyle name="Comma 8 3 26 4" xfId="33111"/>
    <cellStyle name="Comma 8 3 26 4 2" xfId="33112"/>
    <cellStyle name="Comma 8 3 26 5" xfId="33113"/>
    <cellStyle name="Comma 8 3 26 5 2" xfId="33114"/>
    <cellStyle name="Comma 8 3 26 6" xfId="33115"/>
    <cellStyle name="Comma 8 3 26 6 2" xfId="33116"/>
    <cellStyle name="Comma 8 3 26 7" xfId="33117"/>
    <cellStyle name="Comma 8 3 26 7 2" xfId="33118"/>
    <cellStyle name="Comma 8 3 26 8" xfId="33119"/>
    <cellStyle name="Comma 8 3 26 8 2" xfId="33120"/>
    <cellStyle name="Comma 8 3 26 9" xfId="33121"/>
    <cellStyle name="Comma 8 3 26 9 2" xfId="33122"/>
    <cellStyle name="Comma 8 3 27" xfId="33123"/>
    <cellStyle name="Comma 8 3 27 10" xfId="33124"/>
    <cellStyle name="Comma 8 3 27 10 2" xfId="33125"/>
    <cellStyle name="Comma 8 3 27 11" xfId="33126"/>
    <cellStyle name="Comma 8 3 27 11 2" xfId="33127"/>
    <cellStyle name="Comma 8 3 27 12" xfId="33128"/>
    <cellStyle name="Comma 8 3 27 2" xfId="33129"/>
    <cellStyle name="Comma 8 3 27 2 2" xfId="33130"/>
    <cellStyle name="Comma 8 3 27 3" xfId="33131"/>
    <cellStyle name="Comma 8 3 27 3 2" xfId="33132"/>
    <cellStyle name="Comma 8 3 27 4" xfId="33133"/>
    <cellStyle name="Comma 8 3 27 4 2" xfId="33134"/>
    <cellStyle name="Comma 8 3 27 5" xfId="33135"/>
    <cellStyle name="Comma 8 3 27 5 2" xfId="33136"/>
    <cellStyle name="Comma 8 3 27 6" xfId="33137"/>
    <cellStyle name="Comma 8 3 27 6 2" xfId="33138"/>
    <cellStyle name="Comma 8 3 27 7" xfId="33139"/>
    <cellStyle name="Comma 8 3 27 7 2" xfId="33140"/>
    <cellStyle name="Comma 8 3 27 8" xfId="33141"/>
    <cellStyle name="Comma 8 3 27 8 2" xfId="33142"/>
    <cellStyle name="Comma 8 3 27 9" xfId="33143"/>
    <cellStyle name="Comma 8 3 27 9 2" xfId="33144"/>
    <cellStyle name="Comma 8 3 28" xfId="33145"/>
    <cellStyle name="Comma 8 3 28 10" xfId="33146"/>
    <cellStyle name="Comma 8 3 28 10 2" xfId="33147"/>
    <cellStyle name="Comma 8 3 28 11" xfId="33148"/>
    <cellStyle name="Comma 8 3 28 11 2" xfId="33149"/>
    <cellStyle name="Comma 8 3 28 12" xfId="33150"/>
    <cellStyle name="Comma 8 3 28 2" xfId="33151"/>
    <cellStyle name="Comma 8 3 28 2 2" xfId="33152"/>
    <cellStyle name="Comma 8 3 28 3" xfId="33153"/>
    <cellStyle name="Comma 8 3 28 3 2" xfId="33154"/>
    <cellStyle name="Comma 8 3 28 4" xfId="33155"/>
    <cellStyle name="Comma 8 3 28 4 2" xfId="33156"/>
    <cellStyle name="Comma 8 3 28 5" xfId="33157"/>
    <cellStyle name="Comma 8 3 28 5 2" xfId="33158"/>
    <cellStyle name="Comma 8 3 28 6" xfId="33159"/>
    <cellStyle name="Comma 8 3 28 6 2" xfId="33160"/>
    <cellStyle name="Comma 8 3 28 7" xfId="33161"/>
    <cellStyle name="Comma 8 3 28 7 2" xfId="33162"/>
    <cellStyle name="Comma 8 3 28 8" xfId="33163"/>
    <cellStyle name="Comma 8 3 28 8 2" xfId="33164"/>
    <cellStyle name="Comma 8 3 28 9" xfId="33165"/>
    <cellStyle name="Comma 8 3 28 9 2" xfId="33166"/>
    <cellStyle name="Comma 8 3 29" xfId="33167"/>
    <cellStyle name="Comma 8 3 29 10" xfId="33168"/>
    <cellStyle name="Comma 8 3 29 10 2" xfId="33169"/>
    <cellStyle name="Comma 8 3 29 11" xfId="33170"/>
    <cellStyle name="Comma 8 3 29 11 2" xfId="33171"/>
    <cellStyle name="Comma 8 3 29 12" xfId="33172"/>
    <cellStyle name="Comma 8 3 29 2" xfId="33173"/>
    <cellStyle name="Comma 8 3 29 2 2" xfId="33174"/>
    <cellStyle name="Comma 8 3 29 3" xfId="33175"/>
    <cellStyle name="Comma 8 3 29 3 2" xfId="33176"/>
    <cellStyle name="Comma 8 3 29 4" xfId="33177"/>
    <cellStyle name="Comma 8 3 29 4 2" xfId="33178"/>
    <cellStyle name="Comma 8 3 29 5" xfId="33179"/>
    <cellStyle name="Comma 8 3 29 5 2" xfId="33180"/>
    <cellStyle name="Comma 8 3 29 6" xfId="33181"/>
    <cellStyle name="Comma 8 3 29 6 2" xfId="33182"/>
    <cellStyle name="Comma 8 3 29 7" xfId="33183"/>
    <cellStyle name="Comma 8 3 29 7 2" xfId="33184"/>
    <cellStyle name="Comma 8 3 29 8" xfId="33185"/>
    <cellStyle name="Comma 8 3 29 8 2" xfId="33186"/>
    <cellStyle name="Comma 8 3 29 9" xfId="33187"/>
    <cellStyle name="Comma 8 3 29 9 2" xfId="33188"/>
    <cellStyle name="Comma 8 3 3" xfId="33189"/>
    <cellStyle name="Comma 8 3 3 10" xfId="33190"/>
    <cellStyle name="Comma 8 3 3 10 2" xfId="33191"/>
    <cellStyle name="Comma 8 3 3 11" xfId="33192"/>
    <cellStyle name="Comma 8 3 3 11 2" xfId="33193"/>
    <cellStyle name="Comma 8 3 3 12" xfId="33194"/>
    <cellStyle name="Comma 8 3 3 2" xfId="33195"/>
    <cellStyle name="Comma 8 3 3 2 2" xfId="33196"/>
    <cellStyle name="Comma 8 3 3 3" xfId="33197"/>
    <cellStyle name="Comma 8 3 3 3 2" xfId="33198"/>
    <cellStyle name="Comma 8 3 3 4" xfId="33199"/>
    <cellStyle name="Comma 8 3 3 4 2" xfId="33200"/>
    <cellStyle name="Comma 8 3 3 5" xfId="33201"/>
    <cellStyle name="Comma 8 3 3 5 2" xfId="33202"/>
    <cellStyle name="Comma 8 3 3 6" xfId="33203"/>
    <cellStyle name="Comma 8 3 3 6 2" xfId="33204"/>
    <cellStyle name="Comma 8 3 3 7" xfId="33205"/>
    <cellStyle name="Comma 8 3 3 7 2" xfId="33206"/>
    <cellStyle name="Comma 8 3 3 8" xfId="33207"/>
    <cellStyle name="Comma 8 3 3 8 2" xfId="33208"/>
    <cellStyle name="Comma 8 3 3 9" xfId="33209"/>
    <cellStyle name="Comma 8 3 3 9 2" xfId="33210"/>
    <cellStyle name="Comma 8 3 30" xfId="33211"/>
    <cellStyle name="Comma 8 3 30 10" xfId="33212"/>
    <cellStyle name="Comma 8 3 30 10 2" xfId="33213"/>
    <cellStyle name="Comma 8 3 30 11" xfId="33214"/>
    <cellStyle name="Comma 8 3 30 11 2" xfId="33215"/>
    <cellStyle name="Comma 8 3 30 12" xfId="33216"/>
    <cellStyle name="Comma 8 3 30 2" xfId="33217"/>
    <cellStyle name="Comma 8 3 30 2 2" xfId="33218"/>
    <cellStyle name="Comma 8 3 30 3" xfId="33219"/>
    <cellStyle name="Comma 8 3 30 3 2" xfId="33220"/>
    <cellStyle name="Comma 8 3 30 4" xfId="33221"/>
    <cellStyle name="Comma 8 3 30 4 2" xfId="33222"/>
    <cellStyle name="Comma 8 3 30 5" xfId="33223"/>
    <cellStyle name="Comma 8 3 30 5 2" xfId="33224"/>
    <cellStyle name="Comma 8 3 30 6" xfId="33225"/>
    <cellStyle name="Comma 8 3 30 6 2" xfId="33226"/>
    <cellStyle name="Comma 8 3 30 7" xfId="33227"/>
    <cellStyle name="Comma 8 3 30 7 2" xfId="33228"/>
    <cellStyle name="Comma 8 3 30 8" xfId="33229"/>
    <cellStyle name="Comma 8 3 30 8 2" xfId="33230"/>
    <cellStyle name="Comma 8 3 30 9" xfId="33231"/>
    <cellStyle name="Comma 8 3 30 9 2" xfId="33232"/>
    <cellStyle name="Comma 8 3 31" xfId="33233"/>
    <cellStyle name="Comma 8 3 31 10" xfId="33234"/>
    <cellStyle name="Comma 8 3 31 10 2" xfId="33235"/>
    <cellStyle name="Comma 8 3 31 11" xfId="33236"/>
    <cellStyle name="Comma 8 3 31 11 2" xfId="33237"/>
    <cellStyle name="Comma 8 3 31 12" xfId="33238"/>
    <cellStyle name="Comma 8 3 31 2" xfId="33239"/>
    <cellStyle name="Comma 8 3 31 2 2" xfId="33240"/>
    <cellStyle name="Comma 8 3 31 3" xfId="33241"/>
    <cellStyle name="Comma 8 3 31 3 2" xfId="33242"/>
    <cellStyle name="Comma 8 3 31 4" xfId="33243"/>
    <cellStyle name="Comma 8 3 31 4 2" xfId="33244"/>
    <cellStyle name="Comma 8 3 31 5" xfId="33245"/>
    <cellStyle name="Comma 8 3 31 5 2" xfId="33246"/>
    <cellStyle name="Comma 8 3 31 6" xfId="33247"/>
    <cellStyle name="Comma 8 3 31 6 2" xfId="33248"/>
    <cellStyle name="Comma 8 3 31 7" xfId="33249"/>
    <cellStyle name="Comma 8 3 31 7 2" xfId="33250"/>
    <cellStyle name="Comma 8 3 31 8" xfId="33251"/>
    <cellStyle name="Comma 8 3 31 8 2" xfId="33252"/>
    <cellStyle name="Comma 8 3 31 9" xfId="33253"/>
    <cellStyle name="Comma 8 3 31 9 2" xfId="33254"/>
    <cellStyle name="Comma 8 3 32" xfId="33255"/>
    <cellStyle name="Comma 8 3 32 10" xfId="33256"/>
    <cellStyle name="Comma 8 3 32 10 2" xfId="33257"/>
    <cellStyle name="Comma 8 3 32 11" xfId="33258"/>
    <cellStyle name="Comma 8 3 32 11 2" xfId="33259"/>
    <cellStyle name="Comma 8 3 32 12" xfId="33260"/>
    <cellStyle name="Comma 8 3 32 2" xfId="33261"/>
    <cellStyle name="Comma 8 3 32 2 2" xfId="33262"/>
    <cellStyle name="Comma 8 3 32 3" xfId="33263"/>
    <cellStyle name="Comma 8 3 32 3 2" xfId="33264"/>
    <cellStyle name="Comma 8 3 32 4" xfId="33265"/>
    <cellStyle name="Comma 8 3 32 4 2" xfId="33266"/>
    <cellStyle name="Comma 8 3 32 5" xfId="33267"/>
    <cellStyle name="Comma 8 3 32 5 2" xfId="33268"/>
    <cellStyle name="Comma 8 3 32 6" xfId="33269"/>
    <cellStyle name="Comma 8 3 32 6 2" xfId="33270"/>
    <cellStyle name="Comma 8 3 32 7" xfId="33271"/>
    <cellStyle name="Comma 8 3 32 7 2" xfId="33272"/>
    <cellStyle name="Comma 8 3 32 8" xfId="33273"/>
    <cellStyle name="Comma 8 3 32 8 2" xfId="33274"/>
    <cellStyle name="Comma 8 3 32 9" xfId="33275"/>
    <cellStyle name="Comma 8 3 32 9 2" xfId="33276"/>
    <cellStyle name="Comma 8 3 33" xfId="33277"/>
    <cellStyle name="Comma 8 3 33 10" xfId="33278"/>
    <cellStyle name="Comma 8 3 33 10 2" xfId="33279"/>
    <cellStyle name="Comma 8 3 33 11" xfId="33280"/>
    <cellStyle name="Comma 8 3 33 11 2" xfId="33281"/>
    <cellStyle name="Comma 8 3 33 12" xfId="33282"/>
    <cellStyle name="Comma 8 3 33 2" xfId="33283"/>
    <cellStyle name="Comma 8 3 33 2 2" xfId="33284"/>
    <cellStyle name="Comma 8 3 33 3" xfId="33285"/>
    <cellStyle name="Comma 8 3 33 3 2" xfId="33286"/>
    <cellStyle name="Comma 8 3 33 4" xfId="33287"/>
    <cellStyle name="Comma 8 3 33 4 2" xfId="33288"/>
    <cellStyle name="Comma 8 3 33 5" xfId="33289"/>
    <cellStyle name="Comma 8 3 33 5 2" xfId="33290"/>
    <cellStyle name="Comma 8 3 33 6" xfId="33291"/>
    <cellStyle name="Comma 8 3 33 6 2" xfId="33292"/>
    <cellStyle name="Comma 8 3 33 7" xfId="33293"/>
    <cellStyle name="Comma 8 3 33 7 2" xfId="33294"/>
    <cellStyle name="Comma 8 3 33 8" xfId="33295"/>
    <cellStyle name="Comma 8 3 33 8 2" xfId="33296"/>
    <cellStyle name="Comma 8 3 33 9" xfId="33297"/>
    <cellStyle name="Comma 8 3 33 9 2" xfId="33298"/>
    <cellStyle name="Comma 8 3 34" xfId="33299"/>
    <cellStyle name="Comma 8 3 34 10" xfId="33300"/>
    <cellStyle name="Comma 8 3 34 10 2" xfId="33301"/>
    <cellStyle name="Comma 8 3 34 11" xfId="33302"/>
    <cellStyle name="Comma 8 3 34 11 2" xfId="33303"/>
    <cellStyle name="Comma 8 3 34 12" xfId="33304"/>
    <cellStyle name="Comma 8 3 34 2" xfId="33305"/>
    <cellStyle name="Comma 8 3 34 2 2" xfId="33306"/>
    <cellStyle name="Comma 8 3 34 3" xfId="33307"/>
    <cellStyle name="Comma 8 3 34 3 2" xfId="33308"/>
    <cellStyle name="Comma 8 3 34 4" xfId="33309"/>
    <cellStyle name="Comma 8 3 34 4 2" xfId="33310"/>
    <cellStyle name="Comma 8 3 34 5" xfId="33311"/>
    <cellStyle name="Comma 8 3 34 5 2" xfId="33312"/>
    <cellStyle name="Comma 8 3 34 6" xfId="33313"/>
    <cellStyle name="Comma 8 3 34 6 2" xfId="33314"/>
    <cellStyle name="Comma 8 3 34 7" xfId="33315"/>
    <cellStyle name="Comma 8 3 34 7 2" xfId="33316"/>
    <cellStyle name="Comma 8 3 34 8" xfId="33317"/>
    <cellStyle name="Comma 8 3 34 8 2" xfId="33318"/>
    <cellStyle name="Comma 8 3 34 9" xfId="33319"/>
    <cellStyle name="Comma 8 3 34 9 2" xfId="33320"/>
    <cellStyle name="Comma 8 3 35" xfId="33321"/>
    <cellStyle name="Comma 8 3 35 10" xfId="33322"/>
    <cellStyle name="Comma 8 3 35 10 2" xfId="33323"/>
    <cellStyle name="Comma 8 3 35 11" xfId="33324"/>
    <cellStyle name="Comma 8 3 35 11 2" xfId="33325"/>
    <cellStyle name="Comma 8 3 35 12" xfId="33326"/>
    <cellStyle name="Comma 8 3 35 2" xfId="33327"/>
    <cellStyle name="Comma 8 3 35 2 2" xfId="33328"/>
    <cellStyle name="Comma 8 3 35 3" xfId="33329"/>
    <cellStyle name="Comma 8 3 35 3 2" xfId="33330"/>
    <cellStyle name="Comma 8 3 35 4" xfId="33331"/>
    <cellStyle name="Comma 8 3 35 4 2" xfId="33332"/>
    <cellStyle name="Comma 8 3 35 5" xfId="33333"/>
    <cellStyle name="Comma 8 3 35 5 2" xfId="33334"/>
    <cellStyle name="Comma 8 3 35 6" xfId="33335"/>
    <cellStyle name="Comma 8 3 35 6 2" xfId="33336"/>
    <cellStyle name="Comma 8 3 35 7" xfId="33337"/>
    <cellStyle name="Comma 8 3 35 7 2" xfId="33338"/>
    <cellStyle name="Comma 8 3 35 8" xfId="33339"/>
    <cellStyle name="Comma 8 3 35 8 2" xfId="33340"/>
    <cellStyle name="Comma 8 3 35 9" xfId="33341"/>
    <cellStyle name="Comma 8 3 35 9 2" xfId="33342"/>
    <cellStyle name="Comma 8 3 36" xfId="33343"/>
    <cellStyle name="Comma 8 3 36 10" xfId="33344"/>
    <cellStyle name="Comma 8 3 36 10 2" xfId="33345"/>
    <cellStyle name="Comma 8 3 36 11" xfId="33346"/>
    <cellStyle name="Comma 8 3 36 11 2" xfId="33347"/>
    <cellStyle name="Comma 8 3 36 12" xfId="33348"/>
    <cellStyle name="Comma 8 3 36 2" xfId="33349"/>
    <cellStyle name="Comma 8 3 36 2 2" xfId="33350"/>
    <cellStyle name="Comma 8 3 36 3" xfId="33351"/>
    <cellStyle name="Comma 8 3 36 3 2" xfId="33352"/>
    <cellStyle name="Comma 8 3 36 4" xfId="33353"/>
    <cellStyle name="Comma 8 3 36 4 2" xfId="33354"/>
    <cellStyle name="Comma 8 3 36 5" xfId="33355"/>
    <cellStyle name="Comma 8 3 36 5 2" xfId="33356"/>
    <cellStyle name="Comma 8 3 36 6" xfId="33357"/>
    <cellStyle name="Comma 8 3 36 6 2" xfId="33358"/>
    <cellStyle name="Comma 8 3 36 7" xfId="33359"/>
    <cellStyle name="Comma 8 3 36 7 2" xfId="33360"/>
    <cellStyle name="Comma 8 3 36 8" xfId="33361"/>
    <cellStyle name="Comma 8 3 36 8 2" xfId="33362"/>
    <cellStyle name="Comma 8 3 36 9" xfId="33363"/>
    <cellStyle name="Comma 8 3 36 9 2" xfId="33364"/>
    <cellStyle name="Comma 8 3 37" xfId="33365"/>
    <cellStyle name="Comma 8 3 37 10" xfId="33366"/>
    <cellStyle name="Comma 8 3 37 10 2" xfId="33367"/>
    <cellStyle name="Comma 8 3 37 11" xfId="33368"/>
    <cellStyle name="Comma 8 3 37 11 2" xfId="33369"/>
    <cellStyle name="Comma 8 3 37 12" xfId="33370"/>
    <cellStyle name="Comma 8 3 37 2" xfId="33371"/>
    <cellStyle name="Comma 8 3 37 2 2" xfId="33372"/>
    <cellStyle name="Comma 8 3 37 3" xfId="33373"/>
    <cellStyle name="Comma 8 3 37 3 2" xfId="33374"/>
    <cellStyle name="Comma 8 3 37 4" xfId="33375"/>
    <cellStyle name="Comma 8 3 37 4 2" xfId="33376"/>
    <cellStyle name="Comma 8 3 37 5" xfId="33377"/>
    <cellStyle name="Comma 8 3 37 5 2" xfId="33378"/>
    <cellStyle name="Comma 8 3 37 6" xfId="33379"/>
    <cellStyle name="Comma 8 3 37 6 2" xfId="33380"/>
    <cellStyle name="Comma 8 3 37 7" xfId="33381"/>
    <cellStyle name="Comma 8 3 37 7 2" xfId="33382"/>
    <cellStyle name="Comma 8 3 37 8" xfId="33383"/>
    <cellStyle name="Comma 8 3 37 8 2" xfId="33384"/>
    <cellStyle name="Comma 8 3 37 9" xfId="33385"/>
    <cellStyle name="Comma 8 3 37 9 2" xfId="33386"/>
    <cellStyle name="Comma 8 3 38" xfId="33387"/>
    <cellStyle name="Comma 8 3 38 10" xfId="33388"/>
    <cellStyle name="Comma 8 3 38 10 2" xfId="33389"/>
    <cellStyle name="Comma 8 3 38 11" xfId="33390"/>
    <cellStyle name="Comma 8 3 38 11 2" xfId="33391"/>
    <cellStyle name="Comma 8 3 38 12" xfId="33392"/>
    <cellStyle name="Comma 8 3 38 2" xfId="33393"/>
    <cellStyle name="Comma 8 3 38 2 2" xfId="33394"/>
    <cellStyle name="Comma 8 3 38 3" xfId="33395"/>
    <cellStyle name="Comma 8 3 38 3 2" xfId="33396"/>
    <cellStyle name="Comma 8 3 38 4" xfId="33397"/>
    <cellStyle name="Comma 8 3 38 4 2" xfId="33398"/>
    <cellStyle name="Comma 8 3 38 5" xfId="33399"/>
    <cellStyle name="Comma 8 3 38 5 2" xfId="33400"/>
    <cellStyle name="Comma 8 3 38 6" xfId="33401"/>
    <cellStyle name="Comma 8 3 38 6 2" xfId="33402"/>
    <cellStyle name="Comma 8 3 38 7" xfId="33403"/>
    <cellStyle name="Comma 8 3 38 7 2" xfId="33404"/>
    <cellStyle name="Comma 8 3 38 8" xfId="33405"/>
    <cellStyle name="Comma 8 3 38 8 2" xfId="33406"/>
    <cellStyle name="Comma 8 3 38 9" xfId="33407"/>
    <cellStyle name="Comma 8 3 38 9 2" xfId="33408"/>
    <cellStyle name="Comma 8 3 39" xfId="33409"/>
    <cellStyle name="Comma 8 3 39 10" xfId="33410"/>
    <cellStyle name="Comma 8 3 39 10 2" xfId="33411"/>
    <cellStyle name="Comma 8 3 39 11" xfId="33412"/>
    <cellStyle name="Comma 8 3 39 11 2" xfId="33413"/>
    <cellStyle name="Comma 8 3 39 12" xfId="33414"/>
    <cellStyle name="Comma 8 3 39 2" xfId="33415"/>
    <cellStyle name="Comma 8 3 39 2 2" xfId="33416"/>
    <cellStyle name="Comma 8 3 39 3" xfId="33417"/>
    <cellStyle name="Comma 8 3 39 3 2" xfId="33418"/>
    <cellStyle name="Comma 8 3 39 4" xfId="33419"/>
    <cellStyle name="Comma 8 3 39 4 2" xfId="33420"/>
    <cellStyle name="Comma 8 3 39 5" xfId="33421"/>
    <cellStyle name="Comma 8 3 39 5 2" xfId="33422"/>
    <cellStyle name="Comma 8 3 39 6" xfId="33423"/>
    <cellStyle name="Comma 8 3 39 6 2" xfId="33424"/>
    <cellStyle name="Comma 8 3 39 7" xfId="33425"/>
    <cellStyle name="Comma 8 3 39 7 2" xfId="33426"/>
    <cellStyle name="Comma 8 3 39 8" xfId="33427"/>
    <cellStyle name="Comma 8 3 39 8 2" xfId="33428"/>
    <cellStyle name="Comma 8 3 39 9" xfId="33429"/>
    <cellStyle name="Comma 8 3 39 9 2" xfId="33430"/>
    <cellStyle name="Comma 8 3 4" xfId="33431"/>
    <cellStyle name="Comma 8 3 4 10" xfId="33432"/>
    <cellStyle name="Comma 8 3 4 10 2" xfId="33433"/>
    <cellStyle name="Comma 8 3 4 11" xfId="33434"/>
    <cellStyle name="Comma 8 3 4 11 2" xfId="33435"/>
    <cellStyle name="Comma 8 3 4 12" xfId="33436"/>
    <cellStyle name="Comma 8 3 4 2" xfId="33437"/>
    <cellStyle name="Comma 8 3 4 2 2" xfId="33438"/>
    <cellStyle name="Comma 8 3 4 3" xfId="33439"/>
    <cellStyle name="Comma 8 3 4 3 2" xfId="33440"/>
    <cellStyle name="Comma 8 3 4 4" xfId="33441"/>
    <cellStyle name="Comma 8 3 4 4 2" xfId="33442"/>
    <cellStyle name="Comma 8 3 4 5" xfId="33443"/>
    <cellStyle name="Comma 8 3 4 5 2" xfId="33444"/>
    <cellStyle name="Comma 8 3 4 6" xfId="33445"/>
    <cellStyle name="Comma 8 3 4 6 2" xfId="33446"/>
    <cellStyle name="Comma 8 3 4 7" xfId="33447"/>
    <cellStyle name="Comma 8 3 4 7 2" xfId="33448"/>
    <cellStyle name="Comma 8 3 4 8" xfId="33449"/>
    <cellStyle name="Comma 8 3 4 8 2" xfId="33450"/>
    <cellStyle name="Comma 8 3 4 9" xfId="33451"/>
    <cellStyle name="Comma 8 3 4 9 2" xfId="33452"/>
    <cellStyle name="Comma 8 3 40" xfId="33453"/>
    <cellStyle name="Comma 8 3 40 2" xfId="33454"/>
    <cellStyle name="Comma 8 3 41" xfId="33455"/>
    <cellStyle name="Comma 8 3 41 2" xfId="33456"/>
    <cellStyle name="Comma 8 3 42" xfId="33457"/>
    <cellStyle name="Comma 8 3 42 2" xfId="33458"/>
    <cellStyle name="Comma 8 3 43" xfId="33459"/>
    <cellStyle name="Comma 8 3 43 2" xfId="33460"/>
    <cellStyle name="Comma 8 3 44" xfId="33461"/>
    <cellStyle name="Comma 8 3 44 2" xfId="33462"/>
    <cellStyle name="Comma 8 3 45" xfId="33463"/>
    <cellStyle name="Comma 8 3 45 2" xfId="33464"/>
    <cellStyle name="Comma 8 3 46" xfId="33465"/>
    <cellStyle name="Comma 8 3 46 2" xfId="33466"/>
    <cellStyle name="Comma 8 3 47" xfId="33467"/>
    <cellStyle name="Comma 8 3 47 2" xfId="33468"/>
    <cellStyle name="Comma 8 3 48" xfId="33469"/>
    <cellStyle name="Comma 8 3 48 2" xfId="33470"/>
    <cellStyle name="Comma 8 3 49" xfId="33471"/>
    <cellStyle name="Comma 8 3 49 2" xfId="33472"/>
    <cellStyle name="Comma 8 3 5" xfId="33473"/>
    <cellStyle name="Comma 8 3 5 10" xfId="33474"/>
    <cellStyle name="Comma 8 3 5 10 2" xfId="33475"/>
    <cellStyle name="Comma 8 3 5 11" xfId="33476"/>
    <cellStyle name="Comma 8 3 5 11 2" xfId="33477"/>
    <cellStyle name="Comma 8 3 5 12" xfId="33478"/>
    <cellStyle name="Comma 8 3 5 2" xfId="33479"/>
    <cellStyle name="Comma 8 3 5 2 2" xfId="33480"/>
    <cellStyle name="Comma 8 3 5 3" xfId="33481"/>
    <cellStyle name="Comma 8 3 5 3 2" xfId="33482"/>
    <cellStyle name="Comma 8 3 5 4" xfId="33483"/>
    <cellStyle name="Comma 8 3 5 4 2" xfId="33484"/>
    <cellStyle name="Comma 8 3 5 5" xfId="33485"/>
    <cellStyle name="Comma 8 3 5 5 2" xfId="33486"/>
    <cellStyle name="Comma 8 3 5 6" xfId="33487"/>
    <cellStyle name="Comma 8 3 5 6 2" xfId="33488"/>
    <cellStyle name="Comma 8 3 5 7" xfId="33489"/>
    <cellStyle name="Comma 8 3 5 7 2" xfId="33490"/>
    <cellStyle name="Comma 8 3 5 8" xfId="33491"/>
    <cellStyle name="Comma 8 3 5 8 2" xfId="33492"/>
    <cellStyle name="Comma 8 3 5 9" xfId="33493"/>
    <cellStyle name="Comma 8 3 5 9 2" xfId="33494"/>
    <cellStyle name="Comma 8 3 50" xfId="33495"/>
    <cellStyle name="Comma 8 3 50 2" xfId="33496"/>
    <cellStyle name="Comma 8 3 51" xfId="33497"/>
    <cellStyle name="Comma 8 3 51 2" xfId="33498"/>
    <cellStyle name="Comma 8 3 52" xfId="33499"/>
    <cellStyle name="Comma 8 3 53" xfId="38554"/>
    <cellStyle name="Comma 8 3 54" xfId="39850"/>
    <cellStyle name="Comma 8 3 55" xfId="41391"/>
    <cellStyle name="Comma 8 3 6" xfId="33500"/>
    <cellStyle name="Comma 8 3 6 10" xfId="33501"/>
    <cellStyle name="Comma 8 3 6 10 2" xfId="33502"/>
    <cellStyle name="Comma 8 3 6 11" xfId="33503"/>
    <cellStyle name="Comma 8 3 6 11 2" xfId="33504"/>
    <cellStyle name="Comma 8 3 6 12" xfId="33505"/>
    <cellStyle name="Comma 8 3 6 2" xfId="33506"/>
    <cellStyle name="Comma 8 3 6 2 2" xfId="33507"/>
    <cellStyle name="Comma 8 3 6 3" xfId="33508"/>
    <cellStyle name="Comma 8 3 6 3 2" xfId="33509"/>
    <cellStyle name="Comma 8 3 6 4" xfId="33510"/>
    <cellStyle name="Comma 8 3 6 4 2" xfId="33511"/>
    <cellStyle name="Comma 8 3 6 5" xfId="33512"/>
    <cellStyle name="Comma 8 3 6 5 2" xfId="33513"/>
    <cellStyle name="Comma 8 3 6 6" xfId="33514"/>
    <cellStyle name="Comma 8 3 6 6 2" xfId="33515"/>
    <cellStyle name="Comma 8 3 6 7" xfId="33516"/>
    <cellStyle name="Comma 8 3 6 7 2" xfId="33517"/>
    <cellStyle name="Comma 8 3 6 8" xfId="33518"/>
    <cellStyle name="Comma 8 3 6 8 2" xfId="33519"/>
    <cellStyle name="Comma 8 3 6 9" xfId="33520"/>
    <cellStyle name="Comma 8 3 6 9 2" xfId="33521"/>
    <cellStyle name="Comma 8 3 7" xfId="33522"/>
    <cellStyle name="Comma 8 3 7 10" xfId="33523"/>
    <cellStyle name="Comma 8 3 7 10 2" xfId="33524"/>
    <cellStyle name="Comma 8 3 7 11" xfId="33525"/>
    <cellStyle name="Comma 8 3 7 11 2" xfId="33526"/>
    <cellStyle name="Comma 8 3 7 12" xfId="33527"/>
    <cellStyle name="Comma 8 3 7 2" xfId="33528"/>
    <cellStyle name="Comma 8 3 7 2 2" xfId="33529"/>
    <cellStyle name="Comma 8 3 7 3" xfId="33530"/>
    <cellStyle name="Comma 8 3 7 3 2" xfId="33531"/>
    <cellStyle name="Comma 8 3 7 4" xfId="33532"/>
    <cellStyle name="Comma 8 3 7 4 2" xfId="33533"/>
    <cellStyle name="Comma 8 3 7 5" xfId="33534"/>
    <cellStyle name="Comma 8 3 7 5 2" xfId="33535"/>
    <cellStyle name="Comma 8 3 7 6" xfId="33536"/>
    <cellStyle name="Comma 8 3 7 6 2" xfId="33537"/>
    <cellStyle name="Comma 8 3 7 7" xfId="33538"/>
    <cellStyle name="Comma 8 3 7 7 2" xfId="33539"/>
    <cellStyle name="Comma 8 3 7 8" xfId="33540"/>
    <cellStyle name="Comma 8 3 7 8 2" xfId="33541"/>
    <cellStyle name="Comma 8 3 7 9" xfId="33542"/>
    <cellStyle name="Comma 8 3 7 9 2" xfId="33543"/>
    <cellStyle name="Comma 8 3 8" xfId="33544"/>
    <cellStyle name="Comma 8 3 8 10" xfId="33545"/>
    <cellStyle name="Comma 8 3 8 10 2" xfId="33546"/>
    <cellStyle name="Comma 8 3 8 11" xfId="33547"/>
    <cellStyle name="Comma 8 3 8 11 2" xfId="33548"/>
    <cellStyle name="Comma 8 3 8 12" xfId="33549"/>
    <cellStyle name="Comma 8 3 8 2" xfId="33550"/>
    <cellStyle name="Comma 8 3 8 2 2" xfId="33551"/>
    <cellStyle name="Comma 8 3 8 3" xfId="33552"/>
    <cellStyle name="Comma 8 3 8 3 2" xfId="33553"/>
    <cellStyle name="Comma 8 3 8 4" xfId="33554"/>
    <cellStyle name="Comma 8 3 8 4 2" xfId="33555"/>
    <cellStyle name="Comma 8 3 8 5" xfId="33556"/>
    <cellStyle name="Comma 8 3 8 5 2" xfId="33557"/>
    <cellStyle name="Comma 8 3 8 6" xfId="33558"/>
    <cellStyle name="Comma 8 3 8 6 2" xfId="33559"/>
    <cellStyle name="Comma 8 3 8 7" xfId="33560"/>
    <cellStyle name="Comma 8 3 8 7 2" xfId="33561"/>
    <cellStyle name="Comma 8 3 8 8" xfId="33562"/>
    <cellStyle name="Comma 8 3 8 8 2" xfId="33563"/>
    <cellStyle name="Comma 8 3 8 9" xfId="33564"/>
    <cellStyle name="Comma 8 3 8 9 2" xfId="33565"/>
    <cellStyle name="Comma 8 3 9" xfId="33566"/>
    <cellStyle name="Comma 8 3 9 10" xfId="33567"/>
    <cellStyle name="Comma 8 3 9 10 2" xfId="33568"/>
    <cellStyle name="Comma 8 3 9 11" xfId="33569"/>
    <cellStyle name="Comma 8 3 9 11 2" xfId="33570"/>
    <cellStyle name="Comma 8 3 9 12" xfId="33571"/>
    <cellStyle name="Comma 8 3 9 2" xfId="33572"/>
    <cellStyle name="Comma 8 3 9 2 2" xfId="33573"/>
    <cellStyle name="Comma 8 3 9 3" xfId="33574"/>
    <cellStyle name="Comma 8 3 9 3 2" xfId="33575"/>
    <cellStyle name="Comma 8 3 9 4" xfId="33576"/>
    <cellStyle name="Comma 8 3 9 4 2" xfId="33577"/>
    <cellStyle name="Comma 8 3 9 5" xfId="33578"/>
    <cellStyle name="Comma 8 3 9 5 2" xfId="33579"/>
    <cellStyle name="Comma 8 3 9 6" xfId="33580"/>
    <cellStyle name="Comma 8 3 9 6 2" xfId="33581"/>
    <cellStyle name="Comma 8 3 9 7" xfId="33582"/>
    <cellStyle name="Comma 8 3 9 7 2" xfId="33583"/>
    <cellStyle name="Comma 8 3 9 8" xfId="33584"/>
    <cellStyle name="Comma 8 3 9 8 2" xfId="33585"/>
    <cellStyle name="Comma 8 3 9 9" xfId="33586"/>
    <cellStyle name="Comma 8 3 9 9 2" xfId="33587"/>
    <cellStyle name="Comma 8 3_consumption scenario A" xfId="37643"/>
    <cellStyle name="Comma 8 30" xfId="33588"/>
    <cellStyle name="Comma 8 30 10" xfId="33589"/>
    <cellStyle name="Comma 8 30 10 2" xfId="33590"/>
    <cellStyle name="Comma 8 30 11" xfId="33591"/>
    <cellStyle name="Comma 8 30 11 2" xfId="33592"/>
    <cellStyle name="Comma 8 30 12" xfId="33593"/>
    <cellStyle name="Comma 8 30 2" xfId="33594"/>
    <cellStyle name="Comma 8 30 2 2" xfId="33595"/>
    <cellStyle name="Comma 8 30 3" xfId="33596"/>
    <cellStyle name="Comma 8 30 3 2" xfId="33597"/>
    <cellStyle name="Comma 8 30 4" xfId="33598"/>
    <cellStyle name="Comma 8 30 4 2" xfId="33599"/>
    <cellStyle name="Comma 8 30 5" xfId="33600"/>
    <cellStyle name="Comma 8 30 5 2" xfId="33601"/>
    <cellStyle name="Comma 8 30 6" xfId="33602"/>
    <cellStyle name="Comma 8 30 6 2" xfId="33603"/>
    <cellStyle name="Comma 8 30 7" xfId="33604"/>
    <cellStyle name="Comma 8 30 7 2" xfId="33605"/>
    <cellStyle name="Comma 8 30 8" xfId="33606"/>
    <cellStyle name="Comma 8 30 8 2" xfId="33607"/>
    <cellStyle name="Comma 8 30 9" xfId="33608"/>
    <cellStyle name="Comma 8 30 9 2" xfId="33609"/>
    <cellStyle name="Comma 8 31" xfId="33610"/>
    <cellStyle name="Comma 8 31 10" xfId="33611"/>
    <cellStyle name="Comma 8 31 10 2" xfId="33612"/>
    <cellStyle name="Comma 8 31 11" xfId="33613"/>
    <cellStyle name="Comma 8 31 11 2" xfId="33614"/>
    <cellStyle name="Comma 8 31 12" xfId="33615"/>
    <cellStyle name="Comma 8 31 2" xfId="33616"/>
    <cellStyle name="Comma 8 31 2 2" xfId="33617"/>
    <cellStyle name="Comma 8 31 3" xfId="33618"/>
    <cellStyle name="Comma 8 31 3 2" xfId="33619"/>
    <cellStyle name="Comma 8 31 4" xfId="33620"/>
    <cellStyle name="Comma 8 31 4 2" xfId="33621"/>
    <cellStyle name="Comma 8 31 5" xfId="33622"/>
    <cellStyle name="Comma 8 31 5 2" xfId="33623"/>
    <cellStyle name="Comma 8 31 6" xfId="33624"/>
    <cellStyle name="Comma 8 31 6 2" xfId="33625"/>
    <cellStyle name="Comma 8 31 7" xfId="33626"/>
    <cellStyle name="Comma 8 31 7 2" xfId="33627"/>
    <cellStyle name="Comma 8 31 8" xfId="33628"/>
    <cellStyle name="Comma 8 31 8 2" xfId="33629"/>
    <cellStyle name="Comma 8 31 9" xfId="33630"/>
    <cellStyle name="Comma 8 31 9 2" xfId="33631"/>
    <cellStyle name="Comma 8 32" xfId="33632"/>
    <cellStyle name="Comma 8 32 10" xfId="33633"/>
    <cellStyle name="Comma 8 32 10 2" xfId="33634"/>
    <cellStyle name="Comma 8 32 11" xfId="33635"/>
    <cellStyle name="Comma 8 32 11 2" xfId="33636"/>
    <cellStyle name="Comma 8 32 12" xfId="33637"/>
    <cellStyle name="Comma 8 32 2" xfId="33638"/>
    <cellStyle name="Comma 8 32 2 2" xfId="33639"/>
    <cellStyle name="Comma 8 32 3" xfId="33640"/>
    <cellStyle name="Comma 8 32 3 2" xfId="33641"/>
    <cellStyle name="Comma 8 32 4" xfId="33642"/>
    <cellStyle name="Comma 8 32 4 2" xfId="33643"/>
    <cellStyle name="Comma 8 32 5" xfId="33644"/>
    <cellStyle name="Comma 8 32 5 2" xfId="33645"/>
    <cellStyle name="Comma 8 32 6" xfId="33646"/>
    <cellStyle name="Comma 8 32 6 2" xfId="33647"/>
    <cellStyle name="Comma 8 32 7" xfId="33648"/>
    <cellStyle name="Comma 8 32 7 2" xfId="33649"/>
    <cellStyle name="Comma 8 32 8" xfId="33650"/>
    <cellStyle name="Comma 8 32 8 2" xfId="33651"/>
    <cellStyle name="Comma 8 32 9" xfId="33652"/>
    <cellStyle name="Comma 8 32 9 2" xfId="33653"/>
    <cellStyle name="Comma 8 33" xfId="33654"/>
    <cellStyle name="Comma 8 33 10" xfId="33655"/>
    <cellStyle name="Comma 8 33 10 2" xfId="33656"/>
    <cellStyle name="Comma 8 33 11" xfId="33657"/>
    <cellStyle name="Comma 8 33 11 2" xfId="33658"/>
    <cellStyle name="Comma 8 33 12" xfId="33659"/>
    <cellStyle name="Comma 8 33 2" xfId="33660"/>
    <cellStyle name="Comma 8 33 2 2" xfId="33661"/>
    <cellStyle name="Comma 8 33 3" xfId="33662"/>
    <cellStyle name="Comma 8 33 3 2" xfId="33663"/>
    <cellStyle name="Comma 8 33 4" xfId="33664"/>
    <cellStyle name="Comma 8 33 4 2" xfId="33665"/>
    <cellStyle name="Comma 8 33 5" xfId="33666"/>
    <cellStyle name="Comma 8 33 5 2" xfId="33667"/>
    <cellStyle name="Comma 8 33 6" xfId="33668"/>
    <cellStyle name="Comma 8 33 6 2" xfId="33669"/>
    <cellStyle name="Comma 8 33 7" xfId="33670"/>
    <cellStyle name="Comma 8 33 7 2" xfId="33671"/>
    <cellStyle name="Comma 8 33 8" xfId="33672"/>
    <cellStyle name="Comma 8 33 8 2" xfId="33673"/>
    <cellStyle name="Comma 8 33 9" xfId="33674"/>
    <cellStyle name="Comma 8 33 9 2" xfId="33675"/>
    <cellStyle name="Comma 8 34" xfId="33676"/>
    <cellStyle name="Comma 8 34 10" xfId="33677"/>
    <cellStyle name="Comma 8 34 10 2" xfId="33678"/>
    <cellStyle name="Comma 8 34 11" xfId="33679"/>
    <cellStyle name="Comma 8 34 11 2" xfId="33680"/>
    <cellStyle name="Comma 8 34 12" xfId="33681"/>
    <cellStyle name="Comma 8 34 2" xfId="33682"/>
    <cellStyle name="Comma 8 34 2 2" xfId="33683"/>
    <cellStyle name="Comma 8 34 3" xfId="33684"/>
    <cellStyle name="Comma 8 34 3 2" xfId="33685"/>
    <cellStyle name="Comma 8 34 4" xfId="33686"/>
    <cellStyle name="Comma 8 34 4 2" xfId="33687"/>
    <cellStyle name="Comma 8 34 5" xfId="33688"/>
    <cellStyle name="Comma 8 34 5 2" xfId="33689"/>
    <cellStyle name="Comma 8 34 6" xfId="33690"/>
    <cellStyle name="Comma 8 34 6 2" xfId="33691"/>
    <cellStyle name="Comma 8 34 7" xfId="33692"/>
    <cellStyle name="Comma 8 34 7 2" xfId="33693"/>
    <cellStyle name="Comma 8 34 8" xfId="33694"/>
    <cellStyle name="Comma 8 34 8 2" xfId="33695"/>
    <cellStyle name="Comma 8 34 9" xfId="33696"/>
    <cellStyle name="Comma 8 34 9 2" xfId="33697"/>
    <cellStyle name="Comma 8 35" xfId="33698"/>
    <cellStyle name="Comma 8 35 10" xfId="33699"/>
    <cellStyle name="Comma 8 35 10 2" xfId="33700"/>
    <cellStyle name="Comma 8 35 11" xfId="33701"/>
    <cellStyle name="Comma 8 35 11 2" xfId="33702"/>
    <cellStyle name="Comma 8 35 12" xfId="33703"/>
    <cellStyle name="Comma 8 35 2" xfId="33704"/>
    <cellStyle name="Comma 8 35 2 2" xfId="33705"/>
    <cellStyle name="Comma 8 35 3" xfId="33706"/>
    <cellStyle name="Comma 8 35 3 2" xfId="33707"/>
    <cellStyle name="Comma 8 35 4" xfId="33708"/>
    <cellStyle name="Comma 8 35 4 2" xfId="33709"/>
    <cellStyle name="Comma 8 35 5" xfId="33710"/>
    <cellStyle name="Comma 8 35 5 2" xfId="33711"/>
    <cellStyle name="Comma 8 35 6" xfId="33712"/>
    <cellStyle name="Comma 8 35 6 2" xfId="33713"/>
    <cellStyle name="Comma 8 35 7" xfId="33714"/>
    <cellStyle name="Comma 8 35 7 2" xfId="33715"/>
    <cellStyle name="Comma 8 35 8" xfId="33716"/>
    <cellStyle name="Comma 8 35 8 2" xfId="33717"/>
    <cellStyle name="Comma 8 35 9" xfId="33718"/>
    <cellStyle name="Comma 8 35 9 2" xfId="33719"/>
    <cellStyle name="Comma 8 36" xfId="33720"/>
    <cellStyle name="Comma 8 36 10" xfId="33721"/>
    <cellStyle name="Comma 8 36 10 2" xfId="33722"/>
    <cellStyle name="Comma 8 36 11" xfId="33723"/>
    <cellStyle name="Comma 8 36 11 2" xfId="33724"/>
    <cellStyle name="Comma 8 36 12" xfId="33725"/>
    <cellStyle name="Comma 8 36 2" xfId="33726"/>
    <cellStyle name="Comma 8 36 2 2" xfId="33727"/>
    <cellStyle name="Comma 8 36 3" xfId="33728"/>
    <cellStyle name="Comma 8 36 3 2" xfId="33729"/>
    <cellStyle name="Comma 8 36 4" xfId="33730"/>
    <cellStyle name="Comma 8 36 4 2" xfId="33731"/>
    <cellStyle name="Comma 8 36 5" xfId="33732"/>
    <cellStyle name="Comma 8 36 5 2" xfId="33733"/>
    <cellStyle name="Comma 8 36 6" xfId="33734"/>
    <cellStyle name="Comma 8 36 6 2" xfId="33735"/>
    <cellStyle name="Comma 8 36 7" xfId="33736"/>
    <cellStyle name="Comma 8 36 7 2" xfId="33737"/>
    <cellStyle name="Comma 8 36 8" xfId="33738"/>
    <cellStyle name="Comma 8 36 8 2" xfId="33739"/>
    <cellStyle name="Comma 8 36 9" xfId="33740"/>
    <cellStyle name="Comma 8 36 9 2" xfId="33741"/>
    <cellStyle name="Comma 8 37" xfId="33742"/>
    <cellStyle name="Comma 8 37 10" xfId="33743"/>
    <cellStyle name="Comma 8 37 10 2" xfId="33744"/>
    <cellStyle name="Comma 8 37 11" xfId="33745"/>
    <cellStyle name="Comma 8 37 11 2" xfId="33746"/>
    <cellStyle name="Comma 8 37 12" xfId="33747"/>
    <cellStyle name="Comma 8 37 2" xfId="33748"/>
    <cellStyle name="Comma 8 37 2 2" xfId="33749"/>
    <cellStyle name="Comma 8 37 3" xfId="33750"/>
    <cellStyle name="Comma 8 37 3 2" xfId="33751"/>
    <cellStyle name="Comma 8 37 4" xfId="33752"/>
    <cellStyle name="Comma 8 37 4 2" xfId="33753"/>
    <cellStyle name="Comma 8 37 5" xfId="33754"/>
    <cellStyle name="Comma 8 37 5 2" xfId="33755"/>
    <cellStyle name="Comma 8 37 6" xfId="33756"/>
    <cellStyle name="Comma 8 37 6 2" xfId="33757"/>
    <cellStyle name="Comma 8 37 7" xfId="33758"/>
    <cellStyle name="Comma 8 37 7 2" xfId="33759"/>
    <cellStyle name="Comma 8 37 8" xfId="33760"/>
    <cellStyle name="Comma 8 37 8 2" xfId="33761"/>
    <cellStyle name="Comma 8 37 9" xfId="33762"/>
    <cellStyle name="Comma 8 37 9 2" xfId="33763"/>
    <cellStyle name="Comma 8 38" xfId="33764"/>
    <cellStyle name="Comma 8 38 10" xfId="33765"/>
    <cellStyle name="Comma 8 38 10 2" xfId="33766"/>
    <cellStyle name="Comma 8 38 11" xfId="33767"/>
    <cellStyle name="Comma 8 38 11 2" xfId="33768"/>
    <cellStyle name="Comma 8 38 12" xfId="33769"/>
    <cellStyle name="Comma 8 38 2" xfId="33770"/>
    <cellStyle name="Comma 8 38 2 2" xfId="33771"/>
    <cellStyle name="Comma 8 38 3" xfId="33772"/>
    <cellStyle name="Comma 8 38 3 2" xfId="33773"/>
    <cellStyle name="Comma 8 38 4" xfId="33774"/>
    <cellStyle name="Comma 8 38 4 2" xfId="33775"/>
    <cellStyle name="Comma 8 38 5" xfId="33776"/>
    <cellStyle name="Comma 8 38 5 2" xfId="33777"/>
    <cellStyle name="Comma 8 38 6" xfId="33778"/>
    <cellStyle name="Comma 8 38 6 2" xfId="33779"/>
    <cellStyle name="Comma 8 38 7" xfId="33780"/>
    <cellStyle name="Comma 8 38 7 2" xfId="33781"/>
    <cellStyle name="Comma 8 38 8" xfId="33782"/>
    <cellStyle name="Comma 8 38 8 2" xfId="33783"/>
    <cellStyle name="Comma 8 38 9" xfId="33784"/>
    <cellStyle name="Comma 8 38 9 2" xfId="33785"/>
    <cellStyle name="Comma 8 39" xfId="33786"/>
    <cellStyle name="Comma 8 39 10" xfId="33787"/>
    <cellStyle name="Comma 8 39 10 2" xfId="33788"/>
    <cellStyle name="Comma 8 39 11" xfId="33789"/>
    <cellStyle name="Comma 8 39 11 2" xfId="33790"/>
    <cellStyle name="Comma 8 39 12" xfId="33791"/>
    <cellStyle name="Comma 8 39 2" xfId="33792"/>
    <cellStyle name="Comma 8 39 2 2" xfId="33793"/>
    <cellStyle name="Comma 8 39 3" xfId="33794"/>
    <cellStyle name="Comma 8 39 3 2" xfId="33795"/>
    <cellStyle name="Comma 8 39 4" xfId="33796"/>
    <cellStyle name="Comma 8 39 4 2" xfId="33797"/>
    <cellStyle name="Comma 8 39 5" xfId="33798"/>
    <cellStyle name="Comma 8 39 5 2" xfId="33799"/>
    <cellStyle name="Comma 8 39 6" xfId="33800"/>
    <cellStyle name="Comma 8 39 6 2" xfId="33801"/>
    <cellStyle name="Comma 8 39 7" xfId="33802"/>
    <cellStyle name="Comma 8 39 7 2" xfId="33803"/>
    <cellStyle name="Comma 8 39 8" xfId="33804"/>
    <cellStyle name="Comma 8 39 8 2" xfId="33805"/>
    <cellStyle name="Comma 8 39 9" xfId="33806"/>
    <cellStyle name="Comma 8 39 9 2" xfId="33807"/>
    <cellStyle name="Comma 8 4" xfId="33808"/>
    <cellStyle name="Comma 8 4 10" xfId="33809"/>
    <cellStyle name="Comma 8 4 10 10" xfId="33810"/>
    <cellStyle name="Comma 8 4 10 10 2" xfId="33811"/>
    <cellStyle name="Comma 8 4 10 11" xfId="33812"/>
    <cellStyle name="Comma 8 4 10 11 2" xfId="33813"/>
    <cellStyle name="Comma 8 4 10 12" xfId="33814"/>
    <cellStyle name="Comma 8 4 10 2" xfId="33815"/>
    <cellStyle name="Comma 8 4 10 2 2" xfId="33816"/>
    <cellStyle name="Comma 8 4 10 3" xfId="33817"/>
    <cellStyle name="Comma 8 4 10 3 2" xfId="33818"/>
    <cellStyle name="Comma 8 4 10 4" xfId="33819"/>
    <cellStyle name="Comma 8 4 10 4 2" xfId="33820"/>
    <cellStyle name="Comma 8 4 10 5" xfId="33821"/>
    <cellStyle name="Comma 8 4 10 5 2" xfId="33822"/>
    <cellStyle name="Comma 8 4 10 6" xfId="33823"/>
    <cellStyle name="Comma 8 4 10 6 2" xfId="33824"/>
    <cellStyle name="Comma 8 4 10 7" xfId="33825"/>
    <cellStyle name="Comma 8 4 10 7 2" xfId="33826"/>
    <cellStyle name="Comma 8 4 10 8" xfId="33827"/>
    <cellStyle name="Comma 8 4 10 8 2" xfId="33828"/>
    <cellStyle name="Comma 8 4 10 9" xfId="33829"/>
    <cellStyle name="Comma 8 4 10 9 2" xfId="33830"/>
    <cellStyle name="Comma 8 4 11" xfId="33831"/>
    <cellStyle name="Comma 8 4 11 10" xfId="33832"/>
    <cellStyle name="Comma 8 4 11 10 2" xfId="33833"/>
    <cellStyle name="Comma 8 4 11 11" xfId="33834"/>
    <cellStyle name="Comma 8 4 11 11 2" xfId="33835"/>
    <cellStyle name="Comma 8 4 11 12" xfId="33836"/>
    <cellStyle name="Comma 8 4 11 2" xfId="33837"/>
    <cellStyle name="Comma 8 4 11 2 2" xfId="33838"/>
    <cellStyle name="Comma 8 4 11 3" xfId="33839"/>
    <cellStyle name="Comma 8 4 11 3 2" xfId="33840"/>
    <cellStyle name="Comma 8 4 11 4" xfId="33841"/>
    <cellStyle name="Comma 8 4 11 4 2" xfId="33842"/>
    <cellStyle name="Comma 8 4 11 5" xfId="33843"/>
    <cellStyle name="Comma 8 4 11 5 2" xfId="33844"/>
    <cellStyle name="Comma 8 4 11 6" xfId="33845"/>
    <cellStyle name="Comma 8 4 11 6 2" xfId="33846"/>
    <cellStyle name="Comma 8 4 11 7" xfId="33847"/>
    <cellStyle name="Comma 8 4 11 7 2" xfId="33848"/>
    <cellStyle name="Comma 8 4 11 8" xfId="33849"/>
    <cellStyle name="Comma 8 4 11 8 2" xfId="33850"/>
    <cellStyle name="Comma 8 4 11 9" xfId="33851"/>
    <cellStyle name="Comma 8 4 11 9 2" xfId="33852"/>
    <cellStyle name="Comma 8 4 12" xfId="33853"/>
    <cellStyle name="Comma 8 4 12 10" xfId="33854"/>
    <cellStyle name="Comma 8 4 12 10 2" xfId="33855"/>
    <cellStyle name="Comma 8 4 12 11" xfId="33856"/>
    <cellStyle name="Comma 8 4 12 11 2" xfId="33857"/>
    <cellStyle name="Comma 8 4 12 12" xfId="33858"/>
    <cellStyle name="Comma 8 4 12 2" xfId="33859"/>
    <cellStyle name="Comma 8 4 12 2 2" xfId="33860"/>
    <cellStyle name="Comma 8 4 12 3" xfId="33861"/>
    <cellStyle name="Comma 8 4 12 3 2" xfId="33862"/>
    <cellStyle name="Comma 8 4 12 4" xfId="33863"/>
    <cellStyle name="Comma 8 4 12 4 2" xfId="33864"/>
    <cellStyle name="Comma 8 4 12 5" xfId="33865"/>
    <cellStyle name="Comma 8 4 12 5 2" xfId="33866"/>
    <cellStyle name="Comma 8 4 12 6" xfId="33867"/>
    <cellStyle name="Comma 8 4 12 6 2" xfId="33868"/>
    <cellStyle name="Comma 8 4 12 7" xfId="33869"/>
    <cellStyle name="Comma 8 4 12 7 2" xfId="33870"/>
    <cellStyle name="Comma 8 4 12 8" xfId="33871"/>
    <cellStyle name="Comma 8 4 12 8 2" xfId="33872"/>
    <cellStyle name="Comma 8 4 12 9" xfId="33873"/>
    <cellStyle name="Comma 8 4 12 9 2" xfId="33874"/>
    <cellStyle name="Comma 8 4 13" xfId="33875"/>
    <cellStyle name="Comma 8 4 13 10" xfId="33876"/>
    <cellStyle name="Comma 8 4 13 10 2" xfId="33877"/>
    <cellStyle name="Comma 8 4 13 11" xfId="33878"/>
    <cellStyle name="Comma 8 4 13 11 2" xfId="33879"/>
    <cellStyle name="Comma 8 4 13 12" xfId="33880"/>
    <cellStyle name="Comma 8 4 13 2" xfId="33881"/>
    <cellStyle name="Comma 8 4 13 2 2" xfId="33882"/>
    <cellStyle name="Comma 8 4 13 3" xfId="33883"/>
    <cellStyle name="Comma 8 4 13 3 2" xfId="33884"/>
    <cellStyle name="Comma 8 4 13 4" xfId="33885"/>
    <cellStyle name="Comma 8 4 13 4 2" xfId="33886"/>
    <cellStyle name="Comma 8 4 13 5" xfId="33887"/>
    <cellStyle name="Comma 8 4 13 5 2" xfId="33888"/>
    <cellStyle name="Comma 8 4 13 6" xfId="33889"/>
    <cellStyle name="Comma 8 4 13 6 2" xfId="33890"/>
    <cellStyle name="Comma 8 4 13 7" xfId="33891"/>
    <cellStyle name="Comma 8 4 13 7 2" xfId="33892"/>
    <cellStyle name="Comma 8 4 13 8" xfId="33893"/>
    <cellStyle name="Comma 8 4 13 8 2" xfId="33894"/>
    <cellStyle name="Comma 8 4 13 9" xfId="33895"/>
    <cellStyle name="Comma 8 4 13 9 2" xfId="33896"/>
    <cellStyle name="Comma 8 4 14" xfId="33897"/>
    <cellStyle name="Comma 8 4 14 10" xfId="33898"/>
    <cellStyle name="Comma 8 4 14 10 2" xfId="33899"/>
    <cellStyle name="Comma 8 4 14 11" xfId="33900"/>
    <cellStyle name="Comma 8 4 14 11 2" xfId="33901"/>
    <cellStyle name="Comma 8 4 14 12" xfId="33902"/>
    <cellStyle name="Comma 8 4 14 2" xfId="33903"/>
    <cellStyle name="Comma 8 4 14 2 2" xfId="33904"/>
    <cellStyle name="Comma 8 4 14 3" xfId="33905"/>
    <cellStyle name="Comma 8 4 14 3 2" xfId="33906"/>
    <cellStyle name="Comma 8 4 14 4" xfId="33907"/>
    <cellStyle name="Comma 8 4 14 4 2" xfId="33908"/>
    <cellStyle name="Comma 8 4 14 5" xfId="33909"/>
    <cellStyle name="Comma 8 4 14 5 2" xfId="33910"/>
    <cellStyle name="Comma 8 4 14 6" xfId="33911"/>
    <cellStyle name="Comma 8 4 14 6 2" xfId="33912"/>
    <cellStyle name="Comma 8 4 14 7" xfId="33913"/>
    <cellStyle name="Comma 8 4 14 7 2" xfId="33914"/>
    <cellStyle name="Comma 8 4 14 8" xfId="33915"/>
    <cellStyle name="Comma 8 4 14 8 2" xfId="33916"/>
    <cellStyle name="Comma 8 4 14 9" xfId="33917"/>
    <cellStyle name="Comma 8 4 14 9 2" xfId="33918"/>
    <cellStyle name="Comma 8 4 15" xfId="33919"/>
    <cellStyle name="Comma 8 4 15 10" xfId="33920"/>
    <cellStyle name="Comma 8 4 15 10 2" xfId="33921"/>
    <cellStyle name="Comma 8 4 15 11" xfId="33922"/>
    <cellStyle name="Comma 8 4 15 11 2" xfId="33923"/>
    <cellStyle name="Comma 8 4 15 12" xfId="33924"/>
    <cellStyle name="Comma 8 4 15 2" xfId="33925"/>
    <cellStyle name="Comma 8 4 15 2 2" xfId="33926"/>
    <cellStyle name="Comma 8 4 15 3" xfId="33927"/>
    <cellStyle name="Comma 8 4 15 3 2" xfId="33928"/>
    <cellStyle name="Comma 8 4 15 4" xfId="33929"/>
    <cellStyle name="Comma 8 4 15 4 2" xfId="33930"/>
    <cellStyle name="Comma 8 4 15 5" xfId="33931"/>
    <cellStyle name="Comma 8 4 15 5 2" xfId="33932"/>
    <cellStyle name="Comma 8 4 15 6" xfId="33933"/>
    <cellStyle name="Comma 8 4 15 6 2" xfId="33934"/>
    <cellStyle name="Comma 8 4 15 7" xfId="33935"/>
    <cellStyle name="Comma 8 4 15 7 2" xfId="33936"/>
    <cellStyle name="Comma 8 4 15 8" xfId="33937"/>
    <cellStyle name="Comma 8 4 15 8 2" xfId="33938"/>
    <cellStyle name="Comma 8 4 15 9" xfId="33939"/>
    <cellStyle name="Comma 8 4 15 9 2" xfId="33940"/>
    <cellStyle name="Comma 8 4 16" xfId="33941"/>
    <cellStyle name="Comma 8 4 16 10" xfId="33942"/>
    <cellStyle name="Comma 8 4 16 10 2" xfId="33943"/>
    <cellStyle name="Comma 8 4 16 11" xfId="33944"/>
    <cellStyle name="Comma 8 4 16 11 2" xfId="33945"/>
    <cellStyle name="Comma 8 4 16 12" xfId="33946"/>
    <cellStyle name="Comma 8 4 16 2" xfId="33947"/>
    <cellStyle name="Comma 8 4 16 2 2" xfId="33948"/>
    <cellStyle name="Comma 8 4 16 3" xfId="33949"/>
    <cellStyle name="Comma 8 4 16 3 2" xfId="33950"/>
    <cellStyle name="Comma 8 4 16 4" xfId="33951"/>
    <cellStyle name="Comma 8 4 16 4 2" xfId="33952"/>
    <cellStyle name="Comma 8 4 16 5" xfId="33953"/>
    <cellStyle name="Comma 8 4 16 5 2" xfId="33954"/>
    <cellStyle name="Comma 8 4 16 6" xfId="33955"/>
    <cellStyle name="Comma 8 4 16 6 2" xfId="33956"/>
    <cellStyle name="Comma 8 4 16 7" xfId="33957"/>
    <cellStyle name="Comma 8 4 16 7 2" xfId="33958"/>
    <cellStyle name="Comma 8 4 16 8" xfId="33959"/>
    <cellStyle name="Comma 8 4 16 8 2" xfId="33960"/>
    <cellStyle name="Comma 8 4 16 9" xfId="33961"/>
    <cellStyle name="Comma 8 4 16 9 2" xfId="33962"/>
    <cellStyle name="Comma 8 4 17" xfId="33963"/>
    <cellStyle name="Comma 8 4 17 10" xfId="33964"/>
    <cellStyle name="Comma 8 4 17 10 2" xfId="33965"/>
    <cellStyle name="Comma 8 4 17 11" xfId="33966"/>
    <cellStyle name="Comma 8 4 17 11 2" xfId="33967"/>
    <cellStyle name="Comma 8 4 17 12" xfId="33968"/>
    <cellStyle name="Comma 8 4 17 2" xfId="33969"/>
    <cellStyle name="Comma 8 4 17 2 2" xfId="33970"/>
    <cellStyle name="Comma 8 4 17 3" xfId="33971"/>
    <cellStyle name="Comma 8 4 17 3 2" xfId="33972"/>
    <cellStyle name="Comma 8 4 17 4" xfId="33973"/>
    <cellStyle name="Comma 8 4 17 4 2" xfId="33974"/>
    <cellStyle name="Comma 8 4 17 5" xfId="33975"/>
    <cellStyle name="Comma 8 4 17 5 2" xfId="33976"/>
    <cellStyle name="Comma 8 4 17 6" xfId="33977"/>
    <cellStyle name="Comma 8 4 17 6 2" xfId="33978"/>
    <cellStyle name="Comma 8 4 17 7" xfId="33979"/>
    <cellStyle name="Comma 8 4 17 7 2" xfId="33980"/>
    <cellStyle name="Comma 8 4 17 8" xfId="33981"/>
    <cellStyle name="Comma 8 4 17 8 2" xfId="33982"/>
    <cellStyle name="Comma 8 4 17 9" xfId="33983"/>
    <cellStyle name="Comma 8 4 17 9 2" xfId="33984"/>
    <cellStyle name="Comma 8 4 18" xfId="33985"/>
    <cellStyle name="Comma 8 4 18 10" xfId="33986"/>
    <cellStyle name="Comma 8 4 18 10 2" xfId="33987"/>
    <cellStyle name="Comma 8 4 18 11" xfId="33988"/>
    <cellStyle name="Comma 8 4 18 11 2" xfId="33989"/>
    <cellStyle name="Comma 8 4 18 12" xfId="33990"/>
    <cellStyle name="Comma 8 4 18 2" xfId="33991"/>
    <cellStyle name="Comma 8 4 18 2 2" xfId="33992"/>
    <cellStyle name="Comma 8 4 18 3" xfId="33993"/>
    <cellStyle name="Comma 8 4 18 3 2" xfId="33994"/>
    <cellStyle name="Comma 8 4 18 4" xfId="33995"/>
    <cellStyle name="Comma 8 4 18 4 2" xfId="33996"/>
    <cellStyle name="Comma 8 4 18 5" xfId="33997"/>
    <cellStyle name="Comma 8 4 18 5 2" xfId="33998"/>
    <cellStyle name="Comma 8 4 18 6" xfId="33999"/>
    <cellStyle name="Comma 8 4 18 6 2" xfId="34000"/>
    <cellStyle name="Comma 8 4 18 7" xfId="34001"/>
    <cellStyle name="Comma 8 4 18 7 2" xfId="34002"/>
    <cellStyle name="Comma 8 4 18 8" xfId="34003"/>
    <cellStyle name="Comma 8 4 18 8 2" xfId="34004"/>
    <cellStyle name="Comma 8 4 18 9" xfId="34005"/>
    <cellStyle name="Comma 8 4 18 9 2" xfId="34006"/>
    <cellStyle name="Comma 8 4 19" xfId="34007"/>
    <cellStyle name="Comma 8 4 19 10" xfId="34008"/>
    <cellStyle name="Comma 8 4 19 10 2" xfId="34009"/>
    <cellStyle name="Comma 8 4 19 11" xfId="34010"/>
    <cellStyle name="Comma 8 4 19 11 2" xfId="34011"/>
    <cellStyle name="Comma 8 4 19 12" xfId="34012"/>
    <cellStyle name="Comma 8 4 19 2" xfId="34013"/>
    <cellStyle name="Comma 8 4 19 2 2" xfId="34014"/>
    <cellStyle name="Comma 8 4 19 3" xfId="34015"/>
    <cellStyle name="Comma 8 4 19 3 2" xfId="34016"/>
    <cellStyle name="Comma 8 4 19 4" xfId="34017"/>
    <cellStyle name="Comma 8 4 19 4 2" xfId="34018"/>
    <cellStyle name="Comma 8 4 19 5" xfId="34019"/>
    <cellStyle name="Comma 8 4 19 5 2" xfId="34020"/>
    <cellStyle name="Comma 8 4 19 6" xfId="34021"/>
    <cellStyle name="Comma 8 4 19 6 2" xfId="34022"/>
    <cellStyle name="Comma 8 4 19 7" xfId="34023"/>
    <cellStyle name="Comma 8 4 19 7 2" xfId="34024"/>
    <cellStyle name="Comma 8 4 19 8" xfId="34025"/>
    <cellStyle name="Comma 8 4 19 8 2" xfId="34026"/>
    <cellStyle name="Comma 8 4 19 9" xfId="34027"/>
    <cellStyle name="Comma 8 4 19 9 2" xfId="34028"/>
    <cellStyle name="Comma 8 4 2" xfId="34029"/>
    <cellStyle name="Comma 8 4 2 10" xfId="34030"/>
    <cellStyle name="Comma 8 4 2 10 2" xfId="34031"/>
    <cellStyle name="Comma 8 4 2 11" xfId="34032"/>
    <cellStyle name="Comma 8 4 2 11 2" xfId="34033"/>
    <cellStyle name="Comma 8 4 2 12" xfId="34034"/>
    <cellStyle name="Comma 8 4 2 2" xfId="34035"/>
    <cellStyle name="Comma 8 4 2 2 2" xfId="34036"/>
    <cellStyle name="Comma 8 4 2 3" xfId="34037"/>
    <cellStyle name="Comma 8 4 2 3 2" xfId="34038"/>
    <cellStyle name="Comma 8 4 2 4" xfId="34039"/>
    <cellStyle name="Comma 8 4 2 4 2" xfId="34040"/>
    <cellStyle name="Comma 8 4 2 5" xfId="34041"/>
    <cellStyle name="Comma 8 4 2 5 2" xfId="34042"/>
    <cellStyle name="Comma 8 4 2 6" xfId="34043"/>
    <cellStyle name="Comma 8 4 2 6 2" xfId="34044"/>
    <cellStyle name="Comma 8 4 2 7" xfId="34045"/>
    <cellStyle name="Comma 8 4 2 7 2" xfId="34046"/>
    <cellStyle name="Comma 8 4 2 8" xfId="34047"/>
    <cellStyle name="Comma 8 4 2 8 2" xfId="34048"/>
    <cellStyle name="Comma 8 4 2 9" xfId="34049"/>
    <cellStyle name="Comma 8 4 2 9 2" xfId="34050"/>
    <cellStyle name="Comma 8 4 20" xfId="34051"/>
    <cellStyle name="Comma 8 4 20 10" xfId="34052"/>
    <cellStyle name="Comma 8 4 20 10 2" xfId="34053"/>
    <cellStyle name="Comma 8 4 20 11" xfId="34054"/>
    <cellStyle name="Comma 8 4 20 11 2" xfId="34055"/>
    <cellStyle name="Comma 8 4 20 12" xfId="34056"/>
    <cellStyle name="Comma 8 4 20 2" xfId="34057"/>
    <cellStyle name="Comma 8 4 20 2 2" xfId="34058"/>
    <cellStyle name="Comma 8 4 20 3" xfId="34059"/>
    <cellStyle name="Comma 8 4 20 3 2" xfId="34060"/>
    <cellStyle name="Comma 8 4 20 4" xfId="34061"/>
    <cellStyle name="Comma 8 4 20 4 2" xfId="34062"/>
    <cellStyle name="Comma 8 4 20 5" xfId="34063"/>
    <cellStyle name="Comma 8 4 20 5 2" xfId="34064"/>
    <cellStyle name="Comma 8 4 20 6" xfId="34065"/>
    <cellStyle name="Comma 8 4 20 6 2" xfId="34066"/>
    <cellStyle name="Comma 8 4 20 7" xfId="34067"/>
    <cellStyle name="Comma 8 4 20 7 2" xfId="34068"/>
    <cellStyle name="Comma 8 4 20 8" xfId="34069"/>
    <cellStyle name="Comma 8 4 20 8 2" xfId="34070"/>
    <cellStyle name="Comma 8 4 20 9" xfId="34071"/>
    <cellStyle name="Comma 8 4 20 9 2" xfId="34072"/>
    <cellStyle name="Comma 8 4 21" xfId="34073"/>
    <cellStyle name="Comma 8 4 21 10" xfId="34074"/>
    <cellStyle name="Comma 8 4 21 10 2" xfId="34075"/>
    <cellStyle name="Comma 8 4 21 11" xfId="34076"/>
    <cellStyle name="Comma 8 4 21 11 2" xfId="34077"/>
    <cellStyle name="Comma 8 4 21 12" xfId="34078"/>
    <cellStyle name="Comma 8 4 21 2" xfId="34079"/>
    <cellStyle name="Comma 8 4 21 2 2" xfId="34080"/>
    <cellStyle name="Comma 8 4 21 3" xfId="34081"/>
    <cellStyle name="Comma 8 4 21 3 2" xfId="34082"/>
    <cellStyle name="Comma 8 4 21 4" xfId="34083"/>
    <cellStyle name="Comma 8 4 21 4 2" xfId="34084"/>
    <cellStyle name="Comma 8 4 21 5" xfId="34085"/>
    <cellStyle name="Comma 8 4 21 5 2" xfId="34086"/>
    <cellStyle name="Comma 8 4 21 6" xfId="34087"/>
    <cellStyle name="Comma 8 4 21 6 2" xfId="34088"/>
    <cellStyle name="Comma 8 4 21 7" xfId="34089"/>
    <cellStyle name="Comma 8 4 21 7 2" xfId="34090"/>
    <cellStyle name="Comma 8 4 21 8" xfId="34091"/>
    <cellStyle name="Comma 8 4 21 8 2" xfId="34092"/>
    <cellStyle name="Comma 8 4 21 9" xfId="34093"/>
    <cellStyle name="Comma 8 4 21 9 2" xfId="34094"/>
    <cellStyle name="Comma 8 4 22" xfId="34095"/>
    <cellStyle name="Comma 8 4 22 10" xfId="34096"/>
    <cellStyle name="Comma 8 4 22 10 2" xfId="34097"/>
    <cellStyle name="Comma 8 4 22 11" xfId="34098"/>
    <cellStyle name="Comma 8 4 22 11 2" xfId="34099"/>
    <cellStyle name="Comma 8 4 22 12" xfId="34100"/>
    <cellStyle name="Comma 8 4 22 2" xfId="34101"/>
    <cellStyle name="Comma 8 4 22 2 2" xfId="34102"/>
    <cellStyle name="Comma 8 4 22 3" xfId="34103"/>
    <cellStyle name="Comma 8 4 22 3 2" xfId="34104"/>
    <cellStyle name="Comma 8 4 22 4" xfId="34105"/>
    <cellStyle name="Comma 8 4 22 4 2" xfId="34106"/>
    <cellStyle name="Comma 8 4 22 5" xfId="34107"/>
    <cellStyle name="Comma 8 4 22 5 2" xfId="34108"/>
    <cellStyle name="Comma 8 4 22 6" xfId="34109"/>
    <cellStyle name="Comma 8 4 22 6 2" xfId="34110"/>
    <cellStyle name="Comma 8 4 22 7" xfId="34111"/>
    <cellStyle name="Comma 8 4 22 7 2" xfId="34112"/>
    <cellStyle name="Comma 8 4 22 8" xfId="34113"/>
    <cellStyle name="Comma 8 4 22 8 2" xfId="34114"/>
    <cellStyle name="Comma 8 4 22 9" xfId="34115"/>
    <cellStyle name="Comma 8 4 22 9 2" xfId="34116"/>
    <cellStyle name="Comma 8 4 23" xfId="34117"/>
    <cellStyle name="Comma 8 4 23 10" xfId="34118"/>
    <cellStyle name="Comma 8 4 23 10 2" xfId="34119"/>
    <cellStyle name="Comma 8 4 23 11" xfId="34120"/>
    <cellStyle name="Comma 8 4 23 11 2" xfId="34121"/>
    <cellStyle name="Comma 8 4 23 12" xfId="34122"/>
    <cellStyle name="Comma 8 4 23 2" xfId="34123"/>
    <cellStyle name="Comma 8 4 23 2 2" xfId="34124"/>
    <cellStyle name="Comma 8 4 23 3" xfId="34125"/>
    <cellStyle name="Comma 8 4 23 3 2" xfId="34126"/>
    <cellStyle name="Comma 8 4 23 4" xfId="34127"/>
    <cellStyle name="Comma 8 4 23 4 2" xfId="34128"/>
    <cellStyle name="Comma 8 4 23 5" xfId="34129"/>
    <cellStyle name="Comma 8 4 23 5 2" xfId="34130"/>
    <cellStyle name="Comma 8 4 23 6" xfId="34131"/>
    <cellStyle name="Comma 8 4 23 6 2" xfId="34132"/>
    <cellStyle name="Comma 8 4 23 7" xfId="34133"/>
    <cellStyle name="Comma 8 4 23 7 2" xfId="34134"/>
    <cellStyle name="Comma 8 4 23 8" xfId="34135"/>
    <cellStyle name="Comma 8 4 23 8 2" xfId="34136"/>
    <cellStyle name="Comma 8 4 23 9" xfId="34137"/>
    <cellStyle name="Comma 8 4 23 9 2" xfId="34138"/>
    <cellStyle name="Comma 8 4 24" xfId="34139"/>
    <cellStyle name="Comma 8 4 24 10" xfId="34140"/>
    <cellStyle name="Comma 8 4 24 10 2" xfId="34141"/>
    <cellStyle name="Comma 8 4 24 11" xfId="34142"/>
    <cellStyle name="Comma 8 4 24 11 2" xfId="34143"/>
    <cellStyle name="Comma 8 4 24 12" xfId="34144"/>
    <cellStyle name="Comma 8 4 24 2" xfId="34145"/>
    <cellStyle name="Comma 8 4 24 2 2" xfId="34146"/>
    <cellStyle name="Comma 8 4 24 3" xfId="34147"/>
    <cellStyle name="Comma 8 4 24 3 2" xfId="34148"/>
    <cellStyle name="Comma 8 4 24 4" xfId="34149"/>
    <cellStyle name="Comma 8 4 24 4 2" xfId="34150"/>
    <cellStyle name="Comma 8 4 24 5" xfId="34151"/>
    <cellStyle name="Comma 8 4 24 5 2" xfId="34152"/>
    <cellStyle name="Comma 8 4 24 6" xfId="34153"/>
    <cellStyle name="Comma 8 4 24 6 2" xfId="34154"/>
    <cellStyle name="Comma 8 4 24 7" xfId="34155"/>
    <cellStyle name="Comma 8 4 24 7 2" xfId="34156"/>
    <cellStyle name="Comma 8 4 24 8" xfId="34157"/>
    <cellStyle name="Comma 8 4 24 8 2" xfId="34158"/>
    <cellStyle name="Comma 8 4 24 9" xfId="34159"/>
    <cellStyle name="Comma 8 4 24 9 2" xfId="34160"/>
    <cellStyle name="Comma 8 4 25" xfId="34161"/>
    <cellStyle name="Comma 8 4 25 10" xfId="34162"/>
    <cellStyle name="Comma 8 4 25 10 2" xfId="34163"/>
    <cellStyle name="Comma 8 4 25 11" xfId="34164"/>
    <cellStyle name="Comma 8 4 25 11 2" xfId="34165"/>
    <cellStyle name="Comma 8 4 25 12" xfId="34166"/>
    <cellStyle name="Comma 8 4 25 2" xfId="34167"/>
    <cellStyle name="Comma 8 4 25 2 2" xfId="34168"/>
    <cellStyle name="Comma 8 4 25 3" xfId="34169"/>
    <cellStyle name="Comma 8 4 25 3 2" xfId="34170"/>
    <cellStyle name="Comma 8 4 25 4" xfId="34171"/>
    <cellStyle name="Comma 8 4 25 4 2" xfId="34172"/>
    <cellStyle name="Comma 8 4 25 5" xfId="34173"/>
    <cellStyle name="Comma 8 4 25 5 2" xfId="34174"/>
    <cellStyle name="Comma 8 4 25 6" xfId="34175"/>
    <cellStyle name="Comma 8 4 25 6 2" xfId="34176"/>
    <cellStyle name="Comma 8 4 25 7" xfId="34177"/>
    <cellStyle name="Comma 8 4 25 7 2" xfId="34178"/>
    <cellStyle name="Comma 8 4 25 8" xfId="34179"/>
    <cellStyle name="Comma 8 4 25 8 2" xfId="34180"/>
    <cellStyle name="Comma 8 4 25 9" xfId="34181"/>
    <cellStyle name="Comma 8 4 25 9 2" xfId="34182"/>
    <cellStyle name="Comma 8 4 26" xfId="34183"/>
    <cellStyle name="Comma 8 4 26 10" xfId="34184"/>
    <cellStyle name="Comma 8 4 26 10 2" xfId="34185"/>
    <cellStyle name="Comma 8 4 26 11" xfId="34186"/>
    <cellStyle name="Comma 8 4 26 11 2" xfId="34187"/>
    <cellStyle name="Comma 8 4 26 12" xfId="34188"/>
    <cellStyle name="Comma 8 4 26 2" xfId="34189"/>
    <cellStyle name="Comma 8 4 26 2 2" xfId="34190"/>
    <cellStyle name="Comma 8 4 26 3" xfId="34191"/>
    <cellStyle name="Comma 8 4 26 3 2" xfId="34192"/>
    <cellStyle name="Comma 8 4 26 4" xfId="34193"/>
    <cellStyle name="Comma 8 4 26 4 2" xfId="34194"/>
    <cellStyle name="Comma 8 4 26 5" xfId="34195"/>
    <cellStyle name="Comma 8 4 26 5 2" xfId="34196"/>
    <cellStyle name="Comma 8 4 26 6" xfId="34197"/>
    <cellStyle name="Comma 8 4 26 6 2" xfId="34198"/>
    <cellStyle name="Comma 8 4 26 7" xfId="34199"/>
    <cellStyle name="Comma 8 4 26 7 2" xfId="34200"/>
    <cellStyle name="Comma 8 4 26 8" xfId="34201"/>
    <cellStyle name="Comma 8 4 26 8 2" xfId="34202"/>
    <cellStyle name="Comma 8 4 26 9" xfId="34203"/>
    <cellStyle name="Comma 8 4 26 9 2" xfId="34204"/>
    <cellStyle name="Comma 8 4 27" xfId="34205"/>
    <cellStyle name="Comma 8 4 27 10" xfId="34206"/>
    <cellStyle name="Comma 8 4 27 10 2" xfId="34207"/>
    <cellStyle name="Comma 8 4 27 11" xfId="34208"/>
    <cellStyle name="Comma 8 4 27 11 2" xfId="34209"/>
    <cellStyle name="Comma 8 4 27 12" xfId="34210"/>
    <cellStyle name="Comma 8 4 27 2" xfId="34211"/>
    <cellStyle name="Comma 8 4 27 2 2" xfId="34212"/>
    <cellStyle name="Comma 8 4 27 3" xfId="34213"/>
    <cellStyle name="Comma 8 4 27 3 2" xfId="34214"/>
    <cellStyle name="Comma 8 4 27 4" xfId="34215"/>
    <cellStyle name="Comma 8 4 27 4 2" xfId="34216"/>
    <cellStyle name="Comma 8 4 27 5" xfId="34217"/>
    <cellStyle name="Comma 8 4 27 5 2" xfId="34218"/>
    <cellStyle name="Comma 8 4 27 6" xfId="34219"/>
    <cellStyle name="Comma 8 4 27 6 2" xfId="34220"/>
    <cellStyle name="Comma 8 4 27 7" xfId="34221"/>
    <cellStyle name="Comma 8 4 27 7 2" xfId="34222"/>
    <cellStyle name="Comma 8 4 27 8" xfId="34223"/>
    <cellStyle name="Comma 8 4 27 8 2" xfId="34224"/>
    <cellStyle name="Comma 8 4 27 9" xfId="34225"/>
    <cellStyle name="Comma 8 4 27 9 2" xfId="34226"/>
    <cellStyle name="Comma 8 4 28" xfId="34227"/>
    <cellStyle name="Comma 8 4 28 10" xfId="34228"/>
    <cellStyle name="Comma 8 4 28 10 2" xfId="34229"/>
    <cellStyle name="Comma 8 4 28 11" xfId="34230"/>
    <cellStyle name="Comma 8 4 28 11 2" xfId="34231"/>
    <cellStyle name="Comma 8 4 28 12" xfId="34232"/>
    <cellStyle name="Comma 8 4 28 2" xfId="34233"/>
    <cellStyle name="Comma 8 4 28 2 2" xfId="34234"/>
    <cellStyle name="Comma 8 4 28 3" xfId="34235"/>
    <cellStyle name="Comma 8 4 28 3 2" xfId="34236"/>
    <cellStyle name="Comma 8 4 28 4" xfId="34237"/>
    <cellStyle name="Comma 8 4 28 4 2" xfId="34238"/>
    <cellStyle name="Comma 8 4 28 5" xfId="34239"/>
    <cellStyle name="Comma 8 4 28 5 2" xfId="34240"/>
    <cellStyle name="Comma 8 4 28 6" xfId="34241"/>
    <cellStyle name="Comma 8 4 28 6 2" xfId="34242"/>
    <cellStyle name="Comma 8 4 28 7" xfId="34243"/>
    <cellStyle name="Comma 8 4 28 7 2" xfId="34244"/>
    <cellStyle name="Comma 8 4 28 8" xfId="34245"/>
    <cellStyle name="Comma 8 4 28 8 2" xfId="34246"/>
    <cellStyle name="Comma 8 4 28 9" xfId="34247"/>
    <cellStyle name="Comma 8 4 28 9 2" xfId="34248"/>
    <cellStyle name="Comma 8 4 29" xfId="34249"/>
    <cellStyle name="Comma 8 4 29 10" xfId="34250"/>
    <cellStyle name="Comma 8 4 29 10 2" xfId="34251"/>
    <cellStyle name="Comma 8 4 29 11" xfId="34252"/>
    <cellStyle name="Comma 8 4 29 11 2" xfId="34253"/>
    <cellStyle name="Comma 8 4 29 12" xfId="34254"/>
    <cellStyle name="Comma 8 4 29 2" xfId="34255"/>
    <cellStyle name="Comma 8 4 29 2 2" xfId="34256"/>
    <cellStyle name="Comma 8 4 29 3" xfId="34257"/>
    <cellStyle name="Comma 8 4 29 3 2" xfId="34258"/>
    <cellStyle name="Comma 8 4 29 4" xfId="34259"/>
    <cellStyle name="Comma 8 4 29 4 2" xfId="34260"/>
    <cellStyle name="Comma 8 4 29 5" xfId="34261"/>
    <cellStyle name="Comma 8 4 29 5 2" xfId="34262"/>
    <cellStyle name="Comma 8 4 29 6" xfId="34263"/>
    <cellStyle name="Comma 8 4 29 6 2" xfId="34264"/>
    <cellStyle name="Comma 8 4 29 7" xfId="34265"/>
    <cellStyle name="Comma 8 4 29 7 2" xfId="34266"/>
    <cellStyle name="Comma 8 4 29 8" xfId="34267"/>
    <cellStyle name="Comma 8 4 29 8 2" xfId="34268"/>
    <cellStyle name="Comma 8 4 29 9" xfId="34269"/>
    <cellStyle name="Comma 8 4 29 9 2" xfId="34270"/>
    <cellStyle name="Comma 8 4 3" xfId="34271"/>
    <cellStyle name="Comma 8 4 3 10" xfId="34272"/>
    <cellStyle name="Comma 8 4 3 10 2" xfId="34273"/>
    <cellStyle name="Comma 8 4 3 11" xfId="34274"/>
    <cellStyle name="Comma 8 4 3 11 2" xfId="34275"/>
    <cellStyle name="Comma 8 4 3 12" xfId="34276"/>
    <cellStyle name="Comma 8 4 3 2" xfId="34277"/>
    <cellStyle name="Comma 8 4 3 2 2" xfId="34278"/>
    <cellStyle name="Comma 8 4 3 3" xfId="34279"/>
    <cellStyle name="Comma 8 4 3 3 2" xfId="34280"/>
    <cellStyle name="Comma 8 4 3 4" xfId="34281"/>
    <cellStyle name="Comma 8 4 3 4 2" xfId="34282"/>
    <cellStyle name="Comma 8 4 3 5" xfId="34283"/>
    <cellStyle name="Comma 8 4 3 5 2" xfId="34284"/>
    <cellStyle name="Comma 8 4 3 6" xfId="34285"/>
    <cellStyle name="Comma 8 4 3 6 2" xfId="34286"/>
    <cellStyle name="Comma 8 4 3 7" xfId="34287"/>
    <cellStyle name="Comma 8 4 3 7 2" xfId="34288"/>
    <cellStyle name="Comma 8 4 3 8" xfId="34289"/>
    <cellStyle name="Comma 8 4 3 8 2" xfId="34290"/>
    <cellStyle name="Comma 8 4 3 9" xfId="34291"/>
    <cellStyle name="Comma 8 4 3 9 2" xfId="34292"/>
    <cellStyle name="Comma 8 4 30" xfId="34293"/>
    <cellStyle name="Comma 8 4 30 10" xfId="34294"/>
    <cellStyle name="Comma 8 4 30 10 2" xfId="34295"/>
    <cellStyle name="Comma 8 4 30 11" xfId="34296"/>
    <cellStyle name="Comma 8 4 30 11 2" xfId="34297"/>
    <cellStyle name="Comma 8 4 30 12" xfId="34298"/>
    <cellStyle name="Comma 8 4 30 2" xfId="34299"/>
    <cellStyle name="Comma 8 4 30 2 2" xfId="34300"/>
    <cellStyle name="Comma 8 4 30 3" xfId="34301"/>
    <cellStyle name="Comma 8 4 30 3 2" xfId="34302"/>
    <cellStyle name="Comma 8 4 30 4" xfId="34303"/>
    <cellStyle name="Comma 8 4 30 4 2" xfId="34304"/>
    <cellStyle name="Comma 8 4 30 5" xfId="34305"/>
    <cellStyle name="Comma 8 4 30 5 2" xfId="34306"/>
    <cellStyle name="Comma 8 4 30 6" xfId="34307"/>
    <cellStyle name="Comma 8 4 30 6 2" xfId="34308"/>
    <cellStyle name="Comma 8 4 30 7" xfId="34309"/>
    <cellStyle name="Comma 8 4 30 7 2" xfId="34310"/>
    <cellStyle name="Comma 8 4 30 8" xfId="34311"/>
    <cellStyle name="Comma 8 4 30 8 2" xfId="34312"/>
    <cellStyle name="Comma 8 4 30 9" xfId="34313"/>
    <cellStyle name="Comma 8 4 30 9 2" xfId="34314"/>
    <cellStyle name="Comma 8 4 31" xfId="34315"/>
    <cellStyle name="Comma 8 4 31 10" xfId="34316"/>
    <cellStyle name="Comma 8 4 31 10 2" xfId="34317"/>
    <cellStyle name="Comma 8 4 31 11" xfId="34318"/>
    <cellStyle name="Comma 8 4 31 11 2" xfId="34319"/>
    <cellStyle name="Comma 8 4 31 12" xfId="34320"/>
    <cellStyle name="Comma 8 4 31 2" xfId="34321"/>
    <cellStyle name="Comma 8 4 31 2 2" xfId="34322"/>
    <cellStyle name="Comma 8 4 31 3" xfId="34323"/>
    <cellStyle name="Comma 8 4 31 3 2" xfId="34324"/>
    <cellStyle name="Comma 8 4 31 4" xfId="34325"/>
    <cellStyle name="Comma 8 4 31 4 2" xfId="34326"/>
    <cellStyle name="Comma 8 4 31 5" xfId="34327"/>
    <cellStyle name="Comma 8 4 31 5 2" xfId="34328"/>
    <cellStyle name="Comma 8 4 31 6" xfId="34329"/>
    <cellStyle name="Comma 8 4 31 6 2" xfId="34330"/>
    <cellStyle name="Comma 8 4 31 7" xfId="34331"/>
    <cellStyle name="Comma 8 4 31 7 2" xfId="34332"/>
    <cellStyle name="Comma 8 4 31 8" xfId="34333"/>
    <cellStyle name="Comma 8 4 31 8 2" xfId="34334"/>
    <cellStyle name="Comma 8 4 31 9" xfId="34335"/>
    <cellStyle name="Comma 8 4 31 9 2" xfId="34336"/>
    <cellStyle name="Comma 8 4 32" xfId="34337"/>
    <cellStyle name="Comma 8 4 32 10" xfId="34338"/>
    <cellStyle name="Comma 8 4 32 10 2" xfId="34339"/>
    <cellStyle name="Comma 8 4 32 11" xfId="34340"/>
    <cellStyle name="Comma 8 4 32 11 2" xfId="34341"/>
    <cellStyle name="Comma 8 4 32 12" xfId="34342"/>
    <cellStyle name="Comma 8 4 32 2" xfId="34343"/>
    <cellStyle name="Comma 8 4 32 2 2" xfId="34344"/>
    <cellStyle name="Comma 8 4 32 3" xfId="34345"/>
    <cellStyle name="Comma 8 4 32 3 2" xfId="34346"/>
    <cellStyle name="Comma 8 4 32 4" xfId="34347"/>
    <cellStyle name="Comma 8 4 32 4 2" xfId="34348"/>
    <cellStyle name="Comma 8 4 32 5" xfId="34349"/>
    <cellStyle name="Comma 8 4 32 5 2" xfId="34350"/>
    <cellStyle name="Comma 8 4 32 6" xfId="34351"/>
    <cellStyle name="Comma 8 4 32 6 2" xfId="34352"/>
    <cellStyle name="Comma 8 4 32 7" xfId="34353"/>
    <cellStyle name="Comma 8 4 32 7 2" xfId="34354"/>
    <cellStyle name="Comma 8 4 32 8" xfId="34355"/>
    <cellStyle name="Comma 8 4 32 8 2" xfId="34356"/>
    <cellStyle name="Comma 8 4 32 9" xfId="34357"/>
    <cellStyle name="Comma 8 4 32 9 2" xfId="34358"/>
    <cellStyle name="Comma 8 4 33" xfId="34359"/>
    <cellStyle name="Comma 8 4 33 10" xfId="34360"/>
    <cellStyle name="Comma 8 4 33 10 2" xfId="34361"/>
    <cellStyle name="Comma 8 4 33 11" xfId="34362"/>
    <cellStyle name="Comma 8 4 33 11 2" xfId="34363"/>
    <cellStyle name="Comma 8 4 33 12" xfId="34364"/>
    <cellStyle name="Comma 8 4 33 2" xfId="34365"/>
    <cellStyle name="Comma 8 4 33 2 2" xfId="34366"/>
    <cellStyle name="Comma 8 4 33 3" xfId="34367"/>
    <cellStyle name="Comma 8 4 33 3 2" xfId="34368"/>
    <cellStyle name="Comma 8 4 33 4" xfId="34369"/>
    <cellStyle name="Comma 8 4 33 4 2" xfId="34370"/>
    <cellStyle name="Comma 8 4 33 5" xfId="34371"/>
    <cellStyle name="Comma 8 4 33 5 2" xfId="34372"/>
    <cellStyle name="Comma 8 4 33 6" xfId="34373"/>
    <cellStyle name="Comma 8 4 33 6 2" xfId="34374"/>
    <cellStyle name="Comma 8 4 33 7" xfId="34375"/>
    <cellStyle name="Comma 8 4 33 7 2" xfId="34376"/>
    <cellStyle name="Comma 8 4 33 8" xfId="34377"/>
    <cellStyle name="Comma 8 4 33 8 2" xfId="34378"/>
    <cellStyle name="Comma 8 4 33 9" xfId="34379"/>
    <cellStyle name="Comma 8 4 33 9 2" xfId="34380"/>
    <cellStyle name="Comma 8 4 34" xfId="34381"/>
    <cellStyle name="Comma 8 4 34 10" xfId="34382"/>
    <cellStyle name="Comma 8 4 34 10 2" xfId="34383"/>
    <cellStyle name="Comma 8 4 34 11" xfId="34384"/>
    <cellStyle name="Comma 8 4 34 11 2" xfId="34385"/>
    <cellStyle name="Comma 8 4 34 12" xfId="34386"/>
    <cellStyle name="Comma 8 4 34 2" xfId="34387"/>
    <cellStyle name="Comma 8 4 34 2 2" xfId="34388"/>
    <cellStyle name="Comma 8 4 34 3" xfId="34389"/>
    <cellStyle name="Comma 8 4 34 3 2" xfId="34390"/>
    <cellStyle name="Comma 8 4 34 4" xfId="34391"/>
    <cellStyle name="Comma 8 4 34 4 2" xfId="34392"/>
    <cellStyle name="Comma 8 4 34 5" xfId="34393"/>
    <cellStyle name="Comma 8 4 34 5 2" xfId="34394"/>
    <cellStyle name="Comma 8 4 34 6" xfId="34395"/>
    <cellStyle name="Comma 8 4 34 6 2" xfId="34396"/>
    <cellStyle name="Comma 8 4 34 7" xfId="34397"/>
    <cellStyle name="Comma 8 4 34 7 2" xfId="34398"/>
    <cellStyle name="Comma 8 4 34 8" xfId="34399"/>
    <cellStyle name="Comma 8 4 34 8 2" xfId="34400"/>
    <cellStyle name="Comma 8 4 34 9" xfId="34401"/>
    <cellStyle name="Comma 8 4 34 9 2" xfId="34402"/>
    <cellStyle name="Comma 8 4 35" xfId="34403"/>
    <cellStyle name="Comma 8 4 35 10" xfId="34404"/>
    <cellStyle name="Comma 8 4 35 10 2" xfId="34405"/>
    <cellStyle name="Comma 8 4 35 11" xfId="34406"/>
    <cellStyle name="Comma 8 4 35 11 2" xfId="34407"/>
    <cellStyle name="Comma 8 4 35 12" xfId="34408"/>
    <cellStyle name="Comma 8 4 35 2" xfId="34409"/>
    <cellStyle name="Comma 8 4 35 2 2" xfId="34410"/>
    <cellStyle name="Comma 8 4 35 3" xfId="34411"/>
    <cellStyle name="Comma 8 4 35 3 2" xfId="34412"/>
    <cellStyle name="Comma 8 4 35 4" xfId="34413"/>
    <cellStyle name="Comma 8 4 35 4 2" xfId="34414"/>
    <cellStyle name="Comma 8 4 35 5" xfId="34415"/>
    <cellStyle name="Comma 8 4 35 5 2" xfId="34416"/>
    <cellStyle name="Comma 8 4 35 6" xfId="34417"/>
    <cellStyle name="Comma 8 4 35 6 2" xfId="34418"/>
    <cellStyle name="Comma 8 4 35 7" xfId="34419"/>
    <cellStyle name="Comma 8 4 35 7 2" xfId="34420"/>
    <cellStyle name="Comma 8 4 35 8" xfId="34421"/>
    <cellStyle name="Comma 8 4 35 8 2" xfId="34422"/>
    <cellStyle name="Comma 8 4 35 9" xfId="34423"/>
    <cellStyle name="Comma 8 4 35 9 2" xfId="34424"/>
    <cellStyle name="Comma 8 4 36" xfId="34425"/>
    <cellStyle name="Comma 8 4 36 10" xfId="34426"/>
    <cellStyle name="Comma 8 4 36 10 2" xfId="34427"/>
    <cellStyle name="Comma 8 4 36 11" xfId="34428"/>
    <cellStyle name="Comma 8 4 36 11 2" xfId="34429"/>
    <cellStyle name="Comma 8 4 36 12" xfId="34430"/>
    <cellStyle name="Comma 8 4 36 2" xfId="34431"/>
    <cellStyle name="Comma 8 4 36 2 2" xfId="34432"/>
    <cellStyle name="Comma 8 4 36 3" xfId="34433"/>
    <cellStyle name="Comma 8 4 36 3 2" xfId="34434"/>
    <cellStyle name="Comma 8 4 36 4" xfId="34435"/>
    <cellStyle name="Comma 8 4 36 4 2" xfId="34436"/>
    <cellStyle name="Comma 8 4 36 5" xfId="34437"/>
    <cellStyle name="Comma 8 4 36 5 2" xfId="34438"/>
    <cellStyle name="Comma 8 4 36 6" xfId="34439"/>
    <cellStyle name="Comma 8 4 36 6 2" xfId="34440"/>
    <cellStyle name="Comma 8 4 36 7" xfId="34441"/>
    <cellStyle name="Comma 8 4 36 7 2" xfId="34442"/>
    <cellStyle name="Comma 8 4 36 8" xfId="34443"/>
    <cellStyle name="Comma 8 4 36 8 2" xfId="34444"/>
    <cellStyle name="Comma 8 4 36 9" xfId="34445"/>
    <cellStyle name="Comma 8 4 36 9 2" xfId="34446"/>
    <cellStyle name="Comma 8 4 37" xfId="34447"/>
    <cellStyle name="Comma 8 4 37 10" xfId="34448"/>
    <cellStyle name="Comma 8 4 37 10 2" xfId="34449"/>
    <cellStyle name="Comma 8 4 37 11" xfId="34450"/>
    <cellStyle name="Comma 8 4 37 11 2" xfId="34451"/>
    <cellStyle name="Comma 8 4 37 12" xfId="34452"/>
    <cellStyle name="Comma 8 4 37 2" xfId="34453"/>
    <cellStyle name="Comma 8 4 37 2 2" xfId="34454"/>
    <cellStyle name="Comma 8 4 37 3" xfId="34455"/>
    <cellStyle name="Comma 8 4 37 3 2" xfId="34456"/>
    <cellStyle name="Comma 8 4 37 4" xfId="34457"/>
    <cellStyle name="Comma 8 4 37 4 2" xfId="34458"/>
    <cellStyle name="Comma 8 4 37 5" xfId="34459"/>
    <cellStyle name="Comma 8 4 37 5 2" xfId="34460"/>
    <cellStyle name="Comma 8 4 37 6" xfId="34461"/>
    <cellStyle name="Comma 8 4 37 6 2" xfId="34462"/>
    <cellStyle name="Comma 8 4 37 7" xfId="34463"/>
    <cellStyle name="Comma 8 4 37 7 2" xfId="34464"/>
    <cellStyle name="Comma 8 4 37 8" xfId="34465"/>
    <cellStyle name="Comma 8 4 37 8 2" xfId="34466"/>
    <cellStyle name="Comma 8 4 37 9" xfId="34467"/>
    <cellStyle name="Comma 8 4 37 9 2" xfId="34468"/>
    <cellStyle name="Comma 8 4 38" xfId="34469"/>
    <cellStyle name="Comma 8 4 38 10" xfId="34470"/>
    <cellStyle name="Comma 8 4 38 10 2" xfId="34471"/>
    <cellStyle name="Comma 8 4 38 11" xfId="34472"/>
    <cellStyle name="Comma 8 4 38 11 2" xfId="34473"/>
    <cellStyle name="Comma 8 4 38 12" xfId="34474"/>
    <cellStyle name="Comma 8 4 38 2" xfId="34475"/>
    <cellStyle name="Comma 8 4 38 2 2" xfId="34476"/>
    <cellStyle name="Comma 8 4 38 3" xfId="34477"/>
    <cellStyle name="Comma 8 4 38 3 2" xfId="34478"/>
    <cellStyle name="Comma 8 4 38 4" xfId="34479"/>
    <cellStyle name="Comma 8 4 38 4 2" xfId="34480"/>
    <cellStyle name="Comma 8 4 38 5" xfId="34481"/>
    <cellStyle name="Comma 8 4 38 5 2" xfId="34482"/>
    <cellStyle name="Comma 8 4 38 6" xfId="34483"/>
    <cellStyle name="Comma 8 4 38 6 2" xfId="34484"/>
    <cellStyle name="Comma 8 4 38 7" xfId="34485"/>
    <cellStyle name="Comma 8 4 38 7 2" xfId="34486"/>
    <cellStyle name="Comma 8 4 38 8" xfId="34487"/>
    <cellStyle name="Comma 8 4 38 8 2" xfId="34488"/>
    <cellStyle name="Comma 8 4 38 9" xfId="34489"/>
    <cellStyle name="Comma 8 4 38 9 2" xfId="34490"/>
    <cellStyle name="Comma 8 4 39" xfId="34491"/>
    <cellStyle name="Comma 8 4 39 10" xfId="34492"/>
    <cellStyle name="Comma 8 4 39 10 2" xfId="34493"/>
    <cellStyle name="Comma 8 4 39 11" xfId="34494"/>
    <cellStyle name="Comma 8 4 39 11 2" xfId="34495"/>
    <cellStyle name="Comma 8 4 39 12" xfId="34496"/>
    <cellStyle name="Comma 8 4 39 2" xfId="34497"/>
    <cellStyle name="Comma 8 4 39 2 2" xfId="34498"/>
    <cellStyle name="Comma 8 4 39 3" xfId="34499"/>
    <cellStyle name="Comma 8 4 39 3 2" xfId="34500"/>
    <cellStyle name="Comma 8 4 39 4" xfId="34501"/>
    <cellStyle name="Comma 8 4 39 4 2" xfId="34502"/>
    <cellStyle name="Comma 8 4 39 5" xfId="34503"/>
    <cellStyle name="Comma 8 4 39 5 2" xfId="34504"/>
    <cellStyle name="Comma 8 4 39 6" xfId="34505"/>
    <cellStyle name="Comma 8 4 39 6 2" xfId="34506"/>
    <cellStyle name="Comma 8 4 39 7" xfId="34507"/>
    <cellStyle name="Comma 8 4 39 7 2" xfId="34508"/>
    <cellStyle name="Comma 8 4 39 8" xfId="34509"/>
    <cellStyle name="Comma 8 4 39 8 2" xfId="34510"/>
    <cellStyle name="Comma 8 4 39 9" xfId="34511"/>
    <cellStyle name="Comma 8 4 39 9 2" xfId="34512"/>
    <cellStyle name="Comma 8 4 4" xfId="34513"/>
    <cellStyle name="Comma 8 4 4 10" xfId="34514"/>
    <cellStyle name="Comma 8 4 4 10 2" xfId="34515"/>
    <cellStyle name="Comma 8 4 4 11" xfId="34516"/>
    <cellStyle name="Comma 8 4 4 11 2" xfId="34517"/>
    <cellStyle name="Comma 8 4 4 12" xfId="34518"/>
    <cellStyle name="Comma 8 4 4 2" xfId="34519"/>
    <cellStyle name="Comma 8 4 4 2 2" xfId="34520"/>
    <cellStyle name="Comma 8 4 4 3" xfId="34521"/>
    <cellStyle name="Comma 8 4 4 3 2" xfId="34522"/>
    <cellStyle name="Comma 8 4 4 4" xfId="34523"/>
    <cellStyle name="Comma 8 4 4 4 2" xfId="34524"/>
    <cellStyle name="Comma 8 4 4 5" xfId="34525"/>
    <cellStyle name="Comma 8 4 4 5 2" xfId="34526"/>
    <cellStyle name="Comma 8 4 4 6" xfId="34527"/>
    <cellStyle name="Comma 8 4 4 6 2" xfId="34528"/>
    <cellStyle name="Comma 8 4 4 7" xfId="34529"/>
    <cellStyle name="Comma 8 4 4 7 2" xfId="34530"/>
    <cellStyle name="Comma 8 4 4 8" xfId="34531"/>
    <cellStyle name="Comma 8 4 4 8 2" xfId="34532"/>
    <cellStyle name="Comma 8 4 4 9" xfId="34533"/>
    <cellStyle name="Comma 8 4 4 9 2" xfId="34534"/>
    <cellStyle name="Comma 8 4 40" xfId="34535"/>
    <cellStyle name="Comma 8 4 40 2" xfId="34536"/>
    <cellStyle name="Comma 8 4 41" xfId="34537"/>
    <cellStyle name="Comma 8 4 41 2" xfId="34538"/>
    <cellStyle name="Comma 8 4 42" xfId="34539"/>
    <cellStyle name="Comma 8 4 42 2" xfId="34540"/>
    <cellStyle name="Comma 8 4 43" xfId="34541"/>
    <cellStyle name="Comma 8 4 43 2" xfId="34542"/>
    <cellStyle name="Comma 8 4 44" xfId="34543"/>
    <cellStyle name="Comma 8 4 44 2" xfId="34544"/>
    <cellStyle name="Comma 8 4 45" xfId="34545"/>
    <cellStyle name="Comma 8 4 45 2" xfId="34546"/>
    <cellStyle name="Comma 8 4 46" xfId="34547"/>
    <cellStyle name="Comma 8 4 46 2" xfId="34548"/>
    <cellStyle name="Comma 8 4 47" xfId="34549"/>
    <cellStyle name="Comma 8 4 47 2" xfId="34550"/>
    <cellStyle name="Comma 8 4 48" xfId="34551"/>
    <cellStyle name="Comma 8 4 48 2" xfId="34552"/>
    <cellStyle name="Comma 8 4 49" xfId="34553"/>
    <cellStyle name="Comma 8 4 49 2" xfId="34554"/>
    <cellStyle name="Comma 8 4 5" xfId="34555"/>
    <cellStyle name="Comma 8 4 5 10" xfId="34556"/>
    <cellStyle name="Comma 8 4 5 10 2" xfId="34557"/>
    <cellStyle name="Comma 8 4 5 11" xfId="34558"/>
    <cellStyle name="Comma 8 4 5 11 2" xfId="34559"/>
    <cellStyle name="Comma 8 4 5 12" xfId="34560"/>
    <cellStyle name="Comma 8 4 5 2" xfId="34561"/>
    <cellStyle name="Comma 8 4 5 2 2" xfId="34562"/>
    <cellStyle name="Comma 8 4 5 3" xfId="34563"/>
    <cellStyle name="Comma 8 4 5 3 2" xfId="34564"/>
    <cellStyle name="Comma 8 4 5 4" xfId="34565"/>
    <cellStyle name="Comma 8 4 5 4 2" xfId="34566"/>
    <cellStyle name="Comma 8 4 5 5" xfId="34567"/>
    <cellStyle name="Comma 8 4 5 5 2" xfId="34568"/>
    <cellStyle name="Comma 8 4 5 6" xfId="34569"/>
    <cellStyle name="Comma 8 4 5 6 2" xfId="34570"/>
    <cellStyle name="Comma 8 4 5 7" xfId="34571"/>
    <cellStyle name="Comma 8 4 5 7 2" xfId="34572"/>
    <cellStyle name="Comma 8 4 5 8" xfId="34573"/>
    <cellStyle name="Comma 8 4 5 8 2" xfId="34574"/>
    <cellStyle name="Comma 8 4 5 9" xfId="34575"/>
    <cellStyle name="Comma 8 4 5 9 2" xfId="34576"/>
    <cellStyle name="Comma 8 4 50" xfId="34577"/>
    <cellStyle name="Comma 8 4 50 2" xfId="34578"/>
    <cellStyle name="Comma 8 4 51" xfId="34579"/>
    <cellStyle name="Comma 8 4 51 2" xfId="34580"/>
    <cellStyle name="Comma 8 4 52" xfId="34581"/>
    <cellStyle name="Comma 8 4 53" xfId="40098"/>
    <cellStyle name="Comma 8 4 54" xfId="41639"/>
    <cellStyle name="Comma 8 4 6" xfId="34582"/>
    <cellStyle name="Comma 8 4 6 10" xfId="34583"/>
    <cellStyle name="Comma 8 4 6 10 2" xfId="34584"/>
    <cellStyle name="Comma 8 4 6 11" xfId="34585"/>
    <cellStyle name="Comma 8 4 6 11 2" xfId="34586"/>
    <cellStyle name="Comma 8 4 6 12" xfId="34587"/>
    <cellStyle name="Comma 8 4 6 2" xfId="34588"/>
    <cellStyle name="Comma 8 4 6 2 2" xfId="34589"/>
    <cellStyle name="Comma 8 4 6 3" xfId="34590"/>
    <cellStyle name="Comma 8 4 6 3 2" xfId="34591"/>
    <cellStyle name="Comma 8 4 6 4" xfId="34592"/>
    <cellStyle name="Comma 8 4 6 4 2" xfId="34593"/>
    <cellStyle name="Comma 8 4 6 5" xfId="34594"/>
    <cellStyle name="Comma 8 4 6 5 2" xfId="34595"/>
    <cellStyle name="Comma 8 4 6 6" xfId="34596"/>
    <cellStyle name="Comma 8 4 6 6 2" xfId="34597"/>
    <cellStyle name="Comma 8 4 6 7" xfId="34598"/>
    <cellStyle name="Comma 8 4 6 7 2" xfId="34599"/>
    <cellStyle name="Comma 8 4 6 8" xfId="34600"/>
    <cellStyle name="Comma 8 4 6 8 2" xfId="34601"/>
    <cellStyle name="Comma 8 4 6 9" xfId="34602"/>
    <cellStyle name="Comma 8 4 6 9 2" xfId="34603"/>
    <cellStyle name="Comma 8 4 7" xfId="34604"/>
    <cellStyle name="Comma 8 4 7 10" xfId="34605"/>
    <cellStyle name="Comma 8 4 7 10 2" xfId="34606"/>
    <cellStyle name="Comma 8 4 7 11" xfId="34607"/>
    <cellStyle name="Comma 8 4 7 11 2" xfId="34608"/>
    <cellStyle name="Comma 8 4 7 12" xfId="34609"/>
    <cellStyle name="Comma 8 4 7 2" xfId="34610"/>
    <cellStyle name="Comma 8 4 7 2 2" xfId="34611"/>
    <cellStyle name="Comma 8 4 7 3" xfId="34612"/>
    <cellStyle name="Comma 8 4 7 3 2" xfId="34613"/>
    <cellStyle name="Comma 8 4 7 4" xfId="34614"/>
    <cellStyle name="Comma 8 4 7 4 2" xfId="34615"/>
    <cellStyle name="Comma 8 4 7 5" xfId="34616"/>
    <cellStyle name="Comma 8 4 7 5 2" xfId="34617"/>
    <cellStyle name="Comma 8 4 7 6" xfId="34618"/>
    <cellStyle name="Comma 8 4 7 6 2" xfId="34619"/>
    <cellStyle name="Comma 8 4 7 7" xfId="34620"/>
    <cellStyle name="Comma 8 4 7 7 2" xfId="34621"/>
    <cellStyle name="Comma 8 4 7 8" xfId="34622"/>
    <cellStyle name="Comma 8 4 7 8 2" xfId="34623"/>
    <cellStyle name="Comma 8 4 7 9" xfId="34624"/>
    <cellStyle name="Comma 8 4 7 9 2" xfId="34625"/>
    <cellStyle name="Comma 8 4 8" xfId="34626"/>
    <cellStyle name="Comma 8 4 8 10" xfId="34627"/>
    <cellStyle name="Comma 8 4 8 10 2" xfId="34628"/>
    <cellStyle name="Comma 8 4 8 11" xfId="34629"/>
    <cellStyle name="Comma 8 4 8 11 2" xfId="34630"/>
    <cellStyle name="Comma 8 4 8 12" xfId="34631"/>
    <cellStyle name="Comma 8 4 8 2" xfId="34632"/>
    <cellStyle name="Comma 8 4 8 2 2" xfId="34633"/>
    <cellStyle name="Comma 8 4 8 3" xfId="34634"/>
    <cellStyle name="Comma 8 4 8 3 2" xfId="34635"/>
    <cellStyle name="Comma 8 4 8 4" xfId="34636"/>
    <cellStyle name="Comma 8 4 8 4 2" xfId="34637"/>
    <cellStyle name="Comma 8 4 8 5" xfId="34638"/>
    <cellStyle name="Comma 8 4 8 5 2" xfId="34639"/>
    <cellStyle name="Comma 8 4 8 6" xfId="34640"/>
    <cellStyle name="Comma 8 4 8 6 2" xfId="34641"/>
    <cellStyle name="Comma 8 4 8 7" xfId="34642"/>
    <cellStyle name="Comma 8 4 8 7 2" xfId="34643"/>
    <cellStyle name="Comma 8 4 8 8" xfId="34644"/>
    <cellStyle name="Comma 8 4 8 8 2" xfId="34645"/>
    <cellStyle name="Comma 8 4 8 9" xfId="34646"/>
    <cellStyle name="Comma 8 4 8 9 2" xfId="34647"/>
    <cellStyle name="Comma 8 4 9" xfId="34648"/>
    <cellStyle name="Comma 8 4 9 10" xfId="34649"/>
    <cellStyle name="Comma 8 4 9 10 2" xfId="34650"/>
    <cellStyle name="Comma 8 4 9 11" xfId="34651"/>
    <cellStyle name="Comma 8 4 9 11 2" xfId="34652"/>
    <cellStyle name="Comma 8 4 9 12" xfId="34653"/>
    <cellStyle name="Comma 8 4 9 2" xfId="34654"/>
    <cellStyle name="Comma 8 4 9 2 2" xfId="34655"/>
    <cellStyle name="Comma 8 4 9 3" xfId="34656"/>
    <cellStyle name="Comma 8 4 9 3 2" xfId="34657"/>
    <cellStyle name="Comma 8 4 9 4" xfId="34658"/>
    <cellStyle name="Comma 8 4 9 4 2" xfId="34659"/>
    <cellStyle name="Comma 8 4 9 5" xfId="34660"/>
    <cellStyle name="Comma 8 4 9 5 2" xfId="34661"/>
    <cellStyle name="Comma 8 4 9 6" xfId="34662"/>
    <cellStyle name="Comma 8 4 9 6 2" xfId="34663"/>
    <cellStyle name="Comma 8 4 9 7" xfId="34664"/>
    <cellStyle name="Comma 8 4 9 7 2" xfId="34665"/>
    <cellStyle name="Comma 8 4 9 8" xfId="34666"/>
    <cellStyle name="Comma 8 4 9 8 2" xfId="34667"/>
    <cellStyle name="Comma 8 4 9 9" xfId="34668"/>
    <cellStyle name="Comma 8 4 9 9 2" xfId="34669"/>
    <cellStyle name="Comma 8 4_consumption scenario A" xfId="37645"/>
    <cellStyle name="Comma 8 40" xfId="34670"/>
    <cellStyle name="Comma 8 40 10" xfId="34671"/>
    <cellStyle name="Comma 8 40 10 2" xfId="34672"/>
    <cellStyle name="Comma 8 40 11" xfId="34673"/>
    <cellStyle name="Comma 8 40 11 2" xfId="34674"/>
    <cellStyle name="Comma 8 40 12" xfId="34675"/>
    <cellStyle name="Comma 8 40 2" xfId="34676"/>
    <cellStyle name="Comma 8 40 2 2" xfId="34677"/>
    <cellStyle name="Comma 8 40 3" xfId="34678"/>
    <cellStyle name="Comma 8 40 3 2" xfId="34679"/>
    <cellStyle name="Comma 8 40 4" xfId="34680"/>
    <cellStyle name="Comma 8 40 4 2" xfId="34681"/>
    <cellStyle name="Comma 8 40 5" xfId="34682"/>
    <cellStyle name="Comma 8 40 5 2" xfId="34683"/>
    <cellStyle name="Comma 8 40 6" xfId="34684"/>
    <cellStyle name="Comma 8 40 6 2" xfId="34685"/>
    <cellStyle name="Comma 8 40 7" xfId="34686"/>
    <cellStyle name="Comma 8 40 7 2" xfId="34687"/>
    <cellStyle name="Comma 8 40 8" xfId="34688"/>
    <cellStyle name="Comma 8 40 8 2" xfId="34689"/>
    <cellStyle name="Comma 8 40 9" xfId="34690"/>
    <cellStyle name="Comma 8 40 9 2" xfId="34691"/>
    <cellStyle name="Comma 8 41" xfId="34692"/>
    <cellStyle name="Comma 8 41 10" xfId="34693"/>
    <cellStyle name="Comma 8 41 10 2" xfId="34694"/>
    <cellStyle name="Comma 8 41 11" xfId="34695"/>
    <cellStyle name="Comma 8 41 11 2" xfId="34696"/>
    <cellStyle name="Comma 8 41 12" xfId="34697"/>
    <cellStyle name="Comma 8 41 2" xfId="34698"/>
    <cellStyle name="Comma 8 41 2 2" xfId="34699"/>
    <cellStyle name="Comma 8 41 3" xfId="34700"/>
    <cellStyle name="Comma 8 41 3 2" xfId="34701"/>
    <cellStyle name="Comma 8 41 4" xfId="34702"/>
    <cellStyle name="Comma 8 41 4 2" xfId="34703"/>
    <cellStyle name="Comma 8 41 5" xfId="34704"/>
    <cellStyle name="Comma 8 41 5 2" xfId="34705"/>
    <cellStyle name="Comma 8 41 6" xfId="34706"/>
    <cellStyle name="Comma 8 41 6 2" xfId="34707"/>
    <cellStyle name="Comma 8 41 7" xfId="34708"/>
    <cellStyle name="Comma 8 41 7 2" xfId="34709"/>
    <cellStyle name="Comma 8 41 8" xfId="34710"/>
    <cellStyle name="Comma 8 41 8 2" xfId="34711"/>
    <cellStyle name="Comma 8 41 9" xfId="34712"/>
    <cellStyle name="Comma 8 41 9 2" xfId="34713"/>
    <cellStyle name="Comma 8 42" xfId="34714"/>
    <cellStyle name="Comma 8 42 10" xfId="34715"/>
    <cellStyle name="Comma 8 42 10 2" xfId="34716"/>
    <cellStyle name="Comma 8 42 11" xfId="34717"/>
    <cellStyle name="Comma 8 42 11 2" xfId="34718"/>
    <cellStyle name="Comma 8 42 12" xfId="34719"/>
    <cellStyle name="Comma 8 42 2" xfId="34720"/>
    <cellStyle name="Comma 8 42 2 2" xfId="34721"/>
    <cellStyle name="Comma 8 42 3" xfId="34722"/>
    <cellStyle name="Comma 8 42 3 2" xfId="34723"/>
    <cellStyle name="Comma 8 42 4" xfId="34724"/>
    <cellStyle name="Comma 8 42 4 2" xfId="34725"/>
    <cellStyle name="Comma 8 42 5" xfId="34726"/>
    <cellStyle name="Comma 8 42 5 2" xfId="34727"/>
    <cellStyle name="Comma 8 42 6" xfId="34728"/>
    <cellStyle name="Comma 8 42 6 2" xfId="34729"/>
    <cellStyle name="Comma 8 42 7" xfId="34730"/>
    <cellStyle name="Comma 8 42 7 2" xfId="34731"/>
    <cellStyle name="Comma 8 42 8" xfId="34732"/>
    <cellStyle name="Comma 8 42 8 2" xfId="34733"/>
    <cellStyle name="Comma 8 42 9" xfId="34734"/>
    <cellStyle name="Comma 8 42 9 2" xfId="34735"/>
    <cellStyle name="Comma 8 43" xfId="34736"/>
    <cellStyle name="Comma 8 43 10" xfId="34737"/>
    <cellStyle name="Comma 8 43 10 2" xfId="34738"/>
    <cellStyle name="Comma 8 43 11" xfId="34739"/>
    <cellStyle name="Comma 8 43 11 2" xfId="34740"/>
    <cellStyle name="Comma 8 43 12" xfId="34741"/>
    <cellStyle name="Comma 8 43 2" xfId="34742"/>
    <cellStyle name="Comma 8 43 2 2" xfId="34743"/>
    <cellStyle name="Comma 8 43 3" xfId="34744"/>
    <cellStyle name="Comma 8 43 3 2" xfId="34745"/>
    <cellStyle name="Comma 8 43 4" xfId="34746"/>
    <cellStyle name="Comma 8 43 4 2" xfId="34747"/>
    <cellStyle name="Comma 8 43 5" xfId="34748"/>
    <cellStyle name="Comma 8 43 5 2" xfId="34749"/>
    <cellStyle name="Comma 8 43 6" xfId="34750"/>
    <cellStyle name="Comma 8 43 6 2" xfId="34751"/>
    <cellStyle name="Comma 8 43 7" xfId="34752"/>
    <cellStyle name="Comma 8 43 7 2" xfId="34753"/>
    <cellStyle name="Comma 8 43 8" xfId="34754"/>
    <cellStyle name="Comma 8 43 8 2" xfId="34755"/>
    <cellStyle name="Comma 8 43 9" xfId="34756"/>
    <cellStyle name="Comma 8 43 9 2" xfId="34757"/>
    <cellStyle name="Comma 8 44" xfId="34758"/>
    <cellStyle name="Comma 8 44 10" xfId="34759"/>
    <cellStyle name="Comma 8 44 10 2" xfId="34760"/>
    <cellStyle name="Comma 8 44 11" xfId="34761"/>
    <cellStyle name="Comma 8 44 11 2" xfId="34762"/>
    <cellStyle name="Comma 8 44 12" xfId="34763"/>
    <cellStyle name="Comma 8 44 2" xfId="34764"/>
    <cellStyle name="Comma 8 44 2 2" xfId="34765"/>
    <cellStyle name="Comma 8 44 3" xfId="34766"/>
    <cellStyle name="Comma 8 44 3 2" xfId="34767"/>
    <cellStyle name="Comma 8 44 4" xfId="34768"/>
    <cellStyle name="Comma 8 44 4 2" xfId="34769"/>
    <cellStyle name="Comma 8 44 5" xfId="34770"/>
    <cellStyle name="Comma 8 44 5 2" xfId="34771"/>
    <cellStyle name="Comma 8 44 6" xfId="34772"/>
    <cellStyle name="Comma 8 44 6 2" xfId="34773"/>
    <cellStyle name="Comma 8 44 7" xfId="34774"/>
    <cellStyle name="Comma 8 44 7 2" xfId="34775"/>
    <cellStyle name="Comma 8 44 8" xfId="34776"/>
    <cellStyle name="Comma 8 44 8 2" xfId="34777"/>
    <cellStyle name="Comma 8 44 9" xfId="34778"/>
    <cellStyle name="Comma 8 44 9 2" xfId="34779"/>
    <cellStyle name="Comma 8 45" xfId="34780"/>
    <cellStyle name="Comma 8 45 2" xfId="34781"/>
    <cellStyle name="Comma 8 46" xfId="34782"/>
    <cellStyle name="Comma 8 46 2" xfId="34783"/>
    <cellStyle name="Comma 8 47" xfId="34784"/>
    <cellStyle name="Comma 8 47 2" xfId="34785"/>
    <cellStyle name="Comma 8 48" xfId="34786"/>
    <cellStyle name="Comma 8 48 2" xfId="34787"/>
    <cellStyle name="Comma 8 49" xfId="34788"/>
    <cellStyle name="Comma 8 49 2" xfId="34789"/>
    <cellStyle name="Comma 8 5" xfId="34790"/>
    <cellStyle name="Comma 8 5 10" xfId="34791"/>
    <cellStyle name="Comma 8 5 10 10" xfId="34792"/>
    <cellStyle name="Comma 8 5 10 10 2" xfId="34793"/>
    <cellStyle name="Comma 8 5 10 11" xfId="34794"/>
    <cellStyle name="Comma 8 5 10 11 2" xfId="34795"/>
    <cellStyle name="Comma 8 5 10 12" xfId="34796"/>
    <cellStyle name="Comma 8 5 10 2" xfId="34797"/>
    <cellStyle name="Comma 8 5 10 2 2" xfId="34798"/>
    <cellStyle name="Comma 8 5 10 3" xfId="34799"/>
    <cellStyle name="Comma 8 5 10 3 2" xfId="34800"/>
    <cellStyle name="Comma 8 5 10 4" xfId="34801"/>
    <cellStyle name="Comma 8 5 10 4 2" xfId="34802"/>
    <cellStyle name="Comma 8 5 10 5" xfId="34803"/>
    <cellStyle name="Comma 8 5 10 5 2" xfId="34804"/>
    <cellStyle name="Comma 8 5 10 6" xfId="34805"/>
    <cellStyle name="Comma 8 5 10 6 2" xfId="34806"/>
    <cellStyle name="Comma 8 5 10 7" xfId="34807"/>
    <cellStyle name="Comma 8 5 10 7 2" xfId="34808"/>
    <cellStyle name="Comma 8 5 10 8" xfId="34809"/>
    <cellStyle name="Comma 8 5 10 8 2" xfId="34810"/>
    <cellStyle name="Comma 8 5 10 9" xfId="34811"/>
    <cellStyle name="Comma 8 5 10 9 2" xfId="34812"/>
    <cellStyle name="Comma 8 5 11" xfId="34813"/>
    <cellStyle name="Comma 8 5 11 10" xfId="34814"/>
    <cellStyle name="Comma 8 5 11 10 2" xfId="34815"/>
    <cellStyle name="Comma 8 5 11 11" xfId="34816"/>
    <cellStyle name="Comma 8 5 11 11 2" xfId="34817"/>
    <cellStyle name="Comma 8 5 11 12" xfId="34818"/>
    <cellStyle name="Comma 8 5 11 2" xfId="34819"/>
    <cellStyle name="Comma 8 5 11 2 2" xfId="34820"/>
    <cellStyle name="Comma 8 5 11 3" xfId="34821"/>
    <cellStyle name="Comma 8 5 11 3 2" xfId="34822"/>
    <cellStyle name="Comma 8 5 11 4" xfId="34823"/>
    <cellStyle name="Comma 8 5 11 4 2" xfId="34824"/>
    <cellStyle name="Comma 8 5 11 5" xfId="34825"/>
    <cellStyle name="Comma 8 5 11 5 2" xfId="34826"/>
    <cellStyle name="Comma 8 5 11 6" xfId="34827"/>
    <cellStyle name="Comma 8 5 11 6 2" xfId="34828"/>
    <cellStyle name="Comma 8 5 11 7" xfId="34829"/>
    <cellStyle name="Comma 8 5 11 7 2" xfId="34830"/>
    <cellStyle name="Comma 8 5 11 8" xfId="34831"/>
    <cellStyle name="Comma 8 5 11 8 2" xfId="34832"/>
    <cellStyle name="Comma 8 5 11 9" xfId="34833"/>
    <cellStyle name="Comma 8 5 11 9 2" xfId="34834"/>
    <cellStyle name="Comma 8 5 12" xfId="34835"/>
    <cellStyle name="Comma 8 5 12 10" xfId="34836"/>
    <cellStyle name="Comma 8 5 12 10 2" xfId="34837"/>
    <cellStyle name="Comma 8 5 12 11" xfId="34838"/>
    <cellStyle name="Comma 8 5 12 11 2" xfId="34839"/>
    <cellStyle name="Comma 8 5 12 12" xfId="34840"/>
    <cellStyle name="Comma 8 5 12 2" xfId="34841"/>
    <cellStyle name="Comma 8 5 12 2 2" xfId="34842"/>
    <cellStyle name="Comma 8 5 12 3" xfId="34843"/>
    <cellStyle name="Comma 8 5 12 3 2" xfId="34844"/>
    <cellStyle name="Comma 8 5 12 4" xfId="34845"/>
    <cellStyle name="Comma 8 5 12 4 2" xfId="34846"/>
    <cellStyle name="Comma 8 5 12 5" xfId="34847"/>
    <cellStyle name="Comma 8 5 12 5 2" xfId="34848"/>
    <cellStyle name="Comma 8 5 12 6" xfId="34849"/>
    <cellStyle name="Comma 8 5 12 6 2" xfId="34850"/>
    <cellStyle name="Comma 8 5 12 7" xfId="34851"/>
    <cellStyle name="Comma 8 5 12 7 2" xfId="34852"/>
    <cellStyle name="Comma 8 5 12 8" xfId="34853"/>
    <cellStyle name="Comma 8 5 12 8 2" xfId="34854"/>
    <cellStyle name="Comma 8 5 12 9" xfId="34855"/>
    <cellStyle name="Comma 8 5 12 9 2" xfId="34856"/>
    <cellStyle name="Comma 8 5 13" xfId="34857"/>
    <cellStyle name="Comma 8 5 13 10" xfId="34858"/>
    <cellStyle name="Comma 8 5 13 10 2" xfId="34859"/>
    <cellStyle name="Comma 8 5 13 11" xfId="34860"/>
    <cellStyle name="Comma 8 5 13 11 2" xfId="34861"/>
    <cellStyle name="Comma 8 5 13 12" xfId="34862"/>
    <cellStyle name="Comma 8 5 13 2" xfId="34863"/>
    <cellStyle name="Comma 8 5 13 2 2" xfId="34864"/>
    <cellStyle name="Comma 8 5 13 3" xfId="34865"/>
    <cellStyle name="Comma 8 5 13 3 2" xfId="34866"/>
    <cellStyle name="Comma 8 5 13 4" xfId="34867"/>
    <cellStyle name="Comma 8 5 13 4 2" xfId="34868"/>
    <cellStyle name="Comma 8 5 13 5" xfId="34869"/>
    <cellStyle name="Comma 8 5 13 5 2" xfId="34870"/>
    <cellStyle name="Comma 8 5 13 6" xfId="34871"/>
    <cellStyle name="Comma 8 5 13 6 2" xfId="34872"/>
    <cellStyle name="Comma 8 5 13 7" xfId="34873"/>
    <cellStyle name="Comma 8 5 13 7 2" xfId="34874"/>
    <cellStyle name="Comma 8 5 13 8" xfId="34875"/>
    <cellStyle name="Comma 8 5 13 8 2" xfId="34876"/>
    <cellStyle name="Comma 8 5 13 9" xfId="34877"/>
    <cellStyle name="Comma 8 5 13 9 2" xfId="34878"/>
    <cellStyle name="Comma 8 5 14" xfId="34879"/>
    <cellStyle name="Comma 8 5 14 10" xfId="34880"/>
    <cellStyle name="Comma 8 5 14 10 2" xfId="34881"/>
    <cellStyle name="Comma 8 5 14 11" xfId="34882"/>
    <cellStyle name="Comma 8 5 14 11 2" xfId="34883"/>
    <cellStyle name="Comma 8 5 14 12" xfId="34884"/>
    <cellStyle name="Comma 8 5 14 2" xfId="34885"/>
    <cellStyle name="Comma 8 5 14 2 2" xfId="34886"/>
    <cellStyle name="Comma 8 5 14 3" xfId="34887"/>
    <cellStyle name="Comma 8 5 14 3 2" xfId="34888"/>
    <cellStyle name="Comma 8 5 14 4" xfId="34889"/>
    <cellStyle name="Comma 8 5 14 4 2" xfId="34890"/>
    <cellStyle name="Comma 8 5 14 5" xfId="34891"/>
    <cellStyle name="Comma 8 5 14 5 2" xfId="34892"/>
    <cellStyle name="Comma 8 5 14 6" xfId="34893"/>
    <cellStyle name="Comma 8 5 14 6 2" xfId="34894"/>
    <cellStyle name="Comma 8 5 14 7" xfId="34895"/>
    <cellStyle name="Comma 8 5 14 7 2" xfId="34896"/>
    <cellStyle name="Comma 8 5 14 8" xfId="34897"/>
    <cellStyle name="Comma 8 5 14 8 2" xfId="34898"/>
    <cellStyle name="Comma 8 5 14 9" xfId="34899"/>
    <cellStyle name="Comma 8 5 14 9 2" xfId="34900"/>
    <cellStyle name="Comma 8 5 15" xfId="34901"/>
    <cellStyle name="Comma 8 5 15 10" xfId="34902"/>
    <cellStyle name="Comma 8 5 15 10 2" xfId="34903"/>
    <cellStyle name="Comma 8 5 15 11" xfId="34904"/>
    <cellStyle name="Comma 8 5 15 11 2" xfId="34905"/>
    <cellStyle name="Comma 8 5 15 12" xfId="34906"/>
    <cellStyle name="Comma 8 5 15 2" xfId="34907"/>
    <cellStyle name="Comma 8 5 15 2 2" xfId="34908"/>
    <cellStyle name="Comma 8 5 15 3" xfId="34909"/>
    <cellStyle name="Comma 8 5 15 3 2" xfId="34910"/>
    <cellStyle name="Comma 8 5 15 4" xfId="34911"/>
    <cellStyle name="Comma 8 5 15 4 2" xfId="34912"/>
    <cellStyle name="Comma 8 5 15 5" xfId="34913"/>
    <cellStyle name="Comma 8 5 15 5 2" xfId="34914"/>
    <cellStyle name="Comma 8 5 15 6" xfId="34915"/>
    <cellStyle name="Comma 8 5 15 6 2" xfId="34916"/>
    <cellStyle name="Comma 8 5 15 7" xfId="34917"/>
    <cellStyle name="Comma 8 5 15 7 2" xfId="34918"/>
    <cellStyle name="Comma 8 5 15 8" xfId="34919"/>
    <cellStyle name="Comma 8 5 15 8 2" xfId="34920"/>
    <cellStyle name="Comma 8 5 15 9" xfId="34921"/>
    <cellStyle name="Comma 8 5 15 9 2" xfId="34922"/>
    <cellStyle name="Comma 8 5 16" xfId="34923"/>
    <cellStyle name="Comma 8 5 16 2" xfId="34924"/>
    <cellStyle name="Comma 8 5 17" xfId="34925"/>
    <cellStyle name="Comma 8 5 17 2" xfId="34926"/>
    <cellStyle name="Comma 8 5 18" xfId="34927"/>
    <cellStyle name="Comma 8 5 18 2" xfId="34928"/>
    <cellStyle name="Comma 8 5 19" xfId="34929"/>
    <cellStyle name="Comma 8 5 19 2" xfId="34930"/>
    <cellStyle name="Comma 8 5 2" xfId="34931"/>
    <cellStyle name="Comma 8 5 2 10" xfId="34932"/>
    <cellStyle name="Comma 8 5 2 10 2" xfId="34933"/>
    <cellStyle name="Comma 8 5 2 11" xfId="34934"/>
    <cellStyle name="Comma 8 5 2 11 2" xfId="34935"/>
    <cellStyle name="Comma 8 5 2 12" xfId="34936"/>
    <cellStyle name="Comma 8 5 2 2" xfId="34937"/>
    <cellStyle name="Comma 8 5 2 2 2" xfId="34938"/>
    <cellStyle name="Comma 8 5 2 3" xfId="34939"/>
    <cellStyle name="Comma 8 5 2 3 2" xfId="34940"/>
    <cellStyle name="Comma 8 5 2 4" xfId="34941"/>
    <cellStyle name="Comma 8 5 2 4 2" xfId="34942"/>
    <cellStyle name="Comma 8 5 2 5" xfId="34943"/>
    <cellStyle name="Comma 8 5 2 5 2" xfId="34944"/>
    <cellStyle name="Comma 8 5 2 6" xfId="34945"/>
    <cellStyle name="Comma 8 5 2 6 2" xfId="34946"/>
    <cellStyle name="Comma 8 5 2 7" xfId="34947"/>
    <cellStyle name="Comma 8 5 2 7 2" xfId="34948"/>
    <cellStyle name="Comma 8 5 2 8" xfId="34949"/>
    <cellStyle name="Comma 8 5 2 8 2" xfId="34950"/>
    <cellStyle name="Comma 8 5 2 9" xfId="34951"/>
    <cellStyle name="Comma 8 5 2 9 2" xfId="34952"/>
    <cellStyle name="Comma 8 5 20" xfId="34953"/>
    <cellStyle name="Comma 8 5 20 2" xfId="34954"/>
    <cellStyle name="Comma 8 5 21" xfId="34955"/>
    <cellStyle name="Comma 8 5 21 2" xfId="34956"/>
    <cellStyle name="Comma 8 5 22" xfId="34957"/>
    <cellStyle name="Comma 8 5 22 2" xfId="34958"/>
    <cellStyle name="Comma 8 5 23" xfId="34959"/>
    <cellStyle name="Comma 8 5 23 2" xfId="34960"/>
    <cellStyle name="Comma 8 5 24" xfId="34961"/>
    <cellStyle name="Comma 8 5 24 2" xfId="34962"/>
    <cellStyle name="Comma 8 5 25" xfId="34963"/>
    <cellStyle name="Comma 8 5 25 2" xfId="34964"/>
    <cellStyle name="Comma 8 5 26" xfId="34965"/>
    <cellStyle name="Comma 8 5 3" xfId="34966"/>
    <cellStyle name="Comma 8 5 3 10" xfId="34967"/>
    <cellStyle name="Comma 8 5 3 10 2" xfId="34968"/>
    <cellStyle name="Comma 8 5 3 11" xfId="34969"/>
    <cellStyle name="Comma 8 5 3 11 2" xfId="34970"/>
    <cellStyle name="Comma 8 5 3 12" xfId="34971"/>
    <cellStyle name="Comma 8 5 3 2" xfId="34972"/>
    <cellStyle name="Comma 8 5 3 2 2" xfId="34973"/>
    <cellStyle name="Comma 8 5 3 3" xfId="34974"/>
    <cellStyle name="Comma 8 5 3 3 2" xfId="34975"/>
    <cellStyle name="Comma 8 5 3 4" xfId="34976"/>
    <cellStyle name="Comma 8 5 3 4 2" xfId="34977"/>
    <cellStyle name="Comma 8 5 3 5" xfId="34978"/>
    <cellStyle name="Comma 8 5 3 5 2" xfId="34979"/>
    <cellStyle name="Comma 8 5 3 6" xfId="34980"/>
    <cellStyle name="Comma 8 5 3 6 2" xfId="34981"/>
    <cellStyle name="Comma 8 5 3 7" xfId="34982"/>
    <cellStyle name="Comma 8 5 3 7 2" xfId="34983"/>
    <cellStyle name="Comma 8 5 3 8" xfId="34984"/>
    <cellStyle name="Comma 8 5 3 8 2" xfId="34985"/>
    <cellStyle name="Comma 8 5 3 9" xfId="34986"/>
    <cellStyle name="Comma 8 5 3 9 2" xfId="34987"/>
    <cellStyle name="Comma 8 5 4" xfId="34988"/>
    <cellStyle name="Comma 8 5 4 10" xfId="34989"/>
    <cellStyle name="Comma 8 5 4 10 2" xfId="34990"/>
    <cellStyle name="Comma 8 5 4 11" xfId="34991"/>
    <cellStyle name="Comma 8 5 4 11 2" xfId="34992"/>
    <cellStyle name="Comma 8 5 4 12" xfId="34993"/>
    <cellStyle name="Comma 8 5 4 2" xfId="34994"/>
    <cellStyle name="Comma 8 5 4 2 2" xfId="34995"/>
    <cellStyle name="Comma 8 5 4 3" xfId="34996"/>
    <cellStyle name="Comma 8 5 4 3 2" xfId="34997"/>
    <cellStyle name="Comma 8 5 4 4" xfId="34998"/>
    <cellStyle name="Comma 8 5 4 4 2" xfId="34999"/>
    <cellStyle name="Comma 8 5 4 5" xfId="35000"/>
    <cellStyle name="Comma 8 5 4 5 2" xfId="35001"/>
    <cellStyle name="Comma 8 5 4 6" xfId="35002"/>
    <cellStyle name="Comma 8 5 4 6 2" xfId="35003"/>
    <cellStyle name="Comma 8 5 4 7" xfId="35004"/>
    <cellStyle name="Comma 8 5 4 7 2" xfId="35005"/>
    <cellStyle name="Comma 8 5 4 8" xfId="35006"/>
    <cellStyle name="Comma 8 5 4 8 2" xfId="35007"/>
    <cellStyle name="Comma 8 5 4 9" xfId="35008"/>
    <cellStyle name="Comma 8 5 4 9 2" xfId="35009"/>
    <cellStyle name="Comma 8 5 5" xfId="35010"/>
    <cellStyle name="Comma 8 5 5 10" xfId="35011"/>
    <cellStyle name="Comma 8 5 5 10 2" xfId="35012"/>
    <cellStyle name="Comma 8 5 5 11" xfId="35013"/>
    <cellStyle name="Comma 8 5 5 11 2" xfId="35014"/>
    <cellStyle name="Comma 8 5 5 12" xfId="35015"/>
    <cellStyle name="Comma 8 5 5 2" xfId="35016"/>
    <cellStyle name="Comma 8 5 5 2 2" xfId="35017"/>
    <cellStyle name="Comma 8 5 5 3" xfId="35018"/>
    <cellStyle name="Comma 8 5 5 3 2" xfId="35019"/>
    <cellStyle name="Comma 8 5 5 4" xfId="35020"/>
    <cellStyle name="Comma 8 5 5 4 2" xfId="35021"/>
    <cellStyle name="Comma 8 5 5 5" xfId="35022"/>
    <cellStyle name="Comma 8 5 5 5 2" xfId="35023"/>
    <cellStyle name="Comma 8 5 5 6" xfId="35024"/>
    <cellStyle name="Comma 8 5 5 6 2" xfId="35025"/>
    <cellStyle name="Comma 8 5 5 7" xfId="35026"/>
    <cellStyle name="Comma 8 5 5 7 2" xfId="35027"/>
    <cellStyle name="Comma 8 5 5 8" xfId="35028"/>
    <cellStyle name="Comma 8 5 5 8 2" xfId="35029"/>
    <cellStyle name="Comma 8 5 5 9" xfId="35030"/>
    <cellStyle name="Comma 8 5 5 9 2" xfId="35031"/>
    <cellStyle name="Comma 8 5 6" xfId="35032"/>
    <cellStyle name="Comma 8 5 6 10" xfId="35033"/>
    <cellStyle name="Comma 8 5 6 10 2" xfId="35034"/>
    <cellStyle name="Comma 8 5 6 11" xfId="35035"/>
    <cellStyle name="Comma 8 5 6 11 2" xfId="35036"/>
    <cellStyle name="Comma 8 5 6 12" xfId="35037"/>
    <cellStyle name="Comma 8 5 6 2" xfId="35038"/>
    <cellStyle name="Comma 8 5 6 2 2" xfId="35039"/>
    <cellStyle name="Comma 8 5 6 3" xfId="35040"/>
    <cellStyle name="Comma 8 5 6 3 2" xfId="35041"/>
    <cellStyle name="Comma 8 5 6 4" xfId="35042"/>
    <cellStyle name="Comma 8 5 6 4 2" xfId="35043"/>
    <cellStyle name="Comma 8 5 6 5" xfId="35044"/>
    <cellStyle name="Comma 8 5 6 5 2" xfId="35045"/>
    <cellStyle name="Comma 8 5 6 6" xfId="35046"/>
    <cellStyle name="Comma 8 5 6 6 2" xfId="35047"/>
    <cellStyle name="Comma 8 5 6 7" xfId="35048"/>
    <cellStyle name="Comma 8 5 6 7 2" xfId="35049"/>
    <cellStyle name="Comma 8 5 6 8" xfId="35050"/>
    <cellStyle name="Comma 8 5 6 8 2" xfId="35051"/>
    <cellStyle name="Comma 8 5 6 9" xfId="35052"/>
    <cellStyle name="Comma 8 5 6 9 2" xfId="35053"/>
    <cellStyle name="Comma 8 5 7" xfId="35054"/>
    <cellStyle name="Comma 8 5 7 10" xfId="35055"/>
    <cellStyle name="Comma 8 5 7 10 2" xfId="35056"/>
    <cellStyle name="Comma 8 5 7 11" xfId="35057"/>
    <cellStyle name="Comma 8 5 7 11 2" xfId="35058"/>
    <cellStyle name="Comma 8 5 7 12" xfId="35059"/>
    <cellStyle name="Comma 8 5 7 2" xfId="35060"/>
    <cellStyle name="Comma 8 5 7 2 2" xfId="35061"/>
    <cellStyle name="Comma 8 5 7 3" xfId="35062"/>
    <cellStyle name="Comma 8 5 7 3 2" xfId="35063"/>
    <cellStyle name="Comma 8 5 7 4" xfId="35064"/>
    <cellStyle name="Comma 8 5 7 4 2" xfId="35065"/>
    <cellStyle name="Comma 8 5 7 5" xfId="35066"/>
    <cellStyle name="Comma 8 5 7 5 2" xfId="35067"/>
    <cellStyle name="Comma 8 5 7 6" xfId="35068"/>
    <cellStyle name="Comma 8 5 7 6 2" xfId="35069"/>
    <cellStyle name="Comma 8 5 7 7" xfId="35070"/>
    <cellStyle name="Comma 8 5 7 7 2" xfId="35071"/>
    <cellStyle name="Comma 8 5 7 8" xfId="35072"/>
    <cellStyle name="Comma 8 5 7 8 2" xfId="35073"/>
    <cellStyle name="Comma 8 5 7 9" xfId="35074"/>
    <cellStyle name="Comma 8 5 7 9 2" xfId="35075"/>
    <cellStyle name="Comma 8 5 8" xfId="35076"/>
    <cellStyle name="Comma 8 5 8 10" xfId="35077"/>
    <cellStyle name="Comma 8 5 8 10 2" xfId="35078"/>
    <cellStyle name="Comma 8 5 8 11" xfId="35079"/>
    <cellStyle name="Comma 8 5 8 11 2" xfId="35080"/>
    <cellStyle name="Comma 8 5 8 12" xfId="35081"/>
    <cellStyle name="Comma 8 5 8 2" xfId="35082"/>
    <cellStyle name="Comma 8 5 8 2 2" xfId="35083"/>
    <cellStyle name="Comma 8 5 8 3" xfId="35084"/>
    <cellStyle name="Comma 8 5 8 3 2" xfId="35085"/>
    <cellStyle name="Comma 8 5 8 4" xfId="35086"/>
    <cellStyle name="Comma 8 5 8 4 2" xfId="35087"/>
    <cellStyle name="Comma 8 5 8 5" xfId="35088"/>
    <cellStyle name="Comma 8 5 8 5 2" xfId="35089"/>
    <cellStyle name="Comma 8 5 8 6" xfId="35090"/>
    <cellStyle name="Comma 8 5 8 6 2" xfId="35091"/>
    <cellStyle name="Comma 8 5 8 7" xfId="35092"/>
    <cellStyle name="Comma 8 5 8 7 2" xfId="35093"/>
    <cellStyle name="Comma 8 5 8 8" xfId="35094"/>
    <cellStyle name="Comma 8 5 8 8 2" xfId="35095"/>
    <cellStyle name="Comma 8 5 8 9" xfId="35096"/>
    <cellStyle name="Comma 8 5 8 9 2" xfId="35097"/>
    <cellStyle name="Comma 8 5 9" xfId="35098"/>
    <cellStyle name="Comma 8 5 9 10" xfId="35099"/>
    <cellStyle name="Comma 8 5 9 10 2" xfId="35100"/>
    <cellStyle name="Comma 8 5 9 11" xfId="35101"/>
    <cellStyle name="Comma 8 5 9 11 2" xfId="35102"/>
    <cellStyle name="Comma 8 5 9 12" xfId="35103"/>
    <cellStyle name="Comma 8 5 9 2" xfId="35104"/>
    <cellStyle name="Comma 8 5 9 2 2" xfId="35105"/>
    <cellStyle name="Comma 8 5 9 3" xfId="35106"/>
    <cellStyle name="Comma 8 5 9 3 2" xfId="35107"/>
    <cellStyle name="Comma 8 5 9 4" xfId="35108"/>
    <cellStyle name="Comma 8 5 9 4 2" xfId="35109"/>
    <cellStyle name="Comma 8 5 9 5" xfId="35110"/>
    <cellStyle name="Comma 8 5 9 5 2" xfId="35111"/>
    <cellStyle name="Comma 8 5 9 6" xfId="35112"/>
    <cellStyle name="Comma 8 5 9 6 2" xfId="35113"/>
    <cellStyle name="Comma 8 5 9 7" xfId="35114"/>
    <cellStyle name="Comma 8 5 9 7 2" xfId="35115"/>
    <cellStyle name="Comma 8 5 9 8" xfId="35116"/>
    <cellStyle name="Comma 8 5 9 8 2" xfId="35117"/>
    <cellStyle name="Comma 8 5 9 9" xfId="35118"/>
    <cellStyle name="Comma 8 5 9 9 2" xfId="35119"/>
    <cellStyle name="Comma 8 50" xfId="35120"/>
    <cellStyle name="Comma 8 50 2" xfId="35121"/>
    <cellStyle name="Comma 8 51" xfId="35122"/>
    <cellStyle name="Comma 8 51 2" xfId="35123"/>
    <cellStyle name="Comma 8 52" xfId="35124"/>
    <cellStyle name="Comma 8 52 2" xfId="35125"/>
    <cellStyle name="Comma 8 53" xfId="35126"/>
    <cellStyle name="Comma 8 53 2" xfId="35127"/>
    <cellStyle name="Comma 8 54" xfId="35128"/>
    <cellStyle name="Comma 8 54 2" xfId="35129"/>
    <cellStyle name="Comma 8 55" xfId="35130"/>
    <cellStyle name="Comma 8 55 2" xfId="35131"/>
    <cellStyle name="Comma 8 56" xfId="35132"/>
    <cellStyle name="Comma 8 56 2" xfId="35133"/>
    <cellStyle name="Comma 8 57" xfId="35134"/>
    <cellStyle name="Comma 8 58" xfId="38083"/>
    <cellStyle name="Comma 8 59" xfId="39380"/>
    <cellStyle name="Comma 8 6" xfId="35135"/>
    <cellStyle name="Comma 8 6 10" xfId="35136"/>
    <cellStyle name="Comma 8 6 10 10" xfId="35137"/>
    <cellStyle name="Comma 8 6 10 10 2" xfId="35138"/>
    <cellStyle name="Comma 8 6 10 11" xfId="35139"/>
    <cellStyle name="Comma 8 6 10 11 2" xfId="35140"/>
    <cellStyle name="Comma 8 6 10 12" xfId="35141"/>
    <cellStyle name="Comma 8 6 10 2" xfId="35142"/>
    <cellStyle name="Comma 8 6 10 2 2" xfId="35143"/>
    <cellStyle name="Comma 8 6 10 3" xfId="35144"/>
    <cellStyle name="Comma 8 6 10 3 2" xfId="35145"/>
    <cellStyle name="Comma 8 6 10 4" xfId="35146"/>
    <cellStyle name="Comma 8 6 10 4 2" xfId="35147"/>
    <cellStyle name="Comma 8 6 10 5" xfId="35148"/>
    <cellStyle name="Comma 8 6 10 5 2" xfId="35149"/>
    <cellStyle name="Comma 8 6 10 6" xfId="35150"/>
    <cellStyle name="Comma 8 6 10 6 2" xfId="35151"/>
    <cellStyle name="Comma 8 6 10 7" xfId="35152"/>
    <cellStyle name="Comma 8 6 10 7 2" xfId="35153"/>
    <cellStyle name="Comma 8 6 10 8" xfId="35154"/>
    <cellStyle name="Comma 8 6 10 8 2" xfId="35155"/>
    <cellStyle name="Comma 8 6 10 9" xfId="35156"/>
    <cellStyle name="Comma 8 6 10 9 2" xfId="35157"/>
    <cellStyle name="Comma 8 6 11" xfId="35158"/>
    <cellStyle name="Comma 8 6 11 10" xfId="35159"/>
    <cellStyle name="Comma 8 6 11 10 2" xfId="35160"/>
    <cellStyle name="Comma 8 6 11 11" xfId="35161"/>
    <cellStyle name="Comma 8 6 11 11 2" xfId="35162"/>
    <cellStyle name="Comma 8 6 11 12" xfId="35163"/>
    <cellStyle name="Comma 8 6 11 2" xfId="35164"/>
    <cellStyle name="Comma 8 6 11 2 2" xfId="35165"/>
    <cellStyle name="Comma 8 6 11 3" xfId="35166"/>
    <cellStyle name="Comma 8 6 11 3 2" xfId="35167"/>
    <cellStyle name="Comma 8 6 11 4" xfId="35168"/>
    <cellStyle name="Comma 8 6 11 4 2" xfId="35169"/>
    <cellStyle name="Comma 8 6 11 5" xfId="35170"/>
    <cellStyle name="Comma 8 6 11 5 2" xfId="35171"/>
    <cellStyle name="Comma 8 6 11 6" xfId="35172"/>
    <cellStyle name="Comma 8 6 11 6 2" xfId="35173"/>
    <cellStyle name="Comma 8 6 11 7" xfId="35174"/>
    <cellStyle name="Comma 8 6 11 7 2" xfId="35175"/>
    <cellStyle name="Comma 8 6 11 8" xfId="35176"/>
    <cellStyle name="Comma 8 6 11 8 2" xfId="35177"/>
    <cellStyle name="Comma 8 6 11 9" xfId="35178"/>
    <cellStyle name="Comma 8 6 11 9 2" xfId="35179"/>
    <cellStyle name="Comma 8 6 12" xfId="35180"/>
    <cellStyle name="Comma 8 6 12 10" xfId="35181"/>
    <cellStyle name="Comma 8 6 12 10 2" xfId="35182"/>
    <cellStyle name="Comma 8 6 12 11" xfId="35183"/>
    <cellStyle name="Comma 8 6 12 11 2" xfId="35184"/>
    <cellStyle name="Comma 8 6 12 12" xfId="35185"/>
    <cellStyle name="Comma 8 6 12 2" xfId="35186"/>
    <cellStyle name="Comma 8 6 12 2 2" xfId="35187"/>
    <cellStyle name="Comma 8 6 12 3" xfId="35188"/>
    <cellStyle name="Comma 8 6 12 3 2" xfId="35189"/>
    <cellStyle name="Comma 8 6 12 4" xfId="35190"/>
    <cellStyle name="Comma 8 6 12 4 2" xfId="35191"/>
    <cellStyle name="Comma 8 6 12 5" xfId="35192"/>
    <cellStyle name="Comma 8 6 12 5 2" xfId="35193"/>
    <cellStyle name="Comma 8 6 12 6" xfId="35194"/>
    <cellStyle name="Comma 8 6 12 6 2" xfId="35195"/>
    <cellStyle name="Comma 8 6 12 7" xfId="35196"/>
    <cellStyle name="Comma 8 6 12 7 2" xfId="35197"/>
    <cellStyle name="Comma 8 6 12 8" xfId="35198"/>
    <cellStyle name="Comma 8 6 12 8 2" xfId="35199"/>
    <cellStyle name="Comma 8 6 12 9" xfId="35200"/>
    <cellStyle name="Comma 8 6 12 9 2" xfId="35201"/>
    <cellStyle name="Comma 8 6 13" xfId="35202"/>
    <cellStyle name="Comma 8 6 13 10" xfId="35203"/>
    <cellStyle name="Comma 8 6 13 10 2" xfId="35204"/>
    <cellStyle name="Comma 8 6 13 11" xfId="35205"/>
    <cellStyle name="Comma 8 6 13 11 2" xfId="35206"/>
    <cellStyle name="Comma 8 6 13 12" xfId="35207"/>
    <cellStyle name="Comma 8 6 13 2" xfId="35208"/>
    <cellStyle name="Comma 8 6 13 2 2" xfId="35209"/>
    <cellStyle name="Comma 8 6 13 3" xfId="35210"/>
    <cellStyle name="Comma 8 6 13 3 2" xfId="35211"/>
    <cellStyle name="Comma 8 6 13 4" xfId="35212"/>
    <cellStyle name="Comma 8 6 13 4 2" xfId="35213"/>
    <cellStyle name="Comma 8 6 13 5" xfId="35214"/>
    <cellStyle name="Comma 8 6 13 5 2" xfId="35215"/>
    <cellStyle name="Comma 8 6 13 6" xfId="35216"/>
    <cellStyle name="Comma 8 6 13 6 2" xfId="35217"/>
    <cellStyle name="Comma 8 6 13 7" xfId="35218"/>
    <cellStyle name="Comma 8 6 13 7 2" xfId="35219"/>
    <cellStyle name="Comma 8 6 13 8" xfId="35220"/>
    <cellStyle name="Comma 8 6 13 8 2" xfId="35221"/>
    <cellStyle name="Comma 8 6 13 9" xfId="35222"/>
    <cellStyle name="Comma 8 6 13 9 2" xfId="35223"/>
    <cellStyle name="Comma 8 6 14" xfId="35224"/>
    <cellStyle name="Comma 8 6 14 10" xfId="35225"/>
    <cellStyle name="Comma 8 6 14 10 2" xfId="35226"/>
    <cellStyle name="Comma 8 6 14 11" xfId="35227"/>
    <cellStyle name="Comma 8 6 14 11 2" xfId="35228"/>
    <cellStyle name="Comma 8 6 14 12" xfId="35229"/>
    <cellStyle name="Comma 8 6 14 2" xfId="35230"/>
    <cellStyle name="Comma 8 6 14 2 2" xfId="35231"/>
    <cellStyle name="Comma 8 6 14 3" xfId="35232"/>
    <cellStyle name="Comma 8 6 14 3 2" xfId="35233"/>
    <cellStyle name="Comma 8 6 14 4" xfId="35234"/>
    <cellStyle name="Comma 8 6 14 4 2" xfId="35235"/>
    <cellStyle name="Comma 8 6 14 5" xfId="35236"/>
    <cellStyle name="Comma 8 6 14 5 2" xfId="35237"/>
    <cellStyle name="Comma 8 6 14 6" xfId="35238"/>
    <cellStyle name="Comma 8 6 14 6 2" xfId="35239"/>
    <cellStyle name="Comma 8 6 14 7" xfId="35240"/>
    <cellStyle name="Comma 8 6 14 7 2" xfId="35241"/>
    <cellStyle name="Comma 8 6 14 8" xfId="35242"/>
    <cellStyle name="Comma 8 6 14 8 2" xfId="35243"/>
    <cellStyle name="Comma 8 6 14 9" xfId="35244"/>
    <cellStyle name="Comma 8 6 14 9 2" xfId="35245"/>
    <cellStyle name="Comma 8 6 15" xfId="35246"/>
    <cellStyle name="Comma 8 6 15 10" xfId="35247"/>
    <cellStyle name="Comma 8 6 15 10 2" xfId="35248"/>
    <cellStyle name="Comma 8 6 15 11" xfId="35249"/>
    <cellStyle name="Comma 8 6 15 11 2" xfId="35250"/>
    <cellStyle name="Comma 8 6 15 12" xfId="35251"/>
    <cellStyle name="Comma 8 6 15 2" xfId="35252"/>
    <cellStyle name="Comma 8 6 15 2 2" xfId="35253"/>
    <cellStyle name="Comma 8 6 15 3" xfId="35254"/>
    <cellStyle name="Comma 8 6 15 3 2" xfId="35255"/>
    <cellStyle name="Comma 8 6 15 4" xfId="35256"/>
    <cellStyle name="Comma 8 6 15 4 2" xfId="35257"/>
    <cellStyle name="Comma 8 6 15 5" xfId="35258"/>
    <cellStyle name="Comma 8 6 15 5 2" xfId="35259"/>
    <cellStyle name="Comma 8 6 15 6" xfId="35260"/>
    <cellStyle name="Comma 8 6 15 6 2" xfId="35261"/>
    <cellStyle name="Comma 8 6 15 7" xfId="35262"/>
    <cellStyle name="Comma 8 6 15 7 2" xfId="35263"/>
    <cellStyle name="Comma 8 6 15 8" xfId="35264"/>
    <cellStyle name="Comma 8 6 15 8 2" xfId="35265"/>
    <cellStyle name="Comma 8 6 15 9" xfId="35266"/>
    <cellStyle name="Comma 8 6 15 9 2" xfId="35267"/>
    <cellStyle name="Comma 8 6 16" xfId="35268"/>
    <cellStyle name="Comma 8 6 16 2" xfId="35269"/>
    <cellStyle name="Comma 8 6 17" xfId="35270"/>
    <cellStyle name="Comma 8 6 17 2" xfId="35271"/>
    <cellStyle name="Comma 8 6 18" xfId="35272"/>
    <cellStyle name="Comma 8 6 18 2" xfId="35273"/>
    <cellStyle name="Comma 8 6 19" xfId="35274"/>
    <cellStyle name="Comma 8 6 19 2" xfId="35275"/>
    <cellStyle name="Comma 8 6 2" xfId="35276"/>
    <cellStyle name="Comma 8 6 2 10" xfId="35277"/>
    <cellStyle name="Comma 8 6 2 10 2" xfId="35278"/>
    <cellStyle name="Comma 8 6 2 11" xfId="35279"/>
    <cellStyle name="Comma 8 6 2 11 2" xfId="35280"/>
    <cellStyle name="Comma 8 6 2 12" xfId="35281"/>
    <cellStyle name="Comma 8 6 2 2" xfId="35282"/>
    <cellStyle name="Comma 8 6 2 2 2" xfId="35283"/>
    <cellStyle name="Comma 8 6 2 3" xfId="35284"/>
    <cellStyle name="Comma 8 6 2 3 2" xfId="35285"/>
    <cellStyle name="Comma 8 6 2 4" xfId="35286"/>
    <cellStyle name="Comma 8 6 2 4 2" xfId="35287"/>
    <cellStyle name="Comma 8 6 2 5" xfId="35288"/>
    <cellStyle name="Comma 8 6 2 5 2" xfId="35289"/>
    <cellStyle name="Comma 8 6 2 6" xfId="35290"/>
    <cellStyle name="Comma 8 6 2 6 2" xfId="35291"/>
    <cellStyle name="Comma 8 6 2 7" xfId="35292"/>
    <cellStyle name="Comma 8 6 2 7 2" xfId="35293"/>
    <cellStyle name="Comma 8 6 2 8" xfId="35294"/>
    <cellStyle name="Comma 8 6 2 8 2" xfId="35295"/>
    <cellStyle name="Comma 8 6 2 9" xfId="35296"/>
    <cellStyle name="Comma 8 6 2 9 2" xfId="35297"/>
    <cellStyle name="Comma 8 6 20" xfId="35298"/>
    <cellStyle name="Comma 8 6 20 2" xfId="35299"/>
    <cellStyle name="Comma 8 6 21" xfId="35300"/>
    <cellStyle name="Comma 8 6 21 2" xfId="35301"/>
    <cellStyle name="Comma 8 6 22" xfId="35302"/>
    <cellStyle name="Comma 8 6 22 2" xfId="35303"/>
    <cellStyle name="Comma 8 6 23" xfId="35304"/>
    <cellStyle name="Comma 8 6 23 2" xfId="35305"/>
    <cellStyle name="Comma 8 6 24" xfId="35306"/>
    <cellStyle name="Comma 8 6 24 2" xfId="35307"/>
    <cellStyle name="Comma 8 6 25" xfId="35308"/>
    <cellStyle name="Comma 8 6 25 2" xfId="35309"/>
    <cellStyle name="Comma 8 6 26" xfId="35310"/>
    <cellStyle name="Comma 8 6 3" xfId="35311"/>
    <cellStyle name="Comma 8 6 3 10" xfId="35312"/>
    <cellStyle name="Comma 8 6 3 10 2" xfId="35313"/>
    <cellStyle name="Comma 8 6 3 11" xfId="35314"/>
    <cellStyle name="Comma 8 6 3 11 2" xfId="35315"/>
    <cellStyle name="Comma 8 6 3 12" xfId="35316"/>
    <cellStyle name="Comma 8 6 3 2" xfId="35317"/>
    <cellStyle name="Comma 8 6 3 2 2" xfId="35318"/>
    <cellStyle name="Comma 8 6 3 3" xfId="35319"/>
    <cellStyle name="Comma 8 6 3 3 2" xfId="35320"/>
    <cellStyle name="Comma 8 6 3 4" xfId="35321"/>
    <cellStyle name="Comma 8 6 3 4 2" xfId="35322"/>
    <cellStyle name="Comma 8 6 3 5" xfId="35323"/>
    <cellStyle name="Comma 8 6 3 5 2" xfId="35324"/>
    <cellStyle name="Comma 8 6 3 6" xfId="35325"/>
    <cellStyle name="Comma 8 6 3 6 2" xfId="35326"/>
    <cellStyle name="Comma 8 6 3 7" xfId="35327"/>
    <cellStyle name="Comma 8 6 3 7 2" xfId="35328"/>
    <cellStyle name="Comma 8 6 3 8" xfId="35329"/>
    <cellStyle name="Comma 8 6 3 8 2" xfId="35330"/>
    <cellStyle name="Comma 8 6 3 9" xfId="35331"/>
    <cellStyle name="Comma 8 6 3 9 2" xfId="35332"/>
    <cellStyle name="Comma 8 6 4" xfId="35333"/>
    <cellStyle name="Comma 8 6 4 10" xfId="35334"/>
    <cellStyle name="Comma 8 6 4 10 2" xfId="35335"/>
    <cellStyle name="Comma 8 6 4 11" xfId="35336"/>
    <cellStyle name="Comma 8 6 4 11 2" xfId="35337"/>
    <cellStyle name="Comma 8 6 4 12" xfId="35338"/>
    <cellStyle name="Comma 8 6 4 2" xfId="35339"/>
    <cellStyle name="Comma 8 6 4 2 2" xfId="35340"/>
    <cellStyle name="Comma 8 6 4 3" xfId="35341"/>
    <cellStyle name="Comma 8 6 4 3 2" xfId="35342"/>
    <cellStyle name="Comma 8 6 4 4" xfId="35343"/>
    <cellStyle name="Comma 8 6 4 4 2" xfId="35344"/>
    <cellStyle name="Comma 8 6 4 5" xfId="35345"/>
    <cellStyle name="Comma 8 6 4 5 2" xfId="35346"/>
    <cellStyle name="Comma 8 6 4 6" xfId="35347"/>
    <cellStyle name="Comma 8 6 4 6 2" xfId="35348"/>
    <cellStyle name="Comma 8 6 4 7" xfId="35349"/>
    <cellStyle name="Comma 8 6 4 7 2" xfId="35350"/>
    <cellStyle name="Comma 8 6 4 8" xfId="35351"/>
    <cellStyle name="Comma 8 6 4 8 2" xfId="35352"/>
    <cellStyle name="Comma 8 6 4 9" xfId="35353"/>
    <cellStyle name="Comma 8 6 4 9 2" xfId="35354"/>
    <cellStyle name="Comma 8 6 5" xfId="35355"/>
    <cellStyle name="Comma 8 6 5 10" xfId="35356"/>
    <cellStyle name="Comma 8 6 5 10 2" xfId="35357"/>
    <cellStyle name="Comma 8 6 5 11" xfId="35358"/>
    <cellStyle name="Comma 8 6 5 11 2" xfId="35359"/>
    <cellStyle name="Comma 8 6 5 12" xfId="35360"/>
    <cellStyle name="Comma 8 6 5 2" xfId="35361"/>
    <cellStyle name="Comma 8 6 5 2 2" xfId="35362"/>
    <cellStyle name="Comma 8 6 5 3" xfId="35363"/>
    <cellStyle name="Comma 8 6 5 3 2" xfId="35364"/>
    <cellStyle name="Comma 8 6 5 4" xfId="35365"/>
    <cellStyle name="Comma 8 6 5 4 2" xfId="35366"/>
    <cellStyle name="Comma 8 6 5 5" xfId="35367"/>
    <cellStyle name="Comma 8 6 5 5 2" xfId="35368"/>
    <cellStyle name="Comma 8 6 5 6" xfId="35369"/>
    <cellStyle name="Comma 8 6 5 6 2" xfId="35370"/>
    <cellStyle name="Comma 8 6 5 7" xfId="35371"/>
    <cellStyle name="Comma 8 6 5 7 2" xfId="35372"/>
    <cellStyle name="Comma 8 6 5 8" xfId="35373"/>
    <cellStyle name="Comma 8 6 5 8 2" xfId="35374"/>
    <cellStyle name="Comma 8 6 5 9" xfId="35375"/>
    <cellStyle name="Comma 8 6 5 9 2" xfId="35376"/>
    <cellStyle name="Comma 8 6 6" xfId="35377"/>
    <cellStyle name="Comma 8 6 6 10" xfId="35378"/>
    <cellStyle name="Comma 8 6 6 10 2" xfId="35379"/>
    <cellStyle name="Comma 8 6 6 11" xfId="35380"/>
    <cellStyle name="Comma 8 6 6 11 2" xfId="35381"/>
    <cellStyle name="Comma 8 6 6 12" xfId="35382"/>
    <cellStyle name="Comma 8 6 6 2" xfId="35383"/>
    <cellStyle name="Comma 8 6 6 2 2" xfId="35384"/>
    <cellStyle name="Comma 8 6 6 3" xfId="35385"/>
    <cellStyle name="Comma 8 6 6 3 2" xfId="35386"/>
    <cellStyle name="Comma 8 6 6 4" xfId="35387"/>
    <cellStyle name="Comma 8 6 6 4 2" xfId="35388"/>
    <cellStyle name="Comma 8 6 6 5" xfId="35389"/>
    <cellStyle name="Comma 8 6 6 5 2" xfId="35390"/>
    <cellStyle name="Comma 8 6 6 6" xfId="35391"/>
    <cellStyle name="Comma 8 6 6 6 2" xfId="35392"/>
    <cellStyle name="Comma 8 6 6 7" xfId="35393"/>
    <cellStyle name="Comma 8 6 6 7 2" xfId="35394"/>
    <cellStyle name="Comma 8 6 6 8" xfId="35395"/>
    <cellStyle name="Comma 8 6 6 8 2" xfId="35396"/>
    <cellStyle name="Comma 8 6 6 9" xfId="35397"/>
    <cellStyle name="Comma 8 6 6 9 2" xfId="35398"/>
    <cellStyle name="Comma 8 6 7" xfId="35399"/>
    <cellStyle name="Comma 8 6 7 10" xfId="35400"/>
    <cellStyle name="Comma 8 6 7 10 2" xfId="35401"/>
    <cellStyle name="Comma 8 6 7 11" xfId="35402"/>
    <cellStyle name="Comma 8 6 7 11 2" xfId="35403"/>
    <cellStyle name="Comma 8 6 7 12" xfId="35404"/>
    <cellStyle name="Comma 8 6 7 2" xfId="35405"/>
    <cellStyle name="Comma 8 6 7 2 2" xfId="35406"/>
    <cellStyle name="Comma 8 6 7 3" xfId="35407"/>
    <cellStyle name="Comma 8 6 7 3 2" xfId="35408"/>
    <cellStyle name="Comma 8 6 7 4" xfId="35409"/>
    <cellStyle name="Comma 8 6 7 4 2" xfId="35410"/>
    <cellStyle name="Comma 8 6 7 5" xfId="35411"/>
    <cellStyle name="Comma 8 6 7 5 2" xfId="35412"/>
    <cellStyle name="Comma 8 6 7 6" xfId="35413"/>
    <cellStyle name="Comma 8 6 7 6 2" xfId="35414"/>
    <cellStyle name="Comma 8 6 7 7" xfId="35415"/>
    <cellStyle name="Comma 8 6 7 7 2" xfId="35416"/>
    <cellStyle name="Comma 8 6 7 8" xfId="35417"/>
    <cellStyle name="Comma 8 6 7 8 2" xfId="35418"/>
    <cellStyle name="Comma 8 6 7 9" xfId="35419"/>
    <cellStyle name="Comma 8 6 7 9 2" xfId="35420"/>
    <cellStyle name="Comma 8 6 8" xfId="35421"/>
    <cellStyle name="Comma 8 6 8 10" xfId="35422"/>
    <cellStyle name="Comma 8 6 8 10 2" xfId="35423"/>
    <cellStyle name="Comma 8 6 8 11" xfId="35424"/>
    <cellStyle name="Comma 8 6 8 11 2" xfId="35425"/>
    <cellStyle name="Comma 8 6 8 12" xfId="35426"/>
    <cellStyle name="Comma 8 6 8 2" xfId="35427"/>
    <cellStyle name="Comma 8 6 8 2 2" xfId="35428"/>
    <cellStyle name="Comma 8 6 8 3" xfId="35429"/>
    <cellStyle name="Comma 8 6 8 3 2" xfId="35430"/>
    <cellStyle name="Comma 8 6 8 4" xfId="35431"/>
    <cellStyle name="Comma 8 6 8 4 2" xfId="35432"/>
    <cellStyle name="Comma 8 6 8 5" xfId="35433"/>
    <cellStyle name="Comma 8 6 8 5 2" xfId="35434"/>
    <cellStyle name="Comma 8 6 8 6" xfId="35435"/>
    <cellStyle name="Comma 8 6 8 6 2" xfId="35436"/>
    <cellStyle name="Comma 8 6 8 7" xfId="35437"/>
    <cellStyle name="Comma 8 6 8 7 2" xfId="35438"/>
    <cellStyle name="Comma 8 6 8 8" xfId="35439"/>
    <cellStyle name="Comma 8 6 8 8 2" xfId="35440"/>
    <cellStyle name="Comma 8 6 8 9" xfId="35441"/>
    <cellStyle name="Comma 8 6 8 9 2" xfId="35442"/>
    <cellStyle name="Comma 8 6 9" xfId="35443"/>
    <cellStyle name="Comma 8 6 9 10" xfId="35444"/>
    <cellStyle name="Comma 8 6 9 10 2" xfId="35445"/>
    <cellStyle name="Comma 8 6 9 11" xfId="35446"/>
    <cellStyle name="Comma 8 6 9 11 2" xfId="35447"/>
    <cellStyle name="Comma 8 6 9 12" xfId="35448"/>
    <cellStyle name="Comma 8 6 9 2" xfId="35449"/>
    <cellStyle name="Comma 8 6 9 2 2" xfId="35450"/>
    <cellStyle name="Comma 8 6 9 3" xfId="35451"/>
    <cellStyle name="Comma 8 6 9 3 2" xfId="35452"/>
    <cellStyle name="Comma 8 6 9 4" xfId="35453"/>
    <cellStyle name="Comma 8 6 9 4 2" xfId="35454"/>
    <cellStyle name="Comma 8 6 9 5" xfId="35455"/>
    <cellStyle name="Comma 8 6 9 5 2" xfId="35456"/>
    <cellStyle name="Comma 8 6 9 6" xfId="35457"/>
    <cellStyle name="Comma 8 6 9 6 2" xfId="35458"/>
    <cellStyle name="Comma 8 6 9 7" xfId="35459"/>
    <cellStyle name="Comma 8 6 9 7 2" xfId="35460"/>
    <cellStyle name="Comma 8 6 9 8" xfId="35461"/>
    <cellStyle name="Comma 8 6 9 8 2" xfId="35462"/>
    <cellStyle name="Comma 8 6 9 9" xfId="35463"/>
    <cellStyle name="Comma 8 6 9 9 2" xfId="35464"/>
    <cellStyle name="Comma 8 60" xfId="40921"/>
    <cellStyle name="Comma 8 7" xfId="35465"/>
    <cellStyle name="Comma 8 7 10" xfId="35466"/>
    <cellStyle name="Comma 8 7 10 2" xfId="35467"/>
    <cellStyle name="Comma 8 7 11" xfId="35468"/>
    <cellStyle name="Comma 8 7 11 2" xfId="35469"/>
    <cellStyle name="Comma 8 7 12" xfId="35470"/>
    <cellStyle name="Comma 8 7 2" xfId="35471"/>
    <cellStyle name="Comma 8 7 2 2" xfId="35472"/>
    <cellStyle name="Comma 8 7 3" xfId="35473"/>
    <cellStyle name="Comma 8 7 3 2" xfId="35474"/>
    <cellStyle name="Comma 8 7 4" xfId="35475"/>
    <cellStyle name="Comma 8 7 4 2" xfId="35476"/>
    <cellStyle name="Comma 8 7 5" xfId="35477"/>
    <cellStyle name="Comma 8 7 5 2" xfId="35478"/>
    <cellStyle name="Comma 8 7 6" xfId="35479"/>
    <cellStyle name="Comma 8 7 6 2" xfId="35480"/>
    <cellStyle name="Comma 8 7 7" xfId="35481"/>
    <cellStyle name="Comma 8 7 7 2" xfId="35482"/>
    <cellStyle name="Comma 8 7 8" xfId="35483"/>
    <cellStyle name="Comma 8 7 8 2" xfId="35484"/>
    <cellStyle name="Comma 8 7 9" xfId="35485"/>
    <cellStyle name="Comma 8 7 9 2" xfId="35486"/>
    <cellStyle name="Comma 8 8" xfId="35487"/>
    <cellStyle name="Comma 8 8 10" xfId="35488"/>
    <cellStyle name="Comma 8 8 10 2" xfId="35489"/>
    <cellStyle name="Comma 8 8 11" xfId="35490"/>
    <cellStyle name="Comma 8 8 11 2" xfId="35491"/>
    <cellStyle name="Comma 8 8 12" xfId="35492"/>
    <cellStyle name="Comma 8 8 2" xfId="35493"/>
    <cellStyle name="Comma 8 8 2 2" xfId="35494"/>
    <cellStyle name="Comma 8 8 3" xfId="35495"/>
    <cellStyle name="Comma 8 8 3 2" xfId="35496"/>
    <cellStyle name="Comma 8 8 4" xfId="35497"/>
    <cellStyle name="Comma 8 8 4 2" xfId="35498"/>
    <cellStyle name="Comma 8 8 5" xfId="35499"/>
    <cellStyle name="Comma 8 8 5 2" xfId="35500"/>
    <cellStyle name="Comma 8 8 6" xfId="35501"/>
    <cellStyle name="Comma 8 8 6 2" xfId="35502"/>
    <cellStyle name="Comma 8 8 7" xfId="35503"/>
    <cellStyle name="Comma 8 8 7 2" xfId="35504"/>
    <cellStyle name="Comma 8 8 8" xfId="35505"/>
    <cellStyle name="Comma 8 8 8 2" xfId="35506"/>
    <cellStyle name="Comma 8 8 9" xfId="35507"/>
    <cellStyle name="Comma 8 8 9 2" xfId="35508"/>
    <cellStyle name="Comma 8 9" xfId="35509"/>
    <cellStyle name="Comma 8 9 10" xfId="35510"/>
    <cellStyle name="Comma 8 9 10 2" xfId="35511"/>
    <cellStyle name="Comma 8 9 11" xfId="35512"/>
    <cellStyle name="Comma 8 9 11 2" xfId="35513"/>
    <cellStyle name="Comma 8 9 12" xfId="35514"/>
    <cellStyle name="Comma 8 9 2" xfId="35515"/>
    <cellStyle name="Comma 8 9 2 2" xfId="35516"/>
    <cellStyle name="Comma 8 9 3" xfId="35517"/>
    <cellStyle name="Comma 8 9 3 2" xfId="35518"/>
    <cellStyle name="Comma 8 9 4" xfId="35519"/>
    <cellStyle name="Comma 8 9 4 2" xfId="35520"/>
    <cellStyle name="Comma 8 9 5" xfId="35521"/>
    <cellStyle name="Comma 8 9 5 2" xfId="35522"/>
    <cellStyle name="Comma 8 9 6" xfId="35523"/>
    <cellStyle name="Comma 8 9 6 2" xfId="35524"/>
    <cellStyle name="Comma 8 9 7" xfId="35525"/>
    <cellStyle name="Comma 8 9 7 2" xfId="35526"/>
    <cellStyle name="Comma 8 9 8" xfId="35527"/>
    <cellStyle name="Comma 8 9 8 2" xfId="35528"/>
    <cellStyle name="Comma 8 9 9" xfId="35529"/>
    <cellStyle name="Comma 8 9 9 2" xfId="35530"/>
    <cellStyle name="Comma 8_consumption scenario A" xfId="37638"/>
    <cellStyle name="Comma 9" xfId="35531"/>
    <cellStyle name="Comma 9 10" xfId="35532"/>
    <cellStyle name="Comma 9 11" xfId="35533"/>
    <cellStyle name="Comma 9 12" xfId="35534"/>
    <cellStyle name="Comma 9 13" xfId="35535"/>
    <cellStyle name="Comma 9 14" xfId="35536"/>
    <cellStyle name="Comma 9 15" xfId="35537"/>
    <cellStyle name="Comma 9 16" xfId="35538"/>
    <cellStyle name="Comma 9 17" xfId="35539"/>
    <cellStyle name="Comma 9 18" xfId="35540"/>
    <cellStyle name="Comma 9 19" xfId="35541"/>
    <cellStyle name="Comma 9 2" xfId="35542"/>
    <cellStyle name="Comma 9 2 2" xfId="37227"/>
    <cellStyle name="Comma 9 2 2 2" xfId="40570"/>
    <cellStyle name="Comma 9 2 2 3" xfId="42111"/>
    <cellStyle name="Comma 9 2 3" xfId="38556"/>
    <cellStyle name="Comma 9 2 4" xfId="39852"/>
    <cellStyle name="Comma 9 2 5" xfId="41393"/>
    <cellStyle name="Comma 9 2_consumption scenario A" xfId="37647"/>
    <cellStyle name="Comma 9 20" xfId="35543"/>
    <cellStyle name="Comma 9 21" xfId="35544"/>
    <cellStyle name="Comma 9 22" xfId="35545"/>
    <cellStyle name="Comma 9 23" xfId="35546"/>
    <cellStyle name="Comma 9 24" xfId="35547"/>
    <cellStyle name="Comma 9 25" xfId="35548"/>
    <cellStyle name="Comma 9 26" xfId="35549"/>
    <cellStyle name="Comma 9 27" xfId="35550"/>
    <cellStyle name="Comma 9 28" xfId="35551"/>
    <cellStyle name="Comma 9 29" xfId="35552"/>
    <cellStyle name="Comma 9 3" xfId="35553"/>
    <cellStyle name="Comma 9 3 2" xfId="40114"/>
    <cellStyle name="Comma 9 3 3" xfId="41655"/>
    <cellStyle name="Comma 9 30" xfId="35554"/>
    <cellStyle name="Comma 9 31" xfId="35555"/>
    <cellStyle name="Comma 9 32" xfId="35556"/>
    <cellStyle name="Comma 9 33" xfId="35557"/>
    <cellStyle name="Comma 9 34" xfId="35558"/>
    <cellStyle name="Comma 9 35" xfId="35559"/>
    <cellStyle name="Comma 9 36" xfId="35560"/>
    <cellStyle name="Comma 9 37" xfId="35561"/>
    <cellStyle name="Comma 9 38" xfId="35562"/>
    <cellStyle name="Comma 9 39" xfId="38099"/>
    <cellStyle name="Comma 9 4" xfId="35563"/>
    <cellStyle name="Comma 9 40" xfId="39396"/>
    <cellStyle name="Comma 9 41" xfId="40937"/>
    <cellStyle name="Comma 9 5" xfId="35564"/>
    <cellStyle name="Comma 9 6" xfId="35565"/>
    <cellStyle name="Comma 9 7" xfId="35566"/>
    <cellStyle name="Comma 9 8" xfId="35567"/>
    <cellStyle name="Comma 9 9" xfId="35568"/>
    <cellStyle name="Comma 9_consumption scenario A" xfId="37646"/>
    <cellStyle name="constant" xfId="54"/>
    <cellStyle name="Currency" xfId="9" builtinId="4" hidden="1"/>
    <cellStyle name="Currency [0]" xfId="46" builtinId="7" hidden="1"/>
    <cellStyle name="Currency 2" xfId="186"/>
    <cellStyle name="Data_Sheet1 (2)_1" xfId="187"/>
    <cellStyle name="Explanatory Text" xfId="25" builtinId="53" hidden="1" customBuiltin="1"/>
    <cellStyle name="Explanatory Text" xfId="92" builtinId="53" customBuiltin="1"/>
    <cellStyle name="Explanatory Text 2" xfId="4600"/>
    <cellStyle name="Font: Calibri, 9pt regular" xfId="4593"/>
    <cellStyle name="Footnotes: top row" xfId="4660"/>
    <cellStyle name="Good" xfId="10" builtinId="26" hidden="1"/>
    <cellStyle name="Good" xfId="93" builtinId="26" customBuiltin="1"/>
    <cellStyle name="Good 2" xfId="4601"/>
    <cellStyle name="Header: bottom row" xfId="4645"/>
    <cellStyle name="Heading 1" xfId="11" builtinId="16" hidden="1"/>
    <cellStyle name="heading 1" xfId="53"/>
    <cellStyle name="heading 1 10" xfId="146"/>
    <cellStyle name="Heading 1 11" xfId="4553"/>
    <cellStyle name="Heading 1 12" xfId="4556"/>
    <cellStyle name="Heading 1 13" xfId="4555"/>
    <cellStyle name="Heading 1 14" xfId="4575"/>
    <cellStyle name="Heading 1 15" xfId="4574"/>
    <cellStyle name="Heading 1 16" xfId="4577"/>
    <cellStyle name="Heading 1 17" xfId="4580"/>
    <cellStyle name="Heading 1 18" xfId="4584"/>
    <cellStyle name="Heading 1 19" xfId="4589"/>
    <cellStyle name="heading 1 2" xfId="60"/>
    <cellStyle name="Heading 1 2 10" xfId="172"/>
    <cellStyle name="heading 1 2 2" xfId="135"/>
    <cellStyle name="Heading 1 2 3" xfId="115"/>
    <cellStyle name="Heading 1 2 3 2" xfId="4602"/>
    <cellStyle name="Heading 1 2 3_consumption scenario A" xfId="5036"/>
    <cellStyle name="Heading 1 2 4" xfId="117"/>
    <cellStyle name="Heading 1 2 4 2" xfId="4647"/>
    <cellStyle name="Heading 1 2 4_consumption scenario A" xfId="5037"/>
    <cellStyle name="Heading 1 2 5" xfId="145"/>
    <cellStyle name="Heading 1 2 5 2" xfId="4641"/>
    <cellStyle name="Heading 1 2 5_consumption scenario A" xfId="5038"/>
    <cellStyle name="Heading 1 2 6" xfId="151"/>
    <cellStyle name="Heading 1 2 6 2" xfId="4646"/>
    <cellStyle name="Heading 1 2 6_consumption scenario A" xfId="5039"/>
    <cellStyle name="Heading 1 2 7" xfId="148"/>
    <cellStyle name="Heading 1 2 7 2" xfId="4663"/>
    <cellStyle name="Heading 1 2 7_consumption scenario A" xfId="5040"/>
    <cellStyle name="Heading 1 2 8" xfId="161"/>
    <cellStyle name="Heading 1 2 8 2" xfId="4666"/>
    <cellStyle name="Heading 1 2 8_consumption scenario A" xfId="5041"/>
    <cellStyle name="Heading 1 2 9" xfId="163"/>
    <cellStyle name="Heading 1 2 9 2" xfId="4667"/>
    <cellStyle name="Heading 1 2 9_consumption scenario A" xfId="5042"/>
    <cellStyle name="Heading 1 2_consumption scenario A" xfId="5035"/>
    <cellStyle name="Heading 1 20" xfId="4587"/>
    <cellStyle name="Heading 1 21" xfId="4659"/>
    <cellStyle name="Heading 1 22" xfId="4644"/>
    <cellStyle name="Heading 1 23" xfId="4649"/>
    <cellStyle name="Heading 1 24" xfId="4642"/>
    <cellStyle name="Heading 1 25" xfId="4586"/>
    <cellStyle name="Heading 1 26" xfId="4672"/>
    <cellStyle name="Heading 1 27" xfId="4671"/>
    <cellStyle name="Heading 1 28" xfId="4676"/>
    <cellStyle name="Heading 1 29" xfId="4682"/>
    <cellStyle name="heading 1 3" xfId="130"/>
    <cellStyle name="Heading 1 30" xfId="4683"/>
    <cellStyle name="Heading 1 31" xfId="4680"/>
    <cellStyle name="Heading 1 32" xfId="4684"/>
    <cellStyle name="Heading 1 33" xfId="4690"/>
    <cellStyle name="Heading 1 34" xfId="4687"/>
    <cellStyle name="Heading 1 35" xfId="4688"/>
    <cellStyle name="Heading 1 36" xfId="4686"/>
    <cellStyle name="Heading 1 37" xfId="4695"/>
    <cellStyle name="Heading 1 38" xfId="4692"/>
    <cellStyle name="Heading 1 39" xfId="4698"/>
    <cellStyle name="heading 1 4" xfId="141"/>
    <cellStyle name="Heading 1 40" xfId="4700"/>
    <cellStyle name="Heading 1 41" xfId="4701"/>
    <cellStyle name="Heading 1 42" xfId="4715"/>
    <cellStyle name="Heading 1 43" xfId="4726"/>
    <cellStyle name="Heading 1 44" xfId="4729"/>
    <cellStyle name="Heading 1 45" xfId="4711"/>
    <cellStyle name="Heading 1 46" xfId="4710"/>
    <cellStyle name="Heading 1 47" xfId="4724"/>
    <cellStyle name="Heading 1 48" xfId="4727"/>
    <cellStyle name="Heading 1 49" xfId="4735"/>
    <cellStyle name="heading 1 5" xfId="125"/>
    <cellStyle name="Heading 1 50" xfId="4733"/>
    <cellStyle name="Heading 1 51" xfId="4731"/>
    <cellStyle name="Heading 1 52" xfId="4709"/>
    <cellStyle name="Heading 1 53" xfId="4730"/>
    <cellStyle name="Heading 1 54" xfId="4737"/>
    <cellStyle name="Heading 1 55" xfId="4741"/>
    <cellStyle name="Heading 1 56" xfId="4725"/>
    <cellStyle name="Heading 1 57" xfId="4739"/>
    <cellStyle name="Heading 1 58" xfId="4714"/>
    <cellStyle name="Heading 1 59" xfId="4738"/>
    <cellStyle name="heading 1 6" xfId="139"/>
    <cellStyle name="Heading 1 60" xfId="4732"/>
    <cellStyle name="Heading 1 61" xfId="4753"/>
    <cellStyle name="Heading 1 62" xfId="4756"/>
    <cellStyle name="Heading 1 63" xfId="4757"/>
    <cellStyle name="Heading 1 64" xfId="4758"/>
    <cellStyle name="Heading 1 65" xfId="4759"/>
    <cellStyle name="Heading 1 66" xfId="4760"/>
    <cellStyle name="Heading 1 67" xfId="4761"/>
    <cellStyle name="Heading 1 68" xfId="4762"/>
    <cellStyle name="Heading 1 69" xfId="4763"/>
    <cellStyle name="heading 1 7" xfId="144"/>
    <cellStyle name="Heading 1 70" xfId="4764"/>
    <cellStyle name="heading 1 8" xfId="101"/>
    <cellStyle name="heading 1 9" xfId="104"/>
    <cellStyle name="Heading 1_AEO proration factors" xfId="4640"/>
    <cellStyle name="Heading 2" xfId="16" builtinId="17" hidden="1" customBuiltin="1"/>
    <cellStyle name="heading 2" xfId="57"/>
    <cellStyle name="heading 2 10" xfId="121"/>
    <cellStyle name="Heading 2 11" xfId="4558"/>
    <cellStyle name="Heading 2 12" xfId="4557"/>
    <cellStyle name="Heading 2 13" xfId="4554"/>
    <cellStyle name="Heading 2 14" xfId="4576"/>
    <cellStyle name="Heading 2 15" xfId="4578"/>
    <cellStyle name="Heading 2 16" xfId="4573"/>
    <cellStyle name="Heading 2 17" xfId="4581"/>
    <cellStyle name="Heading 2 18" xfId="4585"/>
    <cellStyle name="Heading 2 19" xfId="4588"/>
    <cellStyle name="heading 2 2" xfId="62"/>
    <cellStyle name="Heading 2 2 10" xfId="171"/>
    <cellStyle name="heading 2 2 2" xfId="137"/>
    <cellStyle name="Heading 2 2 3" xfId="116"/>
    <cellStyle name="Heading 2 2 3 2" xfId="4603"/>
    <cellStyle name="Heading 2 2 3_consumption scenario A" xfId="5044"/>
    <cellStyle name="Heading 2 2 4" xfId="123"/>
    <cellStyle name="Heading 2 2 4 2" xfId="4648"/>
    <cellStyle name="Heading 2 2 4_consumption scenario A" xfId="5045"/>
    <cellStyle name="Heading 2 2 5" xfId="147"/>
    <cellStyle name="Heading 2 2 5 2" xfId="4643"/>
    <cellStyle name="Heading 2 2 5_consumption scenario A" xfId="5046"/>
    <cellStyle name="Heading 2 2 6" xfId="152"/>
    <cellStyle name="Heading 2 2 6 2" xfId="4653"/>
    <cellStyle name="Heading 2 2 6_consumption scenario A" xfId="5047"/>
    <cellStyle name="Heading 2 2 7" xfId="158"/>
    <cellStyle name="Heading 2 2 7 2" xfId="4664"/>
    <cellStyle name="Heading 2 2 7_consumption scenario A" xfId="5048"/>
    <cellStyle name="Heading 2 2 8" xfId="162"/>
    <cellStyle name="Heading 2 2 8 2" xfId="4665"/>
    <cellStyle name="Heading 2 2 8_consumption scenario A" xfId="5049"/>
    <cellStyle name="Heading 2 2 9" xfId="165"/>
    <cellStyle name="Heading 2 2 9 2" xfId="4668"/>
    <cellStyle name="Heading 2 2 9_consumption scenario A" xfId="5050"/>
    <cellStyle name="Heading 2 2_consumption scenario A" xfId="5043"/>
    <cellStyle name="Heading 2 20" xfId="4650"/>
    <cellStyle name="Heading 2 21" xfId="4652"/>
    <cellStyle name="Heading 2 22" xfId="4651"/>
    <cellStyle name="Heading 2 23" xfId="4657"/>
    <cellStyle name="Heading 2 24" xfId="4656"/>
    <cellStyle name="Heading 2 25" xfId="4654"/>
    <cellStyle name="Heading 2 26" xfId="4673"/>
    <cellStyle name="Heading 2 27" xfId="4675"/>
    <cellStyle name="Heading 2 28" xfId="4674"/>
    <cellStyle name="Heading 2 29" xfId="4679"/>
    <cellStyle name="heading 2 3" xfId="132"/>
    <cellStyle name="Heading 2 30" xfId="4678"/>
    <cellStyle name="Heading 2 31" xfId="4681"/>
    <cellStyle name="Heading 2 32" xfId="4689"/>
    <cellStyle name="Heading 2 33" xfId="4691"/>
    <cellStyle name="Heading 2 34" xfId="4685"/>
    <cellStyle name="Heading 2 35" xfId="4696"/>
    <cellStyle name="Heading 2 36" xfId="4694"/>
    <cellStyle name="Heading 2 37" xfId="4697"/>
    <cellStyle name="Heading 2 38" xfId="4693"/>
    <cellStyle name="Heading 2 39" xfId="4699"/>
    <cellStyle name="heading 2 4" xfId="142"/>
    <cellStyle name="Heading 2 40" xfId="4702"/>
    <cellStyle name="Heading 2 41" xfId="4716"/>
    <cellStyle name="Heading 2 42" xfId="4706"/>
    <cellStyle name="Heading 2 43" xfId="4721"/>
    <cellStyle name="Heading 2 44" xfId="4703"/>
    <cellStyle name="Heading 2 45" xfId="4728"/>
    <cellStyle name="Heading 2 46" xfId="4704"/>
    <cellStyle name="Heading 2 47" xfId="4722"/>
    <cellStyle name="Heading 2 48" xfId="4720"/>
    <cellStyle name="Heading 2 49" xfId="4713"/>
    <cellStyle name="heading 2 5" xfId="143"/>
    <cellStyle name="Heading 2 50" xfId="4707"/>
    <cellStyle name="Heading 2 51" xfId="4718"/>
    <cellStyle name="Heading 2 52" xfId="4734"/>
    <cellStyle name="Heading 2 53" xfId="4719"/>
    <cellStyle name="Heading 2 54" xfId="4717"/>
    <cellStyle name="Heading 2 55" xfId="4705"/>
    <cellStyle name="Heading 2 56" xfId="4723"/>
    <cellStyle name="Heading 2 57" xfId="4712"/>
    <cellStyle name="Heading 2 58" xfId="4740"/>
    <cellStyle name="Heading 2 59" xfId="4736"/>
    <cellStyle name="heading 2 6" xfId="140"/>
    <cellStyle name="Heading 2 60" xfId="4708"/>
    <cellStyle name="Heading 2 61" xfId="4754"/>
    <cellStyle name="Heading 2 62" xfId="4765"/>
    <cellStyle name="Heading 2 63" xfId="4766"/>
    <cellStyle name="Heading 2 64" xfId="4767"/>
    <cellStyle name="Heading 2 65" xfId="4768"/>
    <cellStyle name="Heading 2 66" xfId="4769"/>
    <cellStyle name="Heading 2 67" xfId="4770"/>
    <cellStyle name="Heading 2 68" xfId="4771"/>
    <cellStyle name="Heading 2 69" xfId="4772"/>
    <cellStyle name="heading 2 7" xfId="129"/>
    <cellStyle name="Heading 2 70" xfId="4773"/>
    <cellStyle name="heading 2 8" xfId="103"/>
    <cellStyle name="heading 2 9" xfId="119"/>
    <cellStyle name="Heading 2_AEO proration factors" xfId="4591"/>
    <cellStyle name="Heading 3" xfId="17" builtinId="18" hidden="1" customBuiltin="1"/>
    <cellStyle name="Heading 3" xfId="94" builtinId="18" customBuiltin="1"/>
    <cellStyle name="Heading 3 2" xfId="4604"/>
    <cellStyle name="Heading 4" xfId="18" builtinId="19" hidden="1" customBuiltin="1"/>
    <cellStyle name="Heading 4" xfId="95" builtinId="19" customBuiltin="1"/>
    <cellStyle name="Heading 4 2" xfId="4605"/>
    <cellStyle name="Hyperlink" xfId="12" builtinId="8" hidden="1"/>
    <cellStyle name="Hyperlink" xfId="48" builtinId="8" hidden="1"/>
    <cellStyle name="Hyperlink" xfId="63" builtinId="8"/>
    <cellStyle name="Hyperlink 2" xfId="138"/>
    <cellStyle name="Hyperlink 2 2" xfId="188"/>
    <cellStyle name="Hyperlink 3" xfId="107"/>
    <cellStyle name="Hyperlink 3 2" xfId="189"/>
    <cellStyle name="Hyperlink 3 3" xfId="4480"/>
    <cellStyle name="Hyperlink 3_consumption scenario A" xfId="5051"/>
    <cellStyle name="Hyperlink 4" xfId="4496"/>
    <cellStyle name="Input" xfId="13" builtinId="20" hidden="1"/>
    <cellStyle name="Input" xfId="58" builtinId="20"/>
    <cellStyle name="Input 2" xfId="118"/>
    <cellStyle name="Input 2 2" xfId="4606"/>
    <cellStyle name="Input 3" xfId="133"/>
    <cellStyle name="Input 4" xfId="106"/>
    <cellStyle name="Input 5" xfId="4495"/>
    <cellStyle name="label" xfId="52"/>
    <cellStyle name="label 2" xfId="185"/>
    <cellStyle name="Linked Cell" xfId="22" builtinId="24" hidden="1" customBuiltin="1"/>
    <cellStyle name="Linked Cell" xfId="96" builtinId="24" customBuiltin="1"/>
    <cellStyle name="Linked Cell 2" xfId="4607"/>
    <cellStyle name="mixed" xfId="65"/>
    <cellStyle name="Neutral" xfId="19" builtinId="28" hidden="1" customBuiltin="1"/>
    <cellStyle name="Neutral" xfId="97" builtinId="28" customBuiltin="1"/>
    <cellStyle name="Neutral 2" xfId="4608"/>
    <cellStyle name="Normal" xfId="0" builtinId="0" customBuiltin="1"/>
    <cellStyle name="Normal 10" xfId="190"/>
    <cellStyle name="Normal 10 2" xfId="4487"/>
    <cellStyle name="Normal 10 2 10" xfId="40829"/>
    <cellStyle name="Normal 10 2 2" xfId="4565"/>
    <cellStyle name="Normal 10 2 2 2" xfId="4774"/>
    <cellStyle name="Normal 10 2 2 2 2" xfId="4775"/>
    <cellStyle name="Normal 10 2 2 2 2 2" xfId="37229"/>
    <cellStyle name="Normal 10 2 2 2 2 3" xfId="38835"/>
    <cellStyle name="Normal 10 2 2 2 2 4" xfId="5416"/>
    <cellStyle name="Normal 10 2 2 2 2 5" xfId="40573"/>
    <cellStyle name="Normal 10 2 2 2 2 6" xfId="42114"/>
    <cellStyle name="Normal 10 2 2 2 3" xfId="5209"/>
    <cellStyle name="Normal 10 2 2 2 3 2" xfId="38559"/>
    <cellStyle name="Normal 10 2 2 2 3 3" xfId="39128"/>
    <cellStyle name="Normal 10 2 2 2 3 4" xfId="5709"/>
    <cellStyle name="Normal 10 2 2 2 4" xfId="37228"/>
    <cellStyle name="Normal 10 2 2 2 5" xfId="38834"/>
    <cellStyle name="Normal 10 2 2 2 6" xfId="5415"/>
    <cellStyle name="Normal 10 2 2 2 7" xfId="39855"/>
    <cellStyle name="Normal 10 2 2 2 8" xfId="41396"/>
    <cellStyle name="Normal 10 2 2 2_consumption scenario A" xfId="5089"/>
    <cellStyle name="Normal 10 2 2 3" xfId="4776"/>
    <cellStyle name="Normal 10 2 2 3 2" xfId="37230"/>
    <cellStyle name="Normal 10 2 2 3 3" xfId="38836"/>
    <cellStyle name="Normal 10 2 2 3 4" xfId="5417"/>
    <cellStyle name="Normal 10 2 2 3 5" xfId="40252"/>
    <cellStyle name="Normal 10 2 2 3 6" xfId="41793"/>
    <cellStyle name="Normal 10 2 2 4" xfId="5170"/>
    <cellStyle name="Normal 10 2 2 4 2" xfId="38237"/>
    <cellStyle name="Normal 10 2 2 4 3" xfId="39090"/>
    <cellStyle name="Normal 10 2 2 4 4" xfId="5671"/>
    <cellStyle name="Normal 10 2 2 5" xfId="35889"/>
    <cellStyle name="Normal 10 2 2 6" xfId="38814"/>
    <cellStyle name="Normal 10 2 2 7" xfId="5395"/>
    <cellStyle name="Normal 10 2 2 8" xfId="39534"/>
    <cellStyle name="Normal 10 2 2 9" xfId="41075"/>
    <cellStyle name="Normal 10 2 2_AEO proration factors" xfId="4777"/>
    <cellStyle name="Normal 10 2 3" xfId="4778"/>
    <cellStyle name="Normal 10 2 3 2" xfId="4779"/>
    <cellStyle name="Normal 10 2 3 2 2" xfId="37232"/>
    <cellStyle name="Normal 10 2 3 2 3" xfId="38838"/>
    <cellStyle name="Normal 10 2 3 2 4" xfId="5419"/>
    <cellStyle name="Normal 10 2 3 2 5" xfId="40572"/>
    <cellStyle name="Normal 10 2 3 2 6" xfId="42113"/>
    <cellStyle name="Normal 10 2 3 3" xfId="5208"/>
    <cellStyle name="Normal 10 2 3 3 2" xfId="38558"/>
    <cellStyle name="Normal 10 2 3 3 3" xfId="39127"/>
    <cellStyle name="Normal 10 2 3 3 4" xfId="5708"/>
    <cellStyle name="Normal 10 2 3 4" xfId="37231"/>
    <cellStyle name="Normal 10 2 3 5" xfId="38837"/>
    <cellStyle name="Normal 10 2 3 6" xfId="5418"/>
    <cellStyle name="Normal 10 2 3 7" xfId="39854"/>
    <cellStyle name="Normal 10 2 3 8" xfId="41395"/>
    <cellStyle name="Normal 10 2 3_consumption scenario A" xfId="5090"/>
    <cellStyle name="Normal 10 2 4" xfId="4780"/>
    <cellStyle name="Normal 10 2 4 2" xfId="37233"/>
    <cellStyle name="Normal 10 2 4 3" xfId="38839"/>
    <cellStyle name="Normal 10 2 4 4" xfId="5420"/>
    <cellStyle name="Normal 10 2 4 5" xfId="40018"/>
    <cellStyle name="Normal 10 2 4 6" xfId="41559"/>
    <cellStyle name="Normal 10 2 5" xfId="5148"/>
    <cellStyle name="Normal 10 2 5 2" xfId="38003"/>
    <cellStyle name="Normal 10 2 5 3" xfId="39068"/>
    <cellStyle name="Normal 10 2 5 4" xfId="5649"/>
    <cellStyle name="Normal 10 2 6" xfId="35628"/>
    <cellStyle name="Normal 10 2 7" xfId="38758"/>
    <cellStyle name="Normal 10 2 8" xfId="5339"/>
    <cellStyle name="Normal 10 2 9" xfId="39300"/>
    <cellStyle name="Normal 10 2_AEO proration factors" xfId="4781"/>
    <cellStyle name="Normal 10 3" xfId="4520"/>
    <cellStyle name="Normal 10 3 2" xfId="4630"/>
    <cellStyle name="Normal 10 3 3" xfId="35761"/>
    <cellStyle name="Normal 10 3 4" xfId="38782"/>
    <cellStyle name="Normal 10 3 5" xfId="5363"/>
    <cellStyle name="Normal 10 3_consumption scenario A" xfId="5052"/>
    <cellStyle name="Normal 10 4" xfId="4545"/>
    <cellStyle name="Normal 10 4 2" xfId="4782"/>
    <cellStyle name="Normal 10 4 2 2" xfId="4783"/>
    <cellStyle name="Normal 10 4 2 2 2" xfId="37235"/>
    <cellStyle name="Normal 10 4 2 2 3" xfId="38841"/>
    <cellStyle name="Normal 10 4 2 2 4" xfId="5422"/>
    <cellStyle name="Normal 10 4 2 2 5" xfId="40574"/>
    <cellStyle name="Normal 10 4 2 2 6" xfId="42115"/>
    <cellStyle name="Normal 10 4 2 3" xfId="5210"/>
    <cellStyle name="Normal 10 4 2 3 2" xfId="38560"/>
    <cellStyle name="Normal 10 4 2 3 3" xfId="39129"/>
    <cellStyle name="Normal 10 4 2 3 4" xfId="5710"/>
    <cellStyle name="Normal 10 4 2 4" xfId="37234"/>
    <cellStyle name="Normal 10 4 2 5" xfId="38840"/>
    <cellStyle name="Normal 10 4 2 6" xfId="5421"/>
    <cellStyle name="Normal 10 4 2 7" xfId="39856"/>
    <cellStyle name="Normal 10 4 2 8" xfId="41397"/>
    <cellStyle name="Normal 10 4 2_consumption scenario A" xfId="5091"/>
    <cellStyle name="Normal 10 4 3" xfId="4784"/>
    <cellStyle name="Normal 10 4 3 2" xfId="37236"/>
    <cellStyle name="Normal 10 4 3 3" xfId="38842"/>
    <cellStyle name="Normal 10 4 3 4" xfId="5423"/>
    <cellStyle name="Normal 10 4 3 5" xfId="40251"/>
    <cellStyle name="Normal 10 4 3 6" xfId="41792"/>
    <cellStyle name="Normal 10 4 4" xfId="5169"/>
    <cellStyle name="Normal 10 4 4 2" xfId="38236"/>
    <cellStyle name="Normal 10 4 4 3" xfId="39089"/>
    <cellStyle name="Normal 10 4 4 4" xfId="5670"/>
    <cellStyle name="Normal 10 4 5" xfId="35828"/>
    <cellStyle name="Normal 10 4 6" xfId="38801"/>
    <cellStyle name="Normal 10 4 7" xfId="5382"/>
    <cellStyle name="Normal 10 4 8" xfId="39533"/>
    <cellStyle name="Normal 10 4 9" xfId="41074"/>
    <cellStyle name="Normal 10 4_AEO proration factors" xfId="4785"/>
    <cellStyle name="Normal 10 5" xfId="4786"/>
    <cellStyle name="Normal 10 5 2" xfId="4787"/>
    <cellStyle name="Normal 10 5 2 2" xfId="37238"/>
    <cellStyle name="Normal 10 5 2 3" xfId="38844"/>
    <cellStyle name="Normal 10 5 2 4" xfId="5425"/>
    <cellStyle name="Normal 10 5 2 5" xfId="40571"/>
    <cellStyle name="Normal 10 5 2 6" xfId="42112"/>
    <cellStyle name="Normal 10 5 3" xfId="5207"/>
    <cellStyle name="Normal 10 5 3 2" xfId="38557"/>
    <cellStyle name="Normal 10 5 3 3" xfId="39126"/>
    <cellStyle name="Normal 10 5 3 4" xfId="5707"/>
    <cellStyle name="Normal 10 5 4" xfId="37237"/>
    <cellStyle name="Normal 10 5 5" xfId="38843"/>
    <cellStyle name="Normal 10 5 6" xfId="5424"/>
    <cellStyle name="Normal 10 5 7" xfId="39853"/>
    <cellStyle name="Normal 10 5 8" xfId="41394"/>
    <cellStyle name="Normal 10 5_consumption scenario A" xfId="5092"/>
    <cellStyle name="Normal 10 6" xfId="4788"/>
    <cellStyle name="Normal 10 6 2" xfId="37239"/>
    <cellStyle name="Normal 10 6 3" xfId="38845"/>
    <cellStyle name="Normal 10 6 4" xfId="5426"/>
    <cellStyle name="Normal 10 6 5" xfId="39957"/>
    <cellStyle name="Normal 10 6 6" xfId="41498"/>
    <cellStyle name="Normal 10 7" xfId="5135"/>
    <cellStyle name="Normal 10 7 2" xfId="37942"/>
    <cellStyle name="Normal 10 7 3" xfId="39055"/>
    <cellStyle name="Normal 10 7 4" xfId="5636"/>
    <cellStyle name="Normal 10 8" xfId="39239"/>
    <cellStyle name="Normal 10 9" xfId="40762"/>
    <cellStyle name="Normal 10_AEO proration factors" xfId="4789"/>
    <cellStyle name="Normal 11" xfId="191"/>
    <cellStyle name="Normal 11 2" xfId="4633"/>
    <cellStyle name="Normal 11 3" xfId="4572"/>
    <cellStyle name="Normal 11 3 2" xfId="4790"/>
    <cellStyle name="Normal 11 3 2 2" xfId="4791"/>
    <cellStyle name="Normal 11 3 2 2 2" xfId="37241"/>
    <cellStyle name="Normal 11 3 2 2 3" xfId="38847"/>
    <cellStyle name="Normal 11 3 2 2 4" xfId="5428"/>
    <cellStyle name="Normal 11 3 2 2 5" xfId="40576"/>
    <cellStyle name="Normal 11 3 2 2 6" xfId="42117"/>
    <cellStyle name="Normal 11 3 2 3" xfId="5212"/>
    <cellStyle name="Normal 11 3 2 3 2" xfId="38562"/>
    <cellStyle name="Normal 11 3 2 3 3" xfId="39131"/>
    <cellStyle name="Normal 11 3 2 3 4" xfId="5712"/>
    <cellStyle name="Normal 11 3 2 4" xfId="37240"/>
    <cellStyle name="Normal 11 3 2 5" xfId="38846"/>
    <cellStyle name="Normal 11 3 2 6" xfId="5427"/>
    <cellStyle name="Normal 11 3 2 7" xfId="39858"/>
    <cellStyle name="Normal 11 3 2 8" xfId="41399"/>
    <cellStyle name="Normal 11 3 2_consumption scenario A" xfId="5093"/>
    <cellStyle name="Normal 11 3 3" xfId="4792"/>
    <cellStyle name="Normal 11 3 3 2" xfId="37242"/>
    <cellStyle name="Normal 11 3 3 3" xfId="38848"/>
    <cellStyle name="Normal 11 3 3 4" xfId="5429"/>
    <cellStyle name="Normal 11 3 3 5" xfId="40253"/>
    <cellStyle name="Normal 11 3 3 6" xfId="41794"/>
    <cellStyle name="Normal 11 3 4" xfId="5171"/>
    <cellStyle name="Normal 11 3 4 2" xfId="38238"/>
    <cellStyle name="Normal 11 3 4 3" xfId="39091"/>
    <cellStyle name="Normal 11 3 4 4" xfId="5672"/>
    <cellStyle name="Normal 11 3 5" xfId="35920"/>
    <cellStyle name="Normal 11 3 6" xfId="38821"/>
    <cellStyle name="Normal 11 3 7" xfId="5402"/>
    <cellStyle name="Normal 11 3 8" xfId="39535"/>
    <cellStyle name="Normal 11 3 9" xfId="41076"/>
    <cellStyle name="Normal 11 3_AEO proration factors" xfId="4793"/>
    <cellStyle name="Normal 11 4" xfId="4794"/>
    <cellStyle name="Normal 11 4 2" xfId="4795"/>
    <cellStyle name="Normal 11 4 2 2" xfId="37244"/>
    <cellStyle name="Normal 11 4 2 3" xfId="38850"/>
    <cellStyle name="Normal 11 4 2 4" xfId="5431"/>
    <cellStyle name="Normal 11 4 2 5" xfId="40575"/>
    <cellStyle name="Normal 11 4 2 6" xfId="42116"/>
    <cellStyle name="Normal 11 4 3" xfId="5211"/>
    <cellStyle name="Normal 11 4 3 2" xfId="38561"/>
    <cellStyle name="Normal 11 4 3 3" xfId="39130"/>
    <cellStyle name="Normal 11 4 3 4" xfId="5711"/>
    <cellStyle name="Normal 11 4 4" xfId="37243"/>
    <cellStyle name="Normal 11 4 5" xfId="38849"/>
    <cellStyle name="Normal 11 4 6" xfId="5430"/>
    <cellStyle name="Normal 11 4 7" xfId="39857"/>
    <cellStyle name="Normal 11 4 8" xfId="41398"/>
    <cellStyle name="Normal 11 4_consumption scenario A" xfId="5094"/>
    <cellStyle name="Normal 11 5" xfId="4796"/>
    <cellStyle name="Normal 11 5 2" xfId="37245"/>
    <cellStyle name="Normal 11 5 3" xfId="38851"/>
    <cellStyle name="Normal 11 5 4" xfId="5432"/>
    <cellStyle name="Normal 11 5 5" xfId="40049"/>
    <cellStyle name="Normal 11 5 6" xfId="41590"/>
    <cellStyle name="Normal 11 6" xfId="5155"/>
    <cellStyle name="Normal 11 6 2" xfId="38034"/>
    <cellStyle name="Normal 11 6 3" xfId="39075"/>
    <cellStyle name="Normal 11 6 4" xfId="5656"/>
    <cellStyle name="Normal 11 7" xfId="39331"/>
    <cellStyle name="Normal 11 8" xfId="40860"/>
    <cellStyle name="Normal 11_AEO proration factors" xfId="4797"/>
    <cellStyle name="Normal 12" xfId="192"/>
    <cellStyle name="Normal 12 2" xfId="193"/>
    <cellStyle name="Normal 12 3" xfId="4635"/>
    <cellStyle name="Normal 12_consumption scenario A" xfId="5053"/>
    <cellStyle name="Normal 13" xfId="194"/>
    <cellStyle name="Normal 13 2" xfId="195"/>
    <cellStyle name="Normal 13 3" xfId="4637"/>
    <cellStyle name="Normal 13_consumption scenario A" xfId="5054"/>
    <cellStyle name="Normal 14" xfId="196"/>
    <cellStyle name="Normal 14 2" xfId="4662"/>
    <cellStyle name="Normal 14 2 2" xfId="4798"/>
    <cellStyle name="Normal 14 2_AEO proration factors" xfId="4799"/>
    <cellStyle name="Normal 14 3" xfId="4596"/>
    <cellStyle name="Normal 14_consumption scenario A" xfId="5055"/>
    <cellStyle name="Normal 15" xfId="197"/>
    <cellStyle name="Normal 15 2" xfId="4582"/>
    <cellStyle name="Normal 15 2 2" xfId="4800"/>
    <cellStyle name="Normal 15 2 2 2" xfId="4801"/>
    <cellStyle name="Normal 15 2 2 2 2" xfId="37247"/>
    <cellStyle name="Normal 15 2 2 2 3" xfId="38853"/>
    <cellStyle name="Normal 15 2 2 2 4" xfId="5434"/>
    <cellStyle name="Normal 15 2 2 2 5" xfId="40578"/>
    <cellStyle name="Normal 15 2 2 2 6" xfId="42119"/>
    <cellStyle name="Normal 15 2 2 3" xfId="5214"/>
    <cellStyle name="Normal 15 2 2 3 2" xfId="38564"/>
    <cellStyle name="Normal 15 2 2 3 3" xfId="39133"/>
    <cellStyle name="Normal 15 2 2 3 4" xfId="5714"/>
    <cellStyle name="Normal 15 2 2 4" xfId="37246"/>
    <cellStyle name="Normal 15 2 2 5" xfId="38852"/>
    <cellStyle name="Normal 15 2 2 6" xfId="5433"/>
    <cellStyle name="Normal 15 2 2 7" xfId="39860"/>
    <cellStyle name="Normal 15 2 2 8" xfId="41401"/>
    <cellStyle name="Normal 15 2 2_consumption scenario A" xfId="5095"/>
    <cellStyle name="Normal 15 2 3" xfId="4802"/>
    <cellStyle name="Normal 15 2 3 2" xfId="37248"/>
    <cellStyle name="Normal 15 2 3 3" xfId="38854"/>
    <cellStyle name="Normal 15 2 3 4" xfId="5435"/>
    <cellStyle name="Normal 15 2 3 5" xfId="40254"/>
    <cellStyle name="Normal 15 2 3 6" xfId="41795"/>
    <cellStyle name="Normal 15 2 4" xfId="5172"/>
    <cellStyle name="Normal 15 2 4 2" xfId="38239"/>
    <cellStyle name="Normal 15 2 4 3" xfId="39092"/>
    <cellStyle name="Normal 15 2 4 4" xfId="5673"/>
    <cellStyle name="Normal 15 2 5" xfId="35934"/>
    <cellStyle name="Normal 15 2 6" xfId="38823"/>
    <cellStyle name="Normal 15 2 7" xfId="5404"/>
    <cellStyle name="Normal 15 2 8" xfId="39536"/>
    <cellStyle name="Normal 15 2 9" xfId="41077"/>
    <cellStyle name="Normal 15 2_AEO proration factors" xfId="4803"/>
    <cellStyle name="Normal 15 3" xfId="4804"/>
    <cellStyle name="Normal 15 3 2" xfId="4805"/>
    <cellStyle name="Normal 15 3 2 2" xfId="37250"/>
    <cellStyle name="Normal 15 3 2 3" xfId="38856"/>
    <cellStyle name="Normal 15 3 2 4" xfId="5437"/>
    <cellStyle name="Normal 15 3 2 5" xfId="40577"/>
    <cellStyle name="Normal 15 3 2 6" xfId="42118"/>
    <cellStyle name="Normal 15 3 3" xfId="5213"/>
    <cellStyle name="Normal 15 3 3 2" xfId="38563"/>
    <cellStyle name="Normal 15 3 3 3" xfId="39132"/>
    <cellStyle name="Normal 15 3 3 4" xfId="5713"/>
    <cellStyle name="Normal 15 3 4" xfId="37249"/>
    <cellStyle name="Normal 15 3 5" xfId="38855"/>
    <cellStyle name="Normal 15 3 6" xfId="5436"/>
    <cellStyle name="Normal 15 3 7" xfId="39859"/>
    <cellStyle name="Normal 15 3 8" xfId="41400"/>
    <cellStyle name="Normal 15 3_consumption scenario A" xfId="5096"/>
    <cellStyle name="Normal 15 4" xfId="4806"/>
    <cellStyle name="Normal 15 4 2" xfId="37251"/>
    <cellStyle name="Normal 15 4 3" xfId="38857"/>
    <cellStyle name="Normal 15 4 4" xfId="5438"/>
    <cellStyle name="Normal 15 4 5" xfId="40064"/>
    <cellStyle name="Normal 15 4 6" xfId="41605"/>
    <cellStyle name="Normal 15 5" xfId="5157"/>
    <cellStyle name="Normal 15 5 2" xfId="38049"/>
    <cellStyle name="Normal 15 5 3" xfId="39077"/>
    <cellStyle name="Normal 15 5 4" xfId="5658"/>
    <cellStyle name="Normal 15 6" xfId="39346"/>
    <cellStyle name="Normal 15 7" xfId="40880"/>
    <cellStyle name="Normal 15_AEO proration factors" xfId="4807"/>
    <cellStyle name="Normal 16" xfId="198"/>
    <cellStyle name="Normal 16 2" xfId="4655"/>
    <cellStyle name="Normal 16_consumption scenario A" xfId="5056"/>
    <cellStyle name="Normal 17" xfId="199"/>
    <cellStyle name="Normal 17 2" xfId="4661"/>
    <cellStyle name="Normal 17 2 2" xfId="4808"/>
    <cellStyle name="Normal 17 2 2 2" xfId="4809"/>
    <cellStyle name="Normal 17 2 2 2 2" xfId="37253"/>
    <cellStyle name="Normal 17 2 2 2 3" xfId="38859"/>
    <cellStyle name="Normal 17 2 2 2 4" xfId="5440"/>
    <cellStyle name="Normal 17 2 2 2 5" xfId="40580"/>
    <cellStyle name="Normal 17 2 2 2 6" xfId="42121"/>
    <cellStyle name="Normal 17 2 2 3" xfId="5216"/>
    <cellStyle name="Normal 17 2 2 3 2" xfId="38566"/>
    <cellStyle name="Normal 17 2 2 3 3" xfId="39135"/>
    <cellStyle name="Normal 17 2 2 3 4" xfId="5716"/>
    <cellStyle name="Normal 17 2 2 4" xfId="37252"/>
    <cellStyle name="Normal 17 2 2 5" xfId="38858"/>
    <cellStyle name="Normal 17 2 2 6" xfId="5439"/>
    <cellStyle name="Normal 17 2 2 7" xfId="39862"/>
    <cellStyle name="Normal 17 2 2 8" xfId="41403"/>
    <cellStyle name="Normal 17 2 2_consumption scenario A" xfId="5097"/>
    <cellStyle name="Normal 17 2 3" xfId="4810"/>
    <cellStyle name="Normal 17 2 3 2" xfId="37254"/>
    <cellStyle name="Normal 17 2 3 3" xfId="38860"/>
    <cellStyle name="Normal 17 2 3 4" xfId="5441"/>
    <cellStyle name="Normal 17 2 3 5" xfId="40255"/>
    <cellStyle name="Normal 17 2 3 6" xfId="41796"/>
    <cellStyle name="Normal 17 2 4" xfId="5173"/>
    <cellStyle name="Normal 17 2 4 2" xfId="38240"/>
    <cellStyle name="Normal 17 2 4 3" xfId="39093"/>
    <cellStyle name="Normal 17 2 4 4" xfId="5674"/>
    <cellStyle name="Normal 17 2 5" xfId="36098"/>
    <cellStyle name="Normal 17 2 6" xfId="38826"/>
    <cellStyle name="Normal 17 2 7" xfId="5407"/>
    <cellStyle name="Normal 17 2 8" xfId="39537"/>
    <cellStyle name="Normal 17 2 9" xfId="41078"/>
    <cellStyle name="Normal 17 2_AEO proration factors" xfId="4811"/>
    <cellStyle name="Normal 17 3" xfId="4812"/>
    <cellStyle name="Normal 17 3 2" xfId="4813"/>
    <cellStyle name="Normal 17 3 2 2" xfId="37256"/>
    <cellStyle name="Normal 17 3 2 3" xfId="38862"/>
    <cellStyle name="Normal 17 3 2 4" xfId="5443"/>
    <cellStyle name="Normal 17 3 2 5" xfId="40579"/>
    <cellStyle name="Normal 17 3 2 6" xfId="42120"/>
    <cellStyle name="Normal 17 3 3" xfId="5215"/>
    <cellStyle name="Normal 17 3 3 2" xfId="38565"/>
    <cellStyle name="Normal 17 3 3 3" xfId="39134"/>
    <cellStyle name="Normal 17 3 3 4" xfId="5715"/>
    <cellStyle name="Normal 17 3 4" xfId="37255"/>
    <cellStyle name="Normal 17 3 5" xfId="38861"/>
    <cellStyle name="Normal 17 3 6" xfId="5442"/>
    <cellStyle name="Normal 17 3 7" xfId="39861"/>
    <cellStyle name="Normal 17 3 8" xfId="41402"/>
    <cellStyle name="Normal 17 3_consumption scenario A" xfId="5098"/>
    <cellStyle name="Normal 17 4" xfId="4814"/>
    <cellStyle name="Normal 17 4 2" xfId="37257"/>
    <cellStyle name="Normal 17 4 3" xfId="38863"/>
    <cellStyle name="Normal 17 4 4" xfId="5444"/>
    <cellStyle name="Normal 17 4 5" xfId="40080"/>
    <cellStyle name="Normal 17 4 6" xfId="41621"/>
    <cellStyle name="Normal 17 5" xfId="5160"/>
    <cellStyle name="Normal 17 5 2" xfId="38065"/>
    <cellStyle name="Normal 17 5 3" xfId="39080"/>
    <cellStyle name="Normal 17 5 4" xfId="5661"/>
    <cellStyle name="Normal 17 6" xfId="39362"/>
    <cellStyle name="Normal 17 7" xfId="40903"/>
    <cellStyle name="Normal 17_AEO proration factors" xfId="4815"/>
    <cellStyle name="Normal 18" xfId="184"/>
    <cellStyle name="Normal 18 2" xfId="4670"/>
    <cellStyle name="Normal 18 2 2" xfId="4816"/>
    <cellStyle name="Normal 18 2 2 2" xfId="4817"/>
    <cellStyle name="Normal 18 2 2 2 2" xfId="37259"/>
    <cellStyle name="Normal 18 2 2 2 3" xfId="38865"/>
    <cellStyle name="Normal 18 2 2 2 4" xfId="5446"/>
    <cellStyle name="Normal 18 2 2 2 5" xfId="40582"/>
    <cellStyle name="Normal 18 2 2 2 6" xfId="42123"/>
    <cellStyle name="Normal 18 2 2 3" xfId="5218"/>
    <cellStyle name="Normal 18 2 2 3 2" xfId="38568"/>
    <cellStyle name="Normal 18 2 2 3 3" xfId="39137"/>
    <cellStyle name="Normal 18 2 2 3 4" xfId="5718"/>
    <cellStyle name="Normal 18 2 2 4" xfId="37258"/>
    <cellStyle name="Normal 18 2 2 5" xfId="38864"/>
    <cellStyle name="Normal 18 2 2 6" xfId="5445"/>
    <cellStyle name="Normal 18 2 2 7" xfId="39864"/>
    <cellStyle name="Normal 18 2 2 8" xfId="41405"/>
    <cellStyle name="Normal 18 2 2_consumption scenario A" xfId="5099"/>
    <cellStyle name="Normal 18 2 3" xfId="4818"/>
    <cellStyle name="Normal 18 2 3 2" xfId="37260"/>
    <cellStyle name="Normal 18 2 3 3" xfId="38866"/>
    <cellStyle name="Normal 18 2 3 4" xfId="5447"/>
    <cellStyle name="Normal 18 2 3 5" xfId="40256"/>
    <cellStyle name="Normal 18 2 3 6" xfId="41797"/>
    <cellStyle name="Normal 18 2 4" xfId="5174"/>
    <cellStyle name="Normal 18 2 4 2" xfId="38241"/>
    <cellStyle name="Normal 18 2 4 3" xfId="39094"/>
    <cellStyle name="Normal 18 2 4 4" xfId="5675"/>
    <cellStyle name="Normal 18 2 5" xfId="36101"/>
    <cellStyle name="Normal 18 2 6" xfId="38828"/>
    <cellStyle name="Normal 18 2 7" xfId="5409"/>
    <cellStyle name="Normal 18 2 8" xfId="39538"/>
    <cellStyle name="Normal 18 2 9" xfId="41079"/>
    <cellStyle name="Normal 18 2_AEO proration factors" xfId="4819"/>
    <cellStyle name="Normal 18 3" xfId="4820"/>
    <cellStyle name="Normal 18 3 2" xfId="4821"/>
    <cellStyle name="Normal 18 3 2 2" xfId="37262"/>
    <cellStyle name="Normal 18 3 2 3" xfId="38868"/>
    <cellStyle name="Normal 18 3 2 4" xfId="5449"/>
    <cellStyle name="Normal 18 3 2 5" xfId="40581"/>
    <cellStyle name="Normal 18 3 2 6" xfId="42122"/>
    <cellStyle name="Normal 18 3 3" xfId="5217"/>
    <cellStyle name="Normal 18 3 3 2" xfId="38567"/>
    <cellStyle name="Normal 18 3 3 3" xfId="39136"/>
    <cellStyle name="Normal 18 3 3 4" xfId="5717"/>
    <cellStyle name="Normal 18 3 4" xfId="37261"/>
    <cellStyle name="Normal 18 3 5" xfId="38867"/>
    <cellStyle name="Normal 18 3 6" xfId="5448"/>
    <cellStyle name="Normal 18 3 7" xfId="39863"/>
    <cellStyle name="Normal 18 3 8" xfId="41404"/>
    <cellStyle name="Normal 18 3_consumption scenario A" xfId="5100"/>
    <cellStyle name="Normal 18 4" xfId="4822"/>
    <cellStyle name="Normal 18 4 2" xfId="37263"/>
    <cellStyle name="Normal 18 4 3" xfId="38869"/>
    <cellStyle name="Normal 18 4 4" xfId="5450"/>
    <cellStyle name="Normal 18 4 5" xfId="40083"/>
    <cellStyle name="Normal 18 4 6" xfId="41624"/>
    <cellStyle name="Normal 18 5" xfId="5162"/>
    <cellStyle name="Normal 18 5 2" xfId="38068"/>
    <cellStyle name="Normal 18 5 3" xfId="39082"/>
    <cellStyle name="Normal 18 5 4" xfId="5663"/>
    <cellStyle name="Normal 18 6" xfId="39365"/>
    <cellStyle name="Normal 18 7" xfId="40906"/>
    <cellStyle name="Normal 18_AEO proration factors" xfId="4823"/>
    <cellStyle name="Normal 19" xfId="4530"/>
    <cellStyle name="Normal 19 10" xfId="40920"/>
    <cellStyle name="Normal 19 2" xfId="4824"/>
    <cellStyle name="Normal 19 2 2" xfId="4825"/>
    <cellStyle name="Normal 19 2 2 2" xfId="4826"/>
    <cellStyle name="Normal 19 2 2 2 2" xfId="37266"/>
    <cellStyle name="Normal 19 2 2 2 3" xfId="38872"/>
    <cellStyle name="Normal 19 2 2 2 4" xfId="5453"/>
    <cellStyle name="Normal 19 2 2 2 5" xfId="40584"/>
    <cellStyle name="Normal 19 2 2 2 6" xfId="42125"/>
    <cellStyle name="Normal 19 2 2 3" xfId="5220"/>
    <cellStyle name="Normal 19 2 2 3 2" xfId="38570"/>
    <cellStyle name="Normal 19 2 2 3 3" xfId="39139"/>
    <cellStyle name="Normal 19 2 2 3 4" xfId="5720"/>
    <cellStyle name="Normal 19 2 2 4" xfId="37265"/>
    <cellStyle name="Normal 19 2 2 5" xfId="38871"/>
    <cellStyle name="Normal 19 2 2 6" xfId="5452"/>
    <cellStyle name="Normal 19 2 2 7" xfId="39866"/>
    <cellStyle name="Normal 19 2 2 8" xfId="41407"/>
    <cellStyle name="Normal 19 2 2_consumption scenario A" xfId="5101"/>
    <cellStyle name="Normal 19 2 3" xfId="4827"/>
    <cellStyle name="Normal 19 2 3 2" xfId="37267"/>
    <cellStyle name="Normal 19 2 3 3" xfId="38873"/>
    <cellStyle name="Normal 19 2 3 4" xfId="5454"/>
    <cellStyle name="Normal 19 2 3 5" xfId="40257"/>
    <cellStyle name="Normal 19 2 3 6" xfId="41798"/>
    <cellStyle name="Normal 19 2 4" xfId="5175"/>
    <cellStyle name="Normal 19 2 4 2" xfId="38242"/>
    <cellStyle name="Normal 19 2 4 3" xfId="39095"/>
    <cellStyle name="Normal 19 2 4 4" xfId="5676"/>
    <cellStyle name="Normal 19 2 5" xfId="37264"/>
    <cellStyle name="Normal 19 2 6" xfId="38870"/>
    <cellStyle name="Normal 19 2 7" xfId="5451"/>
    <cellStyle name="Normal 19 2 8" xfId="39539"/>
    <cellStyle name="Normal 19 2 9" xfId="41080"/>
    <cellStyle name="Normal 19 2_AEO proration factors" xfId="4828"/>
    <cellStyle name="Normal 19 3" xfId="4829"/>
    <cellStyle name="Normal 19 3 2" xfId="4830"/>
    <cellStyle name="Normal 19 3 2 2" xfId="37269"/>
    <cellStyle name="Normal 19 3 2 3" xfId="38875"/>
    <cellStyle name="Normal 19 3 2 4" xfId="5456"/>
    <cellStyle name="Normal 19 3 2 5" xfId="40583"/>
    <cellStyle name="Normal 19 3 2 6" xfId="42124"/>
    <cellStyle name="Normal 19 3 3" xfId="5219"/>
    <cellStyle name="Normal 19 3 3 2" xfId="38569"/>
    <cellStyle name="Normal 19 3 3 3" xfId="39138"/>
    <cellStyle name="Normal 19 3 3 4" xfId="5719"/>
    <cellStyle name="Normal 19 3 4" xfId="37268"/>
    <cellStyle name="Normal 19 3 5" xfId="38874"/>
    <cellStyle name="Normal 19 3 6" xfId="5455"/>
    <cellStyle name="Normal 19 3 7" xfId="39865"/>
    <cellStyle name="Normal 19 3 8" xfId="41406"/>
    <cellStyle name="Normal 19 3_consumption scenario A" xfId="5102"/>
    <cellStyle name="Normal 19 4" xfId="4831"/>
    <cellStyle name="Normal 19 4 2" xfId="37270"/>
    <cellStyle name="Normal 19 4 3" xfId="38876"/>
    <cellStyle name="Normal 19 4 4" xfId="5457"/>
    <cellStyle name="Normal 19 4 5" xfId="40097"/>
    <cellStyle name="Normal 19 4 6" xfId="41638"/>
    <cellStyle name="Normal 19 5" xfId="5164"/>
    <cellStyle name="Normal 19 5 2" xfId="38082"/>
    <cellStyle name="Normal 19 5 3" xfId="39084"/>
    <cellStyle name="Normal 19 5 4" xfId="5665"/>
    <cellStyle name="Normal 19 6" xfId="35793"/>
    <cellStyle name="Normal 19 7" xfId="38790"/>
    <cellStyle name="Normal 19 8" xfId="5371"/>
    <cellStyle name="Normal 19 9" xfId="39379"/>
    <cellStyle name="Normal 19_AEO proration factors" xfId="4832"/>
    <cellStyle name="Normal 2" xfId="59"/>
    <cellStyle name="Normal 2 10" xfId="201"/>
    <cellStyle name="Normal 2 11" xfId="202"/>
    <cellStyle name="Normal 2 12" xfId="203"/>
    <cellStyle name="Normal 2 13" xfId="200"/>
    <cellStyle name="Normal 2 14" xfId="5128"/>
    <cellStyle name="Normal 2 2" xfId="134"/>
    <cellStyle name="Normal 2 2 10" xfId="205"/>
    <cellStyle name="Normal 2 2 11" xfId="206"/>
    <cellStyle name="Normal 2 2 12" xfId="204"/>
    <cellStyle name="Normal 2 2 2" xfId="207"/>
    <cellStyle name="Normal 2 2 2 2" xfId="4609"/>
    <cellStyle name="Normal 2 2 2_consumption scenario A" xfId="5058"/>
    <cellStyle name="Normal 2 2 3" xfId="208"/>
    <cellStyle name="Normal 2 2 4" xfId="209"/>
    <cellStyle name="Normal 2 2 5" xfId="210"/>
    <cellStyle name="Normal 2 2 6" xfId="211"/>
    <cellStyle name="Normal 2 2 7" xfId="212"/>
    <cellStyle name="Normal 2 2 8" xfId="213"/>
    <cellStyle name="Normal 2 2 9" xfId="214"/>
    <cellStyle name="Normal 2 3" xfId="112"/>
    <cellStyle name="Normal 2 3 2" xfId="215"/>
    <cellStyle name="Normal 2 4" xfId="216"/>
    <cellStyle name="Normal 2 4 2" xfId="4490"/>
    <cellStyle name="Normal 2 4_consumption scenario A" xfId="5059"/>
    <cellStyle name="Normal 2 5" xfId="217"/>
    <cellStyle name="Normal 2 5 2" xfId="4594"/>
    <cellStyle name="Normal 2 5_consumption scenario A" xfId="5060"/>
    <cellStyle name="Normal 2 6" xfId="218"/>
    <cellStyle name="Normal 2 7" xfId="219"/>
    <cellStyle name="Normal 2 8" xfId="220"/>
    <cellStyle name="Normal 2 9" xfId="221"/>
    <cellStyle name="Normal 2_consumption scenario A" xfId="5057"/>
    <cellStyle name="Normal 20" xfId="4531"/>
    <cellStyle name="Normal 20 2" xfId="4833"/>
    <cellStyle name="Normal 20 2 2" xfId="4834"/>
    <cellStyle name="Normal 20 2 2 2" xfId="37272"/>
    <cellStyle name="Normal 20 2 2 3" xfId="38878"/>
    <cellStyle name="Normal 20 2 2 4" xfId="5459"/>
    <cellStyle name="Normal 20 2 2 5" xfId="40585"/>
    <cellStyle name="Normal 20 2 2 6" xfId="42126"/>
    <cellStyle name="Normal 20 2 3" xfId="5221"/>
    <cellStyle name="Normal 20 2 3 2" xfId="38571"/>
    <cellStyle name="Normal 20 2 3 3" xfId="39140"/>
    <cellStyle name="Normal 20 2 3 4" xfId="5721"/>
    <cellStyle name="Normal 20 2 4" xfId="37271"/>
    <cellStyle name="Normal 20 2 5" xfId="38877"/>
    <cellStyle name="Normal 20 2 6" xfId="5458"/>
    <cellStyle name="Normal 20 2 7" xfId="39867"/>
    <cellStyle name="Normal 20 2 8" xfId="41408"/>
    <cellStyle name="Normal 20 2_consumption scenario A" xfId="5103"/>
    <cellStyle name="Normal 20 3" xfId="4835"/>
    <cellStyle name="Normal 20 3 2" xfId="37273"/>
    <cellStyle name="Normal 20 3 3" xfId="38879"/>
    <cellStyle name="Normal 20 3 4" xfId="5460"/>
    <cellStyle name="Normal 20 3 5" xfId="40113"/>
    <cellStyle name="Normal 20 3 6" xfId="41654"/>
    <cellStyle name="Normal 20 4" xfId="5167"/>
    <cellStyle name="Normal 20 4 2" xfId="38098"/>
    <cellStyle name="Normal 20 4 3" xfId="39087"/>
    <cellStyle name="Normal 20 4 4" xfId="5668"/>
    <cellStyle name="Normal 20 5" xfId="35794"/>
    <cellStyle name="Normal 20 6" xfId="38791"/>
    <cellStyle name="Normal 20 7" xfId="5372"/>
    <cellStyle name="Normal 20 8" xfId="39395"/>
    <cellStyle name="Normal 20 9" xfId="40936"/>
    <cellStyle name="Normal 20_AEO proration factors" xfId="4836"/>
    <cellStyle name="Normal 21" xfId="4532"/>
    <cellStyle name="Normal 21 2" xfId="5205"/>
    <cellStyle name="Normal 21 3" xfId="35795"/>
    <cellStyle name="Normal 21 4" xfId="38792"/>
    <cellStyle name="Normal 21 5" xfId="5373"/>
    <cellStyle name="Normal 21_consumption scenario A" xfId="5104"/>
    <cellStyle name="Normal 22" xfId="4533"/>
    <cellStyle name="Normal 22 2" xfId="5246"/>
    <cellStyle name="Normal 22 3" xfId="35796"/>
    <cellStyle name="Normal 22 4" xfId="38793"/>
    <cellStyle name="Normal 22 5" xfId="5374"/>
    <cellStyle name="Normal 22_consumption scenario A" xfId="5105"/>
    <cellStyle name="Normal 23" xfId="4535"/>
    <cellStyle name="Normal 23 2" xfId="5282"/>
    <cellStyle name="Normal 23 2 2" xfId="38631"/>
    <cellStyle name="Normal 23 2 3" xfId="39200"/>
    <cellStyle name="Normal 23 2 4" xfId="5781"/>
    <cellStyle name="Normal 23 3" xfId="40645"/>
    <cellStyle name="Normal 23 4" xfId="42186"/>
    <cellStyle name="Normal 23_consumption scenario A" xfId="5106"/>
    <cellStyle name="Normal 24" xfId="4536"/>
    <cellStyle name="Normal 24 2" xfId="5284"/>
    <cellStyle name="Normal 24 2 2" xfId="38645"/>
    <cellStyle name="Normal 24 2 3" xfId="39202"/>
    <cellStyle name="Normal 24 2 4" xfId="5783"/>
    <cellStyle name="Normal 24 3" xfId="40659"/>
    <cellStyle name="Normal 24 4" xfId="42200"/>
    <cellStyle name="Normal 24_consumption scenario A" xfId="5107"/>
    <cellStyle name="Normal 25" xfId="4548"/>
    <cellStyle name="Normal 25 2" xfId="5286"/>
    <cellStyle name="Normal 25 2 2" xfId="38647"/>
    <cellStyle name="Normal 25 2 3" xfId="39204"/>
    <cellStyle name="Normal 25 2 4" xfId="5785"/>
    <cellStyle name="Normal 25 3" xfId="40661"/>
    <cellStyle name="Normal 25 4" xfId="42202"/>
    <cellStyle name="Normal 25_consumption scenario A" xfId="5108"/>
    <cellStyle name="Normal 26" xfId="4543"/>
    <cellStyle name="Normal 26 2" xfId="5288"/>
    <cellStyle name="Normal 26 2 2" xfId="38651"/>
    <cellStyle name="Normal 26 2 3" xfId="39206"/>
    <cellStyle name="Normal 26 2 4" xfId="5787"/>
    <cellStyle name="Normal 26 3" xfId="40665"/>
    <cellStyle name="Normal 26 4" xfId="42206"/>
    <cellStyle name="Normal 26_consumption scenario A" xfId="5109"/>
    <cellStyle name="Normal 27" xfId="4745"/>
    <cellStyle name="Normal 27 2" xfId="5285"/>
    <cellStyle name="Normal 27 2 2" xfId="38646"/>
    <cellStyle name="Normal 27 2 3" xfId="39203"/>
    <cellStyle name="Normal 27 2 4" xfId="5784"/>
    <cellStyle name="Normal 27 3" xfId="40660"/>
    <cellStyle name="Normal 27 4" xfId="42201"/>
    <cellStyle name="Normal 27_consumption scenario A" xfId="5110"/>
    <cellStyle name="Normal 28" xfId="4743"/>
    <cellStyle name="Normal 28 2" xfId="5289"/>
    <cellStyle name="Normal 28 2 2" xfId="38654"/>
    <cellStyle name="Normal 28 2 3" xfId="39207"/>
    <cellStyle name="Normal 28 2 4" xfId="5788"/>
    <cellStyle name="Normal 28 3" xfId="40668"/>
    <cellStyle name="Normal 28 4" xfId="42209"/>
    <cellStyle name="Normal 28_consumption scenario A" xfId="5111"/>
    <cellStyle name="Normal 29" xfId="4748"/>
    <cellStyle name="Normal 3" xfId="113"/>
    <cellStyle name="Normal 3 10" xfId="4537"/>
    <cellStyle name="Normal 3 10 2" xfId="35798"/>
    <cellStyle name="Normal 3 10 3" xfId="38795"/>
    <cellStyle name="Normal 3 10 4" xfId="5376"/>
    <cellStyle name="Normal 3 11" xfId="5129"/>
    <cellStyle name="Normal 3 11 2" xfId="37912"/>
    <cellStyle name="Normal 3 11 3" xfId="39049"/>
    <cellStyle name="Normal 3 11 4" xfId="5630"/>
    <cellStyle name="Normal 3 12" xfId="5802"/>
    <cellStyle name="Normal 3 13" xfId="38724"/>
    <cellStyle name="Normal 3 14" xfId="5305"/>
    <cellStyle name="Normal 3 15" xfId="39209"/>
    <cellStyle name="Normal 3 16" xfId="40728"/>
    <cellStyle name="Normal 3 2" xfId="159"/>
    <cellStyle name="Normal 3 2 10" xfId="5831"/>
    <cellStyle name="Normal 3 2 11" xfId="38729"/>
    <cellStyle name="Normal 3 2 12" xfId="5310"/>
    <cellStyle name="Normal 3 2 13" xfId="39238"/>
    <cellStyle name="Normal 3 2 14" xfId="40761"/>
    <cellStyle name="Normal 3 2 2" xfId="168"/>
    <cellStyle name="Normal 3 2 2 10" xfId="39269"/>
    <cellStyle name="Normal 3 2 2 11" xfId="40795"/>
    <cellStyle name="Normal 3 2 2 2" xfId="4500"/>
    <cellStyle name="Normal 3 2 2 2 10" xfId="40859"/>
    <cellStyle name="Normal 3 2 2 2 2" xfId="4571"/>
    <cellStyle name="Normal 3 2 2 2 2 2" xfId="4837"/>
    <cellStyle name="Normal 3 2 2 2 2 2 2" xfId="4838"/>
    <cellStyle name="Normal 3 2 2 2 2 2 2 2" xfId="37275"/>
    <cellStyle name="Normal 3 2 2 2 2 2 2 3" xfId="38881"/>
    <cellStyle name="Normal 3 2 2 2 2 2 2 4" xfId="5462"/>
    <cellStyle name="Normal 3 2 2 2 2 2 2 5" xfId="40590"/>
    <cellStyle name="Normal 3 2 2 2 2 2 2 6" xfId="42131"/>
    <cellStyle name="Normal 3 2 2 2 2 2 3" xfId="5226"/>
    <cellStyle name="Normal 3 2 2 2 2 2 3 2" xfId="38576"/>
    <cellStyle name="Normal 3 2 2 2 2 2 3 3" xfId="39145"/>
    <cellStyle name="Normal 3 2 2 2 2 2 3 4" xfId="5726"/>
    <cellStyle name="Normal 3 2 2 2 2 2 4" xfId="37274"/>
    <cellStyle name="Normal 3 2 2 2 2 2 5" xfId="38880"/>
    <cellStyle name="Normal 3 2 2 2 2 2 6" xfId="5461"/>
    <cellStyle name="Normal 3 2 2 2 2 2 7" xfId="39872"/>
    <cellStyle name="Normal 3 2 2 2 2 2 8" xfId="41413"/>
    <cellStyle name="Normal 3 2 2 2 2 2_consumption scenario A" xfId="5112"/>
    <cellStyle name="Normal 3 2 2 2 2 3" xfId="4839"/>
    <cellStyle name="Normal 3 2 2 2 2 3 2" xfId="37276"/>
    <cellStyle name="Normal 3 2 2 2 2 3 3" xfId="38882"/>
    <cellStyle name="Normal 3 2 2 2 2 3 4" xfId="5463"/>
    <cellStyle name="Normal 3 2 2 2 2 3 5" xfId="40261"/>
    <cellStyle name="Normal 3 2 2 2 2 3 6" xfId="41802"/>
    <cellStyle name="Normal 3 2 2 2 2 4" xfId="5179"/>
    <cellStyle name="Normal 3 2 2 2 2 4 2" xfId="38246"/>
    <cellStyle name="Normal 3 2 2 2 2 4 3" xfId="39099"/>
    <cellStyle name="Normal 3 2 2 2 2 4 4" xfId="5680"/>
    <cellStyle name="Normal 3 2 2 2 2 5" xfId="35919"/>
    <cellStyle name="Normal 3 2 2 2 2 6" xfId="38820"/>
    <cellStyle name="Normal 3 2 2 2 2 7" xfId="5401"/>
    <cellStyle name="Normal 3 2 2 2 2 8" xfId="39543"/>
    <cellStyle name="Normal 3 2 2 2 2 9" xfId="41084"/>
    <cellStyle name="Normal 3 2 2 2 2_AEO proration factors" xfId="4840"/>
    <cellStyle name="Normal 3 2 2 2 3" xfId="4841"/>
    <cellStyle name="Normal 3 2 2 2 3 2" xfId="4842"/>
    <cellStyle name="Normal 3 2 2 2 3 2 2" xfId="37278"/>
    <cellStyle name="Normal 3 2 2 2 3 2 3" xfId="38884"/>
    <cellStyle name="Normal 3 2 2 2 3 2 4" xfId="5465"/>
    <cellStyle name="Normal 3 2 2 2 3 2 5" xfId="40589"/>
    <cellStyle name="Normal 3 2 2 2 3 2 6" xfId="42130"/>
    <cellStyle name="Normal 3 2 2 2 3 3" xfId="5225"/>
    <cellStyle name="Normal 3 2 2 2 3 3 2" xfId="38575"/>
    <cellStyle name="Normal 3 2 2 2 3 3 3" xfId="39144"/>
    <cellStyle name="Normal 3 2 2 2 3 3 4" xfId="5725"/>
    <cellStyle name="Normal 3 2 2 2 3 4" xfId="37277"/>
    <cellStyle name="Normal 3 2 2 2 3 5" xfId="38883"/>
    <cellStyle name="Normal 3 2 2 2 3 6" xfId="5464"/>
    <cellStyle name="Normal 3 2 2 2 3 7" xfId="39871"/>
    <cellStyle name="Normal 3 2 2 2 3 8" xfId="41412"/>
    <cellStyle name="Normal 3 2 2 2 3_consumption scenario A" xfId="5113"/>
    <cellStyle name="Normal 3 2 2 2 4" xfId="4843"/>
    <cellStyle name="Normal 3 2 2 2 4 2" xfId="37279"/>
    <cellStyle name="Normal 3 2 2 2 4 3" xfId="38885"/>
    <cellStyle name="Normal 3 2 2 2 4 4" xfId="5466"/>
    <cellStyle name="Normal 3 2 2 2 4 5" xfId="40048"/>
    <cellStyle name="Normal 3 2 2 2 4 6" xfId="41589"/>
    <cellStyle name="Normal 3 2 2 2 5" xfId="5154"/>
    <cellStyle name="Normal 3 2 2 2 5 2" xfId="38033"/>
    <cellStyle name="Normal 3 2 2 2 5 3" xfId="39074"/>
    <cellStyle name="Normal 3 2 2 2 5 4" xfId="5655"/>
    <cellStyle name="Normal 3 2 2 2 6" xfId="35658"/>
    <cellStyle name="Normal 3 2 2 2 7" xfId="38764"/>
    <cellStyle name="Normal 3 2 2 2 8" xfId="5345"/>
    <cellStyle name="Normal 3 2 2 2 9" xfId="39330"/>
    <cellStyle name="Normal 3 2 2 2_AEO proration factors" xfId="4844"/>
    <cellStyle name="Normal 3 2 2 3" xfId="4527"/>
    <cellStyle name="Normal 3 2 2 3 2" xfId="4845"/>
    <cellStyle name="Normal 3 2 2 3 2 2" xfId="4846"/>
    <cellStyle name="Normal 3 2 2 3 2 2 2" xfId="37281"/>
    <cellStyle name="Normal 3 2 2 3 2 2 3" xfId="38887"/>
    <cellStyle name="Normal 3 2 2 3 2 2 4" xfId="5468"/>
    <cellStyle name="Normal 3 2 2 3 2 2 5" xfId="40591"/>
    <cellStyle name="Normal 3 2 2 3 2 2 6" xfId="42132"/>
    <cellStyle name="Normal 3 2 2 3 2 3" xfId="5227"/>
    <cellStyle name="Normal 3 2 2 3 2 3 2" xfId="38577"/>
    <cellStyle name="Normal 3 2 2 3 2 3 3" xfId="39146"/>
    <cellStyle name="Normal 3 2 2 3 2 3 4" xfId="5727"/>
    <cellStyle name="Normal 3 2 2 3 2 4" xfId="37280"/>
    <cellStyle name="Normal 3 2 2 3 2 5" xfId="38886"/>
    <cellStyle name="Normal 3 2 2 3 2 6" xfId="5467"/>
    <cellStyle name="Normal 3 2 2 3 2 7" xfId="39873"/>
    <cellStyle name="Normal 3 2 2 3 2 8" xfId="41414"/>
    <cellStyle name="Normal 3 2 2 3 2_consumption scenario A" xfId="5114"/>
    <cellStyle name="Normal 3 2 2 3 3" xfId="4847"/>
    <cellStyle name="Normal 3 2 2 3 3 2" xfId="37282"/>
    <cellStyle name="Normal 3 2 2 3 3 3" xfId="38888"/>
    <cellStyle name="Normal 3 2 2 3 3 4" xfId="5469"/>
    <cellStyle name="Normal 3 2 2 3 3 5" xfId="40260"/>
    <cellStyle name="Normal 3 2 2 3 3 6" xfId="41801"/>
    <cellStyle name="Normal 3 2 2 3 4" xfId="5178"/>
    <cellStyle name="Normal 3 2 2 3 4 2" xfId="38245"/>
    <cellStyle name="Normal 3 2 2 3 4 3" xfId="39098"/>
    <cellStyle name="Normal 3 2 2 3 4 4" xfId="5679"/>
    <cellStyle name="Normal 3 2 2 3 5" xfId="35791"/>
    <cellStyle name="Normal 3 2 2 3 6" xfId="38788"/>
    <cellStyle name="Normal 3 2 2 3 7" xfId="5369"/>
    <cellStyle name="Normal 3 2 2 3 8" xfId="39542"/>
    <cellStyle name="Normal 3 2 2 3 9" xfId="41083"/>
    <cellStyle name="Normal 3 2 2 3_AEO proration factors" xfId="4848"/>
    <cellStyle name="Normal 3 2 2 4" xfId="4552"/>
    <cellStyle name="Normal 3 2 2 4 2" xfId="4849"/>
    <cellStyle name="Normal 3 2 2 4 2 2" xfId="37283"/>
    <cellStyle name="Normal 3 2 2 4 2 3" xfId="38889"/>
    <cellStyle name="Normal 3 2 2 4 2 4" xfId="5470"/>
    <cellStyle name="Normal 3 2 2 4 2 5" xfId="40588"/>
    <cellStyle name="Normal 3 2 2 4 2 6" xfId="42129"/>
    <cellStyle name="Normal 3 2 2 4 3" xfId="5224"/>
    <cellStyle name="Normal 3 2 2 4 3 2" xfId="38574"/>
    <cellStyle name="Normal 3 2 2 4 3 3" xfId="39143"/>
    <cellStyle name="Normal 3 2 2 4 3 4" xfId="5724"/>
    <cellStyle name="Normal 3 2 2 4 4" xfId="35858"/>
    <cellStyle name="Normal 3 2 2 4 5" xfId="38807"/>
    <cellStyle name="Normal 3 2 2 4 6" xfId="5388"/>
    <cellStyle name="Normal 3 2 2 4 7" xfId="39870"/>
    <cellStyle name="Normal 3 2 2 4 8" xfId="41411"/>
    <cellStyle name="Normal 3 2 2 4_consumption scenario A" xfId="5061"/>
    <cellStyle name="Normal 3 2 2 5" xfId="4850"/>
    <cellStyle name="Normal 3 2 2 5 2" xfId="37284"/>
    <cellStyle name="Normal 3 2 2 5 3" xfId="38890"/>
    <cellStyle name="Normal 3 2 2 5 4" xfId="5471"/>
    <cellStyle name="Normal 3 2 2 5 5" xfId="39987"/>
    <cellStyle name="Normal 3 2 2 5 6" xfId="41528"/>
    <cellStyle name="Normal 3 2 2 6" xfId="5141"/>
    <cellStyle name="Normal 3 2 2 6 2" xfId="37972"/>
    <cellStyle name="Normal 3 2 2 6 3" xfId="39061"/>
    <cellStyle name="Normal 3 2 2 6 4" xfId="5642"/>
    <cellStyle name="Normal 3 2 2 7" xfId="5860"/>
    <cellStyle name="Normal 3 2 2 8" xfId="38734"/>
    <cellStyle name="Normal 3 2 2 9" xfId="5315"/>
    <cellStyle name="Normal 3 2 2_AEO proration factors" xfId="4851"/>
    <cellStyle name="Normal 3 2 3" xfId="177"/>
    <cellStyle name="Normal 3 2 3 10" xfId="40828"/>
    <cellStyle name="Normal 3 2 3 2" xfId="4518"/>
    <cellStyle name="Normal 3 2 3 2 2" xfId="4852"/>
    <cellStyle name="Normal 3 2 3 2 2 2" xfId="4853"/>
    <cellStyle name="Normal 3 2 3 2 2 2 2" xfId="37286"/>
    <cellStyle name="Normal 3 2 3 2 2 2 3" xfId="38892"/>
    <cellStyle name="Normal 3 2 3 2 2 2 4" xfId="5473"/>
    <cellStyle name="Normal 3 2 3 2 2 2 5" xfId="40593"/>
    <cellStyle name="Normal 3 2 3 2 2 2 6" xfId="42134"/>
    <cellStyle name="Normal 3 2 3 2 2 3" xfId="5229"/>
    <cellStyle name="Normal 3 2 3 2 2 3 2" xfId="38579"/>
    <cellStyle name="Normal 3 2 3 2 2 3 3" xfId="39148"/>
    <cellStyle name="Normal 3 2 3 2 2 3 4" xfId="5729"/>
    <cellStyle name="Normal 3 2 3 2 2 4" xfId="37285"/>
    <cellStyle name="Normal 3 2 3 2 2 5" xfId="38891"/>
    <cellStyle name="Normal 3 2 3 2 2 6" xfId="5472"/>
    <cellStyle name="Normal 3 2 3 2 2 7" xfId="39875"/>
    <cellStyle name="Normal 3 2 3 2 2 8" xfId="41416"/>
    <cellStyle name="Normal 3 2 3 2 2_consumption scenario A" xfId="5115"/>
    <cellStyle name="Normal 3 2 3 2 3" xfId="4854"/>
    <cellStyle name="Normal 3 2 3 2 3 2" xfId="37287"/>
    <cellStyle name="Normal 3 2 3 2 3 3" xfId="38893"/>
    <cellStyle name="Normal 3 2 3 2 3 4" xfId="5474"/>
    <cellStyle name="Normal 3 2 3 2 3 5" xfId="40262"/>
    <cellStyle name="Normal 3 2 3 2 3 6" xfId="41803"/>
    <cellStyle name="Normal 3 2 3 2 4" xfId="5180"/>
    <cellStyle name="Normal 3 2 3 2 4 2" xfId="38247"/>
    <cellStyle name="Normal 3 2 3 2 4 3" xfId="39100"/>
    <cellStyle name="Normal 3 2 3 2 4 4" xfId="5681"/>
    <cellStyle name="Normal 3 2 3 2 5" xfId="35760"/>
    <cellStyle name="Normal 3 2 3 2 6" xfId="38781"/>
    <cellStyle name="Normal 3 2 3 2 7" xfId="5362"/>
    <cellStyle name="Normal 3 2 3 2 8" xfId="39544"/>
    <cellStyle name="Normal 3 2 3 2 9" xfId="41085"/>
    <cellStyle name="Normal 3 2 3 2_AEO proration factors" xfId="4855"/>
    <cellStyle name="Normal 3 2 3 3" xfId="4564"/>
    <cellStyle name="Normal 3 2 3 3 2" xfId="4856"/>
    <cellStyle name="Normal 3 2 3 3 2 2" xfId="37288"/>
    <cellStyle name="Normal 3 2 3 3 2 3" xfId="38894"/>
    <cellStyle name="Normal 3 2 3 3 2 4" xfId="5475"/>
    <cellStyle name="Normal 3 2 3 3 2 5" xfId="40592"/>
    <cellStyle name="Normal 3 2 3 3 2 6" xfId="42133"/>
    <cellStyle name="Normal 3 2 3 3 3" xfId="5228"/>
    <cellStyle name="Normal 3 2 3 3 3 2" xfId="38578"/>
    <cellStyle name="Normal 3 2 3 3 3 3" xfId="39147"/>
    <cellStyle name="Normal 3 2 3 3 3 4" xfId="5728"/>
    <cellStyle name="Normal 3 2 3 3 4" xfId="35888"/>
    <cellStyle name="Normal 3 2 3 3 5" xfId="38813"/>
    <cellStyle name="Normal 3 2 3 3 6" xfId="5394"/>
    <cellStyle name="Normal 3 2 3 3 7" xfId="39874"/>
    <cellStyle name="Normal 3 2 3 3 8" xfId="41415"/>
    <cellStyle name="Normal 3 2 3 3_consumption scenario A" xfId="5062"/>
    <cellStyle name="Normal 3 2 3 4" xfId="4857"/>
    <cellStyle name="Normal 3 2 3 4 2" xfId="37289"/>
    <cellStyle name="Normal 3 2 3 4 3" xfId="38895"/>
    <cellStyle name="Normal 3 2 3 4 4" xfId="5476"/>
    <cellStyle name="Normal 3 2 3 4 5" xfId="40017"/>
    <cellStyle name="Normal 3 2 3 4 6" xfId="41558"/>
    <cellStyle name="Normal 3 2 3 5" xfId="5147"/>
    <cellStyle name="Normal 3 2 3 5 2" xfId="38002"/>
    <cellStyle name="Normal 3 2 3 5 3" xfId="39067"/>
    <cellStyle name="Normal 3 2 3 5 4" xfId="5648"/>
    <cellStyle name="Normal 3 2 3 6" xfId="5903"/>
    <cellStyle name="Normal 3 2 3 7" xfId="38741"/>
    <cellStyle name="Normal 3 2 3 8" xfId="5322"/>
    <cellStyle name="Normal 3 2 3 9" xfId="39299"/>
    <cellStyle name="Normal 3 2 3_AEO proration factors" xfId="4858"/>
    <cellStyle name="Normal 3 2 4" xfId="223"/>
    <cellStyle name="Normal 3 2 4 2" xfId="4615"/>
    <cellStyle name="Normal 3 2 4_consumption scenario A" xfId="5063"/>
    <cellStyle name="Normal 3 2 5" xfId="4478"/>
    <cellStyle name="Normal 3 2 5 2" xfId="4859"/>
    <cellStyle name="Normal 3 2 5 2 2" xfId="4860"/>
    <cellStyle name="Normal 3 2 5 2 2 2" xfId="37291"/>
    <cellStyle name="Normal 3 2 5 2 2 3" xfId="38897"/>
    <cellStyle name="Normal 3 2 5 2 2 4" xfId="5478"/>
    <cellStyle name="Normal 3 2 5 2 2 5" xfId="40594"/>
    <cellStyle name="Normal 3 2 5 2 2 6" xfId="42135"/>
    <cellStyle name="Normal 3 2 5 2 3" xfId="5230"/>
    <cellStyle name="Normal 3 2 5 2 3 2" xfId="38580"/>
    <cellStyle name="Normal 3 2 5 2 3 3" xfId="39149"/>
    <cellStyle name="Normal 3 2 5 2 3 4" xfId="5730"/>
    <cellStyle name="Normal 3 2 5 2 4" xfId="37290"/>
    <cellStyle name="Normal 3 2 5 2 5" xfId="38896"/>
    <cellStyle name="Normal 3 2 5 2 6" xfId="5477"/>
    <cellStyle name="Normal 3 2 5 2 7" xfId="39876"/>
    <cellStyle name="Normal 3 2 5 2 8" xfId="41417"/>
    <cellStyle name="Normal 3 2 5 2_consumption scenario A" xfId="5116"/>
    <cellStyle name="Normal 3 2 5 3" xfId="4861"/>
    <cellStyle name="Normal 3 2 5 3 2" xfId="37292"/>
    <cellStyle name="Normal 3 2 5 3 3" xfId="38898"/>
    <cellStyle name="Normal 3 2 5 3 4" xfId="5479"/>
    <cellStyle name="Normal 3 2 5 3 5" xfId="40259"/>
    <cellStyle name="Normal 3 2 5 3 6" xfId="41800"/>
    <cellStyle name="Normal 3 2 5 4" xfId="5177"/>
    <cellStyle name="Normal 3 2 5 4 2" xfId="38244"/>
    <cellStyle name="Normal 3 2 5 4 3" xfId="39097"/>
    <cellStyle name="Normal 3 2 5 4 4" xfId="5678"/>
    <cellStyle name="Normal 3 2 5 5" xfId="35597"/>
    <cellStyle name="Normal 3 2 5 6" xfId="38752"/>
    <cellStyle name="Normal 3 2 5 7" xfId="5333"/>
    <cellStyle name="Normal 3 2 5 8" xfId="39541"/>
    <cellStyle name="Normal 3 2 5 9" xfId="41082"/>
    <cellStyle name="Normal 3 2 5_AEO proration factors" xfId="4862"/>
    <cellStyle name="Normal 3 2 6" xfId="4486"/>
    <cellStyle name="Normal 3 2 6 2" xfId="4863"/>
    <cellStyle name="Normal 3 2 6 2 2" xfId="37293"/>
    <cellStyle name="Normal 3 2 6 2 3" xfId="38899"/>
    <cellStyle name="Normal 3 2 6 2 4" xfId="5480"/>
    <cellStyle name="Normal 3 2 6 2 5" xfId="40587"/>
    <cellStyle name="Normal 3 2 6 2 6" xfId="42128"/>
    <cellStyle name="Normal 3 2 6 3" xfId="5223"/>
    <cellStyle name="Normal 3 2 6 3 2" xfId="38573"/>
    <cellStyle name="Normal 3 2 6 3 3" xfId="39142"/>
    <cellStyle name="Normal 3 2 6 3 4" xfId="5723"/>
    <cellStyle name="Normal 3 2 6 4" xfId="35627"/>
    <cellStyle name="Normal 3 2 6 5" xfId="38757"/>
    <cellStyle name="Normal 3 2 6 6" xfId="5338"/>
    <cellStyle name="Normal 3 2 6 7" xfId="39869"/>
    <cellStyle name="Normal 3 2 6 8" xfId="41410"/>
    <cellStyle name="Normal 3 2 6_consumption scenario A" xfId="5064"/>
    <cellStyle name="Normal 3 2 7" xfId="4506"/>
    <cellStyle name="Normal 3 2 7 2" xfId="35688"/>
    <cellStyle name="Normal 3 2 7 3" xfId="38769"/>
    <cellStyle name="Normal 3 2 7 4" xfId="5350"/>
    <cellStyle name="Normal 3 2 7 5" xfId="39956"/>
    <cellStyle name="Normal 3 2 7 6" xfId="41497"/>
    <cellStyle name="Normal 3 2 8" xfId="4544"/>
    <cellStyle name="Normal 3 2 8 2" xfId="35827"/>
    <cellStyle name="Normal 3 2 8 3" xfId="38800"/>
    <cellStyle name="Normal 3 2 8 4" xfId="5381"/>
    <cellStyle name="Normal 3 2 9" xfId="5134"/>
    <cellStyle name="Normal 3 2 9 2" xfId="37941"/>
    <cellStyle name="Normal 3 2 9 3" xfId="39054"/>
    <cellStyle name="Normal 3 2 9 4" xfId="5635"/>
    <cellStyle name="Normal 3 2_AEO proration factors" xfId="4864"/>
    <cellStyle name="Normal 3 3" xfId="150"/>
    <cellStyle name="Normal 3 3 10" xfId="39254"/>
    <cellStyle name="Normal 3 3 11" xfId="40779"/>
    <cellStyle name="Normal 3 3 2" xfId="4497"/>
    <cellStyle name="Normal 3 3 2 10" xfId="40844"/>
    <cellStyle name="Normal 3 3 2 2" xfId="4568"/>
    <cellStyle name="Normal 3 3 2 2 2" xfId="4865"/>
    <cellStyle name="Normal 3 3 2 2 2 2" xfId="4866"/>
    <cellStyle name="Normal 3 3 2 2 2 2 2" xfId="37295"/>
    <cellStyle name="Normal 3 3 2 2 2 2 3" xfId="38901"/>
    <cellStyle name="Normal 3 3 2 2 2 2 4" xfId="5482"/>
    <cellStyle name="Normal 3 3 2 2 2 2 5" xfId="40597"/>
    <cellStyle name="Normal 3 3 2 2 2 2 6" xfId="42138"/>
    <cellStyle name="Normal 3 3 2 2 2 3" xfId="5233"/>
    <cellStyle name="Normal 3 3 2 2 2 3 2" xfId="38583"/>
    <cellStyle name="Normal 3 3 2 2 2 3 3" xfId="39152"/>
    <cellStyle name="Normal 3 3 2 2 2 3 4" xfId="5733"/>
    <cellStyle name="Normal 3 3 2 2 2 4" xfId="37294"/>
    <cellStyle name="Normal 3 3 2 2 2 5" xfId="38900"/>
    <cellStyle name="Normal 3 3 2 2 2 6" xfId="5481"/>
    <cellStyle name="Normal 3 3 2 2 2 7" xfId="39879"/>
    <cellStyle name="Normal 3 3 2 2 2 8" xfId="41420"/>
    <cellStyle name="Normal 3 3 2 2 2_consumption scenario A" xfId="5117"/>
    <cellStyle name="Normal 3 3 2 2 3" xfId="4867"/>
    <cellStyle name="Normal 3 3 2 2 3 2" xfId="37296"/>
    <cellStyle name="Normal 3 3 2 2 3 3" xfId="38902"/>
    <cellStyle name="Normal 3 3 2 2 3 4" xfId="5483"/>
    <cellStyle name="Normal 3 3 2 2 3 5" xfId="40264"/>
    <cellStyle name="Normal 3 3 2 2 3 6" xfId="41805"/>
    <cellStyle name="Normal 3 3 2 2 4" xfId="5182"/>
    <cellStyle name="Normal 3 3 2 2 4 2" xfId="38249"/>
    <cellStyle name="Normal 3 3 2 2 4 3" xfId="39102"/>
    <cellStyle name="Normal 3 3 2 2 4 4" xfId="5683"/>
    <cellStyle name="Normal 3 3 2 2 5" xfId="35904"/>
    <cellStyle name="Normal 3 3 2 2 6" xfId="38817"/>
    <cellStyle name="Normal 3 3 2 2 7" xfId="5398"/>
    <cellStyle name="Normal 3 3 2 2 8" xfId="39546"/>
    <cellStyle name="Normal 3 3 2 2 9" xfId="41087"/>
    <cellStyle name="Normal 3 3 2 2_AEO proration factors" xfId="4868"/>
    <cellStyle name="Normal 3 3 2 3" xfId="4869"/>
    <cellStyle name="Normal 3 3 2 3 2" xfId="4870"/>
    <cellStyle name="Normal 3 3 2 3 2 2" xfId="37298"/>
    <cellStyle name="Normal 3 3 2 3 2 3" xfId="38904"/>
    <cellStyle name="Normal 3 3 2 3 2 4" xfId="5485"/>
    <cellStyle name="Normal 3 3 2 3 2 5" xfId="40596"/>
    <cellStyle name="Normal 3 3 2 3 2 6" xfId="42137"/>
    <cellStyle name="Normal 3 3 2 3 3" xfId="5232"/>
    <cellStyle name="Normal 3 3 2 3 3 2" xfId="38582"/>
    <cellStyle name="Normal 3 3 2 3 3 3" xfId="39151"/>
    <cellStyle name="Normal 3 3 2 3 3 4" xfId="5732"/>
    <cellStyle name="Normal 3 3 2 3 4" xfId="37297"/>
    <cellStyle name="Normal 3 3 2 3 5" xfId="38903"/>
    <cellStyle name="Normal 3 3 2 3 6" xfId="5484"/>
    <cellStyle name="Normal 3 3 2 3 7" xfId="39878"/>
    <cellStyle name="Normal 3 3 2 3 8" xfId="41419"/>
    <cellStyle name="Normal 3 3 2 3_consumption scenario A" xfId="5118"/>
    <cellStyle name="Normal 3 3 2 4" xfId="4871"/>
    <cellStyle name="Normal 3 3 2 4 2" xfId="37299"/>
    <cellStyle name="Normal 3 3 2 4 3" xfId="38905"/>
    <cellStyle name="Normal 3 3 2 4 4" xfId="5486"/>
    <cellStyle name="Normal 3 3 2 4 5" xfId="40033"/>
    <cellStyle name="Normal 3 3 2 4 6" xfId="41574"/>
    <cellStyle name="Normal 3 3 2 5" xfId="5151"/>
    <cellStyle name="Normal 3 3 2 5 2" xfId="38018"/>
    <cellStyle name="Normal 3 3 2 5 3" xfId="39071"/>
    <cellStyle name="Normal 3 3 2 5 4" xfId="5652"/>
    <cellStyle name="Normal 3 3 2 6" xfId="35643"/>
    <cellStyle name="Normal 3 3 2 7" xfId="38761"/>
    <cellStyle name="Normal 3 3 2 8" xfId="5342"/>
    <cellStyle name="Normal 3 3 2 9" xfId="39315"/>
    <cellStyle name="Normal 3 3 2_AEO proration factors" xfId="4872"/>
    <cellStyle name="Normal 3 3 3" xfId="4524"/>
    <cellStyle name="Normal 3 3 3 2" xfId="4873"/>
    <cellStyle name="Normal 3 3 3 2 2" xfId="4874"/>
    <cellStyle name="Normal 3 3 3 2 2 2" xfId="37301"/>
    <cellStyle name="Normal 3 3 3 2 2 3" xfId="38907"/>
    <cellStyle name="Normal 3 3 3 2 2 4" xfId="5488"/>
    <cellStyle name="Normal 3 3 3 2 2 5" xfId="40598"/>
    <cellStyle name="Normal 3 3 3 2 2 6" xfId="42139"/>
    <cellStyle name="Normal 3 3 3 2 3" xfId="5234"/>
    <cellStyle name="Normal 3 3 3 2 3 2" xfId="38584"/>
    <cellStyle name="Normal 3 3 3 2 3 3" xfId="39153"/>
    <cellStyle name="Normal 3 3 3 2 3 4" xfId="5734"/>
    <cellStyle name="Normal 3 3 3 2 4" xfId="37300"/>
    <cellStyle name="Normal 3 3 3 2 5" xfId="38906"/>
    <cellStyle name="Normal 3 3 3 2 6" xfId="5487"/>
    <cellStyle name="Normal 3 3 3 2 7" xfId="39880"/>
    <cellStyle name="Normal 3 3 3 2 8" xfId="41421"/>
    <cellStyle name="Normal 3 3 3 2_consumption scenario A" xfId="5119"/>
    <cellStyle name="Normal 3 3 3 3" xfId="4875"/>
    <cellStyle name="Normal 3 3 3 3 2" xfId="37302"/>
    <cellStyle name="Normal 3 3 3 3 3" xfId="38908"/>
    <cellStyle name="Normal 3 3 3 3 4" xfId="5489"/>
    <cellStyle name="Normal 3 3 3 3 5" xfId="40263"/>
    <cellStyle name="Normal 3 3 3 3 6" xfId="41804"/>
    <cellStyle name="Normal 3 3 3 4" xfId="5181"/>
    <cellStyle name="Normal 3 3 3 4 2" xfId="38248"/>
    <cellStyle name="Normal 3 3 3 4 3" xfId="39101"/>
    <cellStyle name="Normal 3 3 3 4 4" xfId="5682"/>
    <cellStyle name="Normal 3 3 3 5" xfId="35776"/>
    <cellStyle name="Normal 3 3 3 6" xfId="38785"/>
    <cellStyle name="Normal 3 3 3 7" xfId="5366"/>
    <cellStyle name="Normal 3 3 3 8" xfId="39545"/>
    <cellStyle name="Normal 3 3 3 9" xfId="41086"/>
    <cellStyle name="Normal 3 3 3_AEO proration factors" xfId="4876"/>
    <cellStyle name="Normal 3 3 4" xfId="4549"/>
    <cellStyle name="Normal 3 3 4 2" xfId="4877"/>
    <cellStyle name="Normal 3 3 4 2 2" xfId="37303"/>
    <cellStyle name="Normal 3 3 4 2 3" xfId="38909"/>
    <cellStyle name="Normal 3 3 4 2 4" xfId="5490"/>
    <cellStyle name="Normal 3 3 4 2 5" xfId="40595"/>
    <cellStyle name="Normal 3 3 4 2 6" xfId="42136"/>
    <cellStyle name="Normal 3 3 4 3" xfId="5231"/>
    <cellStyle name="Normal 3 3 4 3 2" xfId="38581"/>
    <cellStyle name="Normal 3 3 4 3 3" xfId="39150"/>
    <cellStyle name="Normal 3 3 4 3 4" xfId="5731"/>
    <cellStyle name="Normal 3 3 4 4" xfId="35843"/>
    <cellStyle name="Normal 3 3 4 5" xfId="38804"/>
    <cellStyle name="Normal 3 3 4 6" xfId="5385"/>
    <cellStyle name="Normal 3 3 4 7" xfId="39877"/>
    <cellStyle name="Normal 3 3 4 8" xfId="41418"/>
    <cellStyle name="Normal 3 3 4_consumption scenario A" xfId="5065"/>
    <cellStyle name="Normal 3 3 5" xfId="4878"/>
    <cellStyle name="Normal 3 3 5 2" xfId="37304"/>
    <cellStyle name="Normal 3 3 5 3" xfId="38910"/>
    <cellStyle name="Normal 3 3 5 4" xfId="5491"/>
    <cellStyle name="Normal 3 3 5 5" xfId="39972"/>
    <cellStyle name="Normal 3 3 5 6" xfId="41513"/>
    <cellStyle name="Normal 3 3 6" xfId="5138"/>
    <cellStyle name="Normal 3 3 6 2" xfId="37957"/>
    <cellStyle name="Normal 3 3 6 3" xfId="39058"/>
    <cellStyle name="Normal 3 3 6 4" xfId="5639"/>
    <cellStyle name="Normal 3 3 7" xfId="5803"/>
    <cellStyle name="Normal 3 3 8" xfId="38725"/>
    <cellStyle name="Normal 3 3 9" xfId="5306"/>
    <cellStyle name="Normal 3 3_AEO proration factors" xfId="4879"/>
    <cellStyle name="Normal 3 4" xfId="160"/>
    <cellStyle name="Normal 3 4 10" xfId="40799"/>
    <cellStyle name="Normal 3 4 2" xfId="4513"/>
    <cellStyle name="Normal 3 4 2 2" xfId="4880"/>
    <cellStyle name="Normal 3 4 2 2 2" xfId="4881"/>
    <cellStyle name="Normal 3 4 2 2 2 2" xfId="37306"/>
    <cellStyle name="Normal 3 4 2 2 2 3" xfId="38912"/>
    <cellStyle name="Normal 3 4 2 2 2 4" xfId="5493"/>
    <cellStyle name="Normal 3 4 2 2 2 5" xfId="40600"/>
    <cellStyle name="Normal 3 4 2 2 2 6" xfId="42141"/>
    <cellStyle name="Normal 3 4 2 2 3" xfId="5236"/>
    <cellStyle name="Normal 3 4 2 2 3 2" xfId="38586"/>
    <cellStyle name="Normal 3 4 2 2 3 3" xfId="39155"/>
    <cellStyle name="Normal 3 4 2 2 3 4" xfId="5736"/>
    <cellStyle name="Normal 3 4 2 2 4" xfId="37305"/>
    <cellStyle name="Normal 3 4 2 2 5" xfId="38911"/>
    <cellStyle name="Normal 3 4 2 2 6" xfId="5492"/>
    <cellStyle name="Normal 3 4 2 2 7" xfId="39882"/>
    <cellStyle name="Normal 3 4 2 2 8" xfId="41423"/>
    <cellStyle name="Normal 3 4 2 2_consumption scenario A" xfId="5120"/>
    <cellStyle name="Normal 3 4 2 3" xfId="4882"/>
    <cellStyle name="Normal 3 4 2 3 2" xfId="37307"/>
    <cellStyle name="Normal 3 4 2 3 3" xfId="38913"/>
    <cellStyle name="Normal 3 4 2 3 4" xfId="5494"/>
    <cellStyle name="Normal 3 4 2 3 5" xfId="40265"/>
    <cellStyle name="Normal 3 4 2 3 6" xfId="41806"/>
    <cellStyle name="Normal 3 4 2 4" xfId="5183"/>
    <cellStyle name="Normal 3 4 2 4 2" xfId="38250"/>
    <cellStyle name="Normal 3 4 2 4 3" xfId="39103"/>
    <cellStyle name="Normal 3 4 2 4 4" xfId="5684"/>
    <cellStyle name="Normal 3 4 2 5" xfId="35731"/>
    <cellStyle name="Normal 3 4 2 6" xfId="38776"/>
    <cellStyle name="Normal 3 4 2 7" xfId="5357"/>
    <cellStyle name="Normal 3 4 2 8" xfId="39547"/>
    <cellStyle name="Normal 3 4 2 9" xfId="41088"/>
    <cellStyle name="Normal 3 4 2_AEO proration factors" xfId="4883"/>
    <cellStyle name="Normal 3 4 3" xfId="4559"/>
    <cellStyle name="Normal 3 4 3 2" xfId="4884"/>
    <cellStyle name="Normal 3 4 3 2 2" xfId="37308"/>
    <cellStyle name="Normal 3 4 3 2 3" xfId="38914"/>
    <cellStyle name="Normal 3 4 3 2 4" xfId="5495"/>
    <cellStyle name="Normal 3 4 3 2 5" xfId="40599"/>
    <cellStyle name="Normal 3 4 3 2 6" xfId="42140"/>
    <cellStyle name="Normal 3 4 3 3" xfId="5235"/>
    <cellStyle name="Normal 3 4 3 3 2" xfId="38585"/>
    <cellStyle name="Normal 3 4 3 3 3" xfId="39154"/>
    <cellStyle name="Normal 3 4 3 3 4" xfId="5735"/>
    <cellStyle name="Normal 3 4 3 4" xfId="35859"/>
    <cellStyle name="Normal 3 4 3 5" xfId="38808"/>
    <cellStyle name="Normal 3 4 3 6" xfId="5389"/>
    <cellStyle name="Normal 3 4 3 7" xfId="39881"/>
    <cellStyle name="Normal 3 4 3 8" xfId="41422"/>
    <cellStyle name="Normal 3 4 3_consumption scenario A" xfId="5066"/>
    <cellStyle name="Normal 3 4 4" xfId="4885"/>
    <cellStyle name="Normal 3 4 4 2" xfId="37309"/>
    <cellStyle name="Normal 3 4 4 3" xfId="38915"/>
    <cellStyle name="Normal 3 4 4 4" xfId="5496"/>
    <cellStyle name="Normal 3 4 4 5" xfId="39988"/>
    <cellStyle name="Normal 3 4 4 6" xfId="41529"/>
    <cellStyle name="Normal 3 4 5" xfId="5142"/>
    <cellStyle name="Normal 3 4 5 2" xfId="37973"/>
    <cellStyle name="Normal 3 4 5 3" xfId="39062"/>
    <cellStyle name="Normal 3 4 5 4" xfId="5643"/>
    <cellStyle name="Normal 3 4 6" xfId="5832"/>
    <cellStyle name="Normal 3 4 7" xfId="38730"/>
    <cellStyle name="Normal 3 4 8" xfId="5311"/>
    <cellStyle name="Normal 3 4 9" xfId="39270"/>
    <cellStyle name="Normal 3 4_AEO proration factors" xfId="4886"/>
    <cellStyle name="Normal 3 5" xfId="173"/>
    <cellStyle name="Normal 3 5 2" xfId="4595"/>
    <cellStyle name="Normal 3 5 3" xfId="5875"/>
    <cellStyle name="Normal 3 5 4" xfId="38737"/>
    <cellStyle name="Normal 3 5 5" xfId="5318"/>
    <cellStyle name="Normal 3 5_consumption scenario A" xfId="5067"/>
    <cellStyle name="Normal 3 6" xfId="222"/>
    <cellStyle name="Normal 3 6 2" xfId="4887"/>
    <cellStyle name="Normal 3 6 2 2" xfId="4888"/>
    <cellStyle name="Normal 3 6 2 2 2" xfId="37311"/>
    <cellStyle name="Normal 3 6 2 2 3" xfId="38917"/>
    <cellStyle name="Normal 3 6 2 2 4" xfId="5498"/>
    <cellStyle name="Normal 3 6 2 2 5" xfId="40601"/>
    <cellStyle name="Normal 3 6 2 2 6" xfId="42142"/>
    <cellStyle name="Normal 3 6 2 3" xfId="5237"/>
    <cellStyle name="Normal 3 6 2 3 2" xfId="38587"/>
    <cellStyle name="Normal 3 6 2 3 3" xfId="39156"/>
    <cellStyle name="Normal 3 6 2 3 4" xfId="5737"/>
    <cellStyle name="Normal 3 6 2 4" xfId="37310"/>
    <cellStyle name="Normal 3 6 2 5" xfId="38916"/>
    <cellStyle name="Normal 3 6 2 6" xfId="5497"/>
    <cellStyle name="Normal 3 6 2 7" xfId="39883"/>
    <cellStyle name="Normal 3 6 2 8" xfId="41424"/>
    <cellStyle name="Normal 3 6 2_consumption scenario A" xfId="5121"/>
    <cellStyle name="Normal 3 6 3" xfId="4889"/>
    <cellStyle name="Normal 3 6 3 2" xfId="37312"/>
    <cellStyle name="Normal 3 6 3 3" xfId="38918"/>
    <cellStyle name="Normal 3 6 3 4" xfId="5499"/>
    <cellStyle name="Normal 3 6 3 5" xfId="40258"/>
    <cellStyle name="Normal 3 6 3 6" xfId="41799"/>
    <cellStyle name="Normal 3 6 4" xfId="5176"/>
    <cellStyle name="Normal 3 6 4 2" xfId="38243"/>
    <cellStyle name="Normal 3 6 4 3" xfId="39096"/>
    <cellStyle name="Normal 3 6 4 4" xfId="5677"/>
    <cellStyle name="Normal 3 6 5" xfId="39540"/>
    <cellStyle name="Normal 3 6 6" xfId="41081"/>
    <cellStyle name="Normal 3 6_AEO proration factors" xfId="4890"/>
    <cellStyle name="Normal 3 7" xfId="4474"/>
    <cellStyle name="Normal 3 7 2" xfId="4891"/>
    <cellStyle name="Normal 3 7 2 2" xfId="37313"/>
    <cellStyle name="Normal 3 7 2 3" xfId="38919"/>
    <cellStyle name="Normal 3 7 2 4" xfId="5500"/>
    <cellStyle name="Normal 3 7 2 5" xfId="40586"/>
    <cellStyle name="Normal 3 7 2 6" xfId="42127"/>
    <cellStyle name="Normal 3 7 3" xfId="5222"/>
    <cellStyle name="Normal 3 7 3 2" xfId="38572"/>
    <cellStyle name="Normal 3 7 3 3" xfId="39141"/>
    <cellStyle name="Normal 3 7 3 4" xfId="5722"/>
    <cellStyle name="Normal 3 7 4" xfId="35569"/>
    <cellStyle name="Normal 3 7 5" xfId="38748"/>
    <cellStyle name="Normal 3 7 6" xfId="5329"/>
    <cellStyle name="Normal 3 7 7" xfId="39868"/>
    <cellStyle name="Normal 3 7 8" xfId="41409"/>
    <cellStyle name="Normal 3 7_consumption scenario A" xfId="5068"/>
    <cellStyle name="Normal 3 8" xfId="4482"/>
    <cellStyle name="Normal 3 8 2" xfId="35599"/>
    <cellStyle name="Normal 3 8 3" xfId="38753"/>
    <cellStyle name="Normal 3 8 4" xfId="5334"/>
    <cellStyle name="Normal 3 8 5" xfId="39927"/>
    <cellStyle name="Normal 3 8 6" xfId="41468"/>
    <cellStyle name="Normal 3 9" xfId="4502"/>
    <cellStyle name="Normal 3 9 2" xfId="35660"/>
    <cellStyle name="Normal 3 9 3" xfId="38765"/>
    <cellStyle name="Normal 3 9 4" xfId="5346"/>
    <cellStyle name="Normal 3_AEO proration factors" xfId="4892"/>
    <cellStyle name="Normal 30" xfId="4744"/>
    <cellStyle name="Normal 31" xfId="4747"/>
    <cellStyle name="Normal 32" xfId="4742"/>
    <cellStyle name="Normal 33" xfId="4539"/>
    <cellStyle name="Normal 34" xfId="4746"/>
    <cellStyle name="Normal 35" xfId="4749"/>
    <cellStyle name="Normal 35 2" xfId="36115"/>
    <cellStyle name="Normal 35 3" xfId="38830"/>
    <cellStyle name="Normal 35 4" xfId="5411"/>
    <cellStyle name="Normal 36" xfId="4751"/>
    <cellStyle name="Normal 36 2" xfId="36117"/>
    <cellStyle name="Normal 36 3" xfId="38832"/>
    <cellStyle name="Normal 36 4" xfId="5413"/>
    <cellStyle name="Normal 37" xfId="5127"/>
    <cellStyle name="Normal 38" xfId="39208"/>
    <cellStyle name="Normal 39" xfId="40725"/>
    <cellStyle name="Normal 4" xfId="124"/>
    <cellStyle name="Normal 4 2" xfId="225"/>
    <cellStyle name="Normal 4 2 2" xfId="4616"/>
    <cellStyle name="Normal 4 2_consumption scenario A" xfId="5069"/>
    <cellStyle name="Normal 4 3" xfId="224"/>
    <cellStyle name="Normal 40" xfId="40727"/>
    <cellStyle name="Normal 41" xfId="40778"/>
    <cellStyle name="Normal 5" xfId="154"/>
    <cellStyle name="Normal 5 10" xfId="5817"/>
    <cellStyle name="Normal 5 11" xfId="38727"/>
    <cellStyle name="Normal 5 12" xfId="5308"/>
    <cellStyle name="Normal 5 13" xfId="39223"/>
    <cellStyle name="Normal 5 14" xfId="40745"/>
    <cellStyle name="Normal 5 2" xfId="166"/>
    <cellStyle name="Normal 5 2 10" xfId="39255"/>
    <cellStyle name="Normal 5 2 11" xfId="40781"/>
    <cellStyle name="Normal 5 2 2" xfId="4498"/>
    <cellStyle name="Normal 5 2 2 10" xfId="40845"/>
    <cellStyle name="Normal 5 2 2 2" xfId="4569"/>
    <cellStyle name="Normal 5 2 2 2 2" xfId="4893"/>
    <cellStyle name="Normal 5 2 2 2 2 2" xfId="4894"/>
    <cellStyle name="Normal 5 2 2 2 2 2 2" xfId="37315"/>
    <cellStyle name="Normal 5 2 2 2 2 2 3" xfId="38921"/>
    <cellStyle name="Normal 5 2 2 2 2 2 4" xfId="5502"/>
    <cellStyle name="Normal 5 2 2 2 2 2 5" xfId="40605"/>
    <cellStyle name="Normal 5 2 2 2 2 2 6" xfId="42146"/>
    <cellStyle name="Normal 5 2 2 2 2 3" xfId="5241"/>
    <cellStyle name="Normal 5 2 2 2 2 3 2" xfId="38591"/>
    <cellStyle name="Normal 5 2 2 2 2 3 3" xfId="39160"/>
    <cellStyle name="Normal 5 2 2 2 2 3 4" xfId="5741"/>
    <cellStyle name="Normal 5 2 2 2 2 4" xfId="37314"/>
    <cellStyle name="Normal 5 2 2 2 2 5" xfId="38920"/>
    <cellStyle name="Normal 5 2 2 2 2 6" xfId="5501"/>
    <cellStyle name="Normal 5 2 2 2 2 7" xfId="39887"/>
    <cellStyle name="Normal 5 2 2 2 2 8" xfId="41428"/>
    <cellStyle name="Normal 5 2 2 2 2_consumption scenario A" xfId="5122"/>
    <cellStyle name="Normal 5 2 2 2 3" xfId="4895"/>
    <cellStyle name="Normal 5 2 2 2 3 2" xfId="37316"/>
    <cellStyle name="Normal 5 2 2 2 3 3" xfId="38922"/>
    <cellStyle name="Normal 5 2 2 2 3 4" xfId="5503"/>
    <cellStyle name="Normal 5 2 2 2 3 5" xfId="40268"/>
    <cellStyle name="Normal 5 2 2 2 3 6" xfId="41809"/>
    <cellStyle name="Normal 5 2 2 2 4" xfId="5186"/>
    <cellStyle name="Normal 5 2 2 2 4 2" xfId="38253"/>
    <cellStyle name="Normal 5 2 2 2 4 3" xfId="39106"/>
    <cellStyle name="Normal 5 2 2 2 4 4" xfId="5687"/>
    <cellStyle name="Normal 5 2 2 2 5" xfId="35905"/>
    <cellStyle name="Normal 5 2 2 2 6" xfId="38818"/>
    <cellStyle name="Normal 5 2 2 2 7" xfId="5399"/>
    <cellStyle name="Normal 5 2 2 2 8" xfId="39550"/>
    <cellStyle name="Normal 5 2 2 2 9" xfId="41091"/>
    <cellStyle name="Normal 5 2 2 2_AEO proration factors" xfId="4896"/>
    <cellStyle name="Normal 5 2 2 3" xfId="4897"/>
    <cellStyle name="Normal 5 2 2 3 2" xfId="4898"/>
    <cellStyle name="Normal 5 2 2 3 2 2" xfId="37318"/>
    <cellStyle name="Normal 5 2 2 3 2 3" xfId="38924"/>
    <cellStyle name="Normal 5 2 2 3 2 4" xfId="5505"/>
    <cellStyle name="Normal 5 2 2 3 2 5" xfId="40604"/>
    <cellStyle name="Normal 5 2 2 3 2 6" xfId="42145"/>
    <cellStyle name="Normal 5 2 2 3 3" xfId="5240"/>
    <cellStyle name="Normal 5 2 2 3 3 2" xfId="38590"/>
    <cellStyle name="Normal 5 2 2 3 3 3" xfId="39159"/>
    <cellStyle name="Normal 5 2 2 3 3 4" xfId="5740"/>
    <cellStyle name="Normal 5 2 2 3 4" xfId="37317"/>
    <cellStyle name="Normal 5 2 2 3 5" xfId="38923"/>
    <cellStyle name="Normal 5 2 2 3 6" xfId="5504"/>
    <cellStyle name="Normal 5 2 2 3 7" xfId="39886"/>
    <cellStyle name="Normal 5 2 2 3 8" xfId="41427"/>
    <cellStyle name="Normal 5 2 2 3_consumption scenario A" xfId="5123"/>
    <cellStyle name="Normal 5 2 2 4" xfId="4899"/>
    <cellStyle name="Normal 5 2 2 4 2" xfId="37319"/>
    <cellStyle name="Normal 5 2 2 4 3" xfId="38925"/>
    <cellStyle name="Normal 5 2 2 4 4" xfId="5506"/>
    <cellStyle name="Normal 5 2 2 4 5" xfId="40034"/>
    <cellStyle name="Normal 5 2 2 4 6" xfId="41575"/>
    <cellStyle name="Normal 5 2 2 5" xfId="5152"/>
    <cellStyle name="Normal 5 2 2 5 2" xfId="38019"/>
    <cellStyle name="Normal 5 2 2 5 3" xfId="39072"/>
    <cellStyle name="Normal 5 2 2 5 4" xfId="5653"/>
    <cellStyle name="Normal 5 2 2 6" xfId="35644"/>
    <cellStyle name="Normal 5 2 2 7" xfId="38762"/>
    <cellStyle name="Normal 5 2 2 8" xfId="5343"/>
    <cellStyle name="Normal 5 2 2 9" xfId="39316"/>
    <cellStyle name="Normal 5 2 2_AEO proration factors" xfId="4900"/>
    <cellStyle name="Normal 5 2 3" xfId="4525"/>
    <cellStyle name="Normal 5 2 3 2" xfId="4901"/>
    <cellStyle name="Normal 5 2 3 2 2" xfId="4902"/>
    <cellStyle name="Normal 5 2 3 2 2 2" xfId="37321"/>
    <cellStyle name="Normal 5 2 3 2 2 3" xfId="38927"/>
    <cellStyle name="Normal 5 2 3 2 2 4" xfId="5508"/>
    <cellStyle name="Normal 5 2 3 2 2 5" xfId="40606"/>
    <cellStyle name="Normal 5 2 3 2 2 6" xfId="42147"/>
    <cellStyle name="Normal 5 2 3 2 3" xfId="5242"/>
    <cellStyle name="Normal 5 2 3 2 3 2" xfId="38592"/>
    <cellStyle name="Normal 5 2 3 2 3 3" xfId="39161"/>
    <cellStyle name="Normal 5 2 3 2 3 4" xfId="5742"/>
    <cellStyle name="Normal 5 2 3 2 4" xfId="37320"/>
    <cellStyle name="Normal 5 2 3 2 5" xfId="38926"/>
    <cellStyle name="Normal 5 2 3 2 6" xfId="5507"/>
    <cellStyle name="Normal 5 2 3 2 7" xfId="39888"/>
    <cellStyle name="Normal 5 2 3 2 8" xfId="41429"/>
    <cellStyle name="Normal 5 2 3 2_consumption scenario A" xfId="5124"/>
    <cellStyle name="Normal 5 2 3 3" xfId="4903"/>
    <cellStyle name="Normal 5 2 3 3 2" xfId="37322"/>
    <cellStyle name="Normal 5 2 3 3 3" xfId="38928"/>
    <cellStyle name="Normal 5 2 3 3 4" xfId="5509"/>
    <cellStyle name="Normal 5 2 3 3 5" xfId="40267"/>
    <cellStyle name="Normal 5 2 3 3 6" xfId="41808"/>
    <cellStyle name="Normal 5 2 3 4" xfId="5185"/>
    <cellStyle name="Normal 5 2 3 4 2" xfId="38252"/>
    <cellStyle name="Normal 5 2 3 4 3" xfId="39105"/>
    <cellStyle name="Normal 5 2 3 4 4" xfId="5686"/>
    <cellStyle name="Normal 5 2 3 5" xfId="35777"/>
    <cellStyle name="Normal 5 2 3 6" xfId="38786"/>
    <cellStyle name="Normal 5 2 3 7" xfId="5367"/>
    <cellStyle name="Normal 5 2 3 8" xfId="39549"/>
    <cellStyle name="Normal 5 2 3 9" xfId="41090"/>
    <cellStyle name="Normal 5 2 3_AEO proration factors" xfId="4904"/>
    <cellStyle name="Normal 5 2 4" xfId="4550"/>
    <cellStyle name="Normal 5 2 4 2" xfId="4905"/>
    <cellStyle name="Normal 5 2 4 2 2" xfId="37323"/>
    <cellStyle name="Normal 5 2 4 2 3" xfId="38929"/>
    <cellStyle name="Normal 5 2 4 2 4" xfId="5510"/>
    <cellStyle name="Normal 5 2 4 2 5" xfId="40603"/>
    <cellStyle name="Normal 5 2 4 2 6" xfId="42144"/>
    <cellStyle name="Normal 5 2 4 3" xfId="5239"/>
    <cellStyle name="Normal 5 2 4 3 2" xfId="38589"/>
    <cellStyle name="Normal 5 2 4 3 3" xfId="39158"/>
    <cellStyle name="Normal 5 2 4 3 4" xfId="5739"/>
    <cellStyle name="Normal 5 2 4 4" xfId="35844"/>
    <cellStyle name="Normal 5 2 4 5" xfId="38805"/>
    <cellStyle name="Normal 5 2 4 6" xfId="5386"/>
    <cellStyle name="Normal 5 2 4 7" xfId="39885"/>
    <cellStyle name="Normal 5 2 4 8" xfId="41426"/>
    <cellStyle name="Normal 5 2 4_consumption scenario A" xfId="5070"/>
    <cellStyle name="Normal 5 2 5" xfId="4906"/>
    <cellStyle name="Normal 5 2 5 2" xfId="37324"/>
    <cellStyle name="Normal 5 2 5 3" xfId="38930"/>
    <cellStyle name="Normal 5 2 5 4" xfId="5511"/>
    <cellStyle name="Normal 5 2 5 5" xfId="39973"/>
    <cellStyle name="Normal 5 2 5 6" xfId="41514"/>
    <cellStyle name="Normal 5 2 6" xfId="5139"/>
    <cellStyle name="Normal 5 2 6 2" xfId="37958"/>
    <cellStyle name="Normal 5 2 6 3" xfId="39059"/>
    <cellStyle name="Normal 5 2 6 4" xfId="5640"/>
    <cellStyle name="Normal 5 2 7" xfId="5846"/>
    <cellStyle name="Normal 5 2 8" xfId="38732"/>
    <cellStyle name="Normal 5 2 9" xfId="5313"/>
    <cellStyle name="Normal 5 2_AEO proration factors" xfId="4907"/>
    <cellStyle name="Normal 5 3" xfId="175"/>
    <cellStyle name="Normal 5 3 10" xfId="40813"/>
    <cellStyle name="Normal 5 3 2" xfId="4515"/>
    <cellStyle name="Normal 5 3 2 2" xfId="4908"/>
    <cellStyle name="Normal 5 3 2 2 2" xfId="4909"/>
    <cellStyle name="Normal 5 3 2 2 2 2" xfId="37326"/>
    <cellStyle name="Normal 5 3 2 2 2 3" xfId="38932"/>
    <cellStyle name="Normal 5 3 2 2 2 4" xfId="5513"/>
    <cellStyle name="Normal 5 3 2 2 2 5" xfId="40608"/>
    <cellStyle name="Normal 5 3 2 2 2 6" xfId="42149"/>
    <cellStyle name="Normal 5 3 2 2 3" xfId="5244"/>
    <cellStyle name="Normal 5 3 2 2 3 2" xfId="38594"/>
    <cellStyle name="Normal 5 3 2 2 3 3" xfId="39163"/>
    <cellStyle name="Normal 5 3 2 2 3 4" xfId="5744"/>
    <cellStyle name="Normal 5 3 2 2 4" xfId="37325"/>
    <cellStyle name="Normal 5 3 2 2 5" xfId="38931"/>
    <cellStyle name="Normal 5 3 2 2 6" xfId="5512"/>
    <cellStyle name="Normal 5 3 2 2 7" xfId="39890"/>
    <cellStyle name="Normal 5 3 2 2 8" xfId="41431"/>
    <cellStyle name="Normal 5 3 2 2_consumption scenario A" xfId="5125"/>
    <cellStyle name="Normal 5 3 2 3" xfId="4910"/>
    <cellStyle name="Normal 5 3 2 3 2" xfId="37327"/>
    <cellStyle name="Normal 5 3 2 3 3" xfId="38933"/>
    <cellStyle name="Normal 5 3 2 3 4" xfId="5514"/>
    <cellStyle name="Normal 5 3 2 3 5" xfId="40269"/>
    <cellStyle name="Normal 5 3 2 3 6" xfId="41810"/>
    <cellStyle name="Normal 5 3 2 4" xfId="5187"/>
    <cellStyle name="Normal 5 3 2 4 2" xfId="38254"/>
    <cellStyle name="Normal 5 3 2 4 3" xfId="39107"/>
    <cellStyle name="Normal 5 3 2 4 4" xfId="5688"/>
    <cellStyle name="Normal 5 3 2 5" xfId="35745"/>
    <cellStyle name="Normal 5 3 2 6" xfId="38778"/>
    <cellStyle name="Normal 5 3 2 7" xfId="5359"/>
    <cellStyle name="Normal 5 3 2 8" xfId="39551"/>
    <cellStyle name="Normal 5 3 2 9" xfId="41092"/>
    <cellStyle name="Normal 5 3 2_AEO proration factors" xfId="4911"/>
    <cellStyle name="Normal 5 3 3" xfId="4561"/>
    <cellStyle name="Normal 5 3 3 2" xfId="4912"/>
    <cellStyle name="Normal 5 3 3 2 2" xfId="37328"/>
    <cellStyle name="Normal 5 3 3 2 3" xfId="38934"/>
    <cellStyle name="Normal 5 3 3 2 4" xfId="5515"/>
    <cellStyle name="Normal 5 3 3 2 5" xfId="40607"/>
    <cellStyle name="Normal 5 3 3 2 6" xfId="42148"/>
    <cellStyle name="Normal 5 3 3 3" xfId="5243"/>
    <cellStyle name="Normal 5 3 3 3 2" xfId="38593"/>
    <cellStyle name="Normal 5 3 3 3 3" xfId="39162"/>
    <cellStyle name="Normal 5 3 3 3 4" xfId="5743"/>
    <cellStyle name="Normal 5 3 3 4" xfId="35873"/>
    <cellStyle name="Normal 5 3 3 5" xfId="38810"/>
    <cellStyle name="Normal 5 3 3 6" xfId="5391"/>
    <cellStyle name="Normal 5 3 3 7" xfId="39889"/>
    <cellStyle name="Normal 5 3 3 8" xfId="41430"/>
    <cellStyle name="Normal 5 3 3_consumption scenario A" xfId="5071"/>
    <cellStyle name="Normal 5 3 4" xfId="4913"/>
    <cellStyle name="Normal 5 3 4 2" xfId="37329"/>
    <cellStyle name="Normal 5 3 4 3" xfId="38935"/>
    <cellStyle name="Normal 5 3 4 4" xfId="5516"/>
    <cellStyle name="Normal 5 3 4 5" xfId="40002"/>
    <cellStyle name="Normal 5 3 4 6" xfId="41543"/>
    <cellStyle name="Normal 5 3 5" xfId="5144"/>
    <cellStyle name="Normal 5 3 5 2" xfId="37987"/>
    <cellStyle name="Normal 5 3 5 3" xfId="39064"/>
    <cellStyle name="Normal 5 3 5 4" xfId="5645"/>
    <cellStyle name="Normal 5 3 6" xfId="5889"/>
    <cellStyle name="Normal 5 3 7" xfId="38739"/>
    <cellStyle name="Normal 5 3 8" xfId="5320"/>
    <cellStyle name="Normal 5 3 9" xfId="39284"/>
    <cellStyle name="Normal 5 3_AEO proration factors" xfId="4914"/>
    <cellStyle name="Normal 5 4" xfId="226"/>
    <cellStyle name="Normal 5 4 2" xfId="4618"/>
    <cellStyle name="Normal 5 4_consumption scenario A" xfId="5072"/>
    <cellStyle name="Normal 5 5" xfId="4476"/>
    <cellStyle name="Normal 5 5 2" xfId="4915"/>
    <cellStyle name="Normal 5 5 2 2" xfId="4916"/>
    <cellStyle name="Normal 5 5 2 2 2" xfId="37331"/>
    <cellStyle name="Normal 5 5 2 2 3" xfId="38937"/>
    <cellStyle name="Normal 5 5 2 2 4" xfId="5518"/>
    <cellStyle name="Normal 5 5 2 2 5" xfId="40609"/>
    <cellStyle name="Normal 5 5 2 2 6" xfId="42150"/>
    <cellStyle name="Normal 5 5 2 3" xfId="5245"/>
    <cellStyle name="Normal 5 5 2 3 2" xfId="38595"/>
    <cellStyle name="Normal 5 5 2 3 3" xfId="39164"/>
    <cellStyle name="Normal 5 5 2 3 4" xfId="5745"/>
    <cellStyle name="Normal 5 5 2 4" xfId="37330"/>
    <cellStyle name="Normal 5 5 2 5" xfId="38936"/>
    <cellStyle name="Normal 5 5 2 6" xfId="5517"/>
    <cellStyle name="Normal 5 5 2 7" xfId="39891"/>
    <cellStyle name="Normal 5 5 2 8" xfId="41432"/>
    <cellStyle name="Normal 5 5 2_consumption scenario A" xfId="5126"/>
    <cellStyle name="Normal 5 5 3" xfId="4917"/>
    <cellStyle name="Normal 5 5 3 2" xfId="37332"/>
    <cellStyle name="Normal 5 5 3 3" xfId="38938"/>
    <cellStyle name="Normal 5 5 3 4" xfId="5519"/>
    <cellStyle name="Normal 5 5 3 5" xfId="40266"/>
    <cellStyle name="Normal 5 5 3 6" xfId="41807"/>
    <cellStyle name="Normal 5 5 4" xfId="5184"/>
    <cellStyle name="Normal 5 5 4 2" xfId="38251"/>
    <cellStyle name="Normal 5 5 4 3" xfId="39104"/>
    <cellStyle name="Normal 5 5 4 4" xfId="5685"/>
    <cellStyle name="Normal 5 5 5" xfId="35583"/>
    <cellStyle name="Normal 5 5 6" xfId="38750"/>
    <cellStyle name="Normal 5 5 7" xfId="5331"/>
    <cellStyle name="Normal 5 5 8" xfId="39548"/>
    <cellStyle name="Normal 5 5 9" xfId="41089"/>
    <cellStyle name="Normal 5 5_AEO proration factors" xfId="4918"/>
    <cellStyle name="Normal 5 6" xfId="4484"/>
    <cellStyle name="Normal 5 6 2" xfId="4919"/>
    <cellStyle name="Normal 5 6 2 2" xfId="37333"/>
    <cellStyle name="Normal 5 6 2 3" xfId="38939"/>
    <cellStyle name="Normal 5 6 2 4" xfId="5520"/>
    <cellStyle name="Normal 5 6 2 5" xfId="40602"/>
    <cellStyle name="Normal 5 6 2 6" xfId="42143"/>
    <cellStyle name="Normal 5 6 3" xfId="5238"/>
    <cellStyle name="Normal 5 6 3 2" xfId="38588"/>
    <cellStyle name="Normal 5 6 3 3" xfId="39157"/>
    <cellStyle name="Normal 5 6 3 4" xfId="5738"/>
    <cellStyle name="Normal 5 6 4" xfId="35613"/>
    <cellStyle name="Normal 5 6 5" xfId="38755"/>
    <cellStyle name="Normal 5 6 6" xfId="5336"/>
    <cellStyle name="Normal 5 6 7" xfId="39884"/>
    <cellStyle name="Normal 5 6 8" xfId="41425"/>
    <cellStyle name="Normal 5 6_consumption scenario A" xfId="5073"/>
    <cellStyle name="Normal 5 7" xfId="4504"/>
    <cellStyle name="Normal 5 7 2" xfId="35674"/>
    <cellStyle name="Normal 5 7 3" xfId="38767"/>
    <cellStyle name="Normal 5 7 4" xfId="5348"/>
    <cellStyle name="Normal 5 7 5" xfId="39941"/>
    <cellStyle name="Normal 5 7 6" xfId="41482"/>
    <cellStyle name="Normal 5 8" xfId="4540"/>
    <cellStyle name="Normal 5 8 2" xfId="35812"/>
    <cellStyle name="Normal 5 8 3" xfId="38797"/>
    <cellStyle name="Normal 5 8 4" xfId="5378"/>
    <cellStyle name="Normal 5 9" xfId="5131"/>
    <cellStyle name="Normal 5 9 2" xfId="37926"/>
    <cellStyle name="Normal 5 9 3" xfId="39051"/>
    <cellStyle name="Normal 5 9 4" xfId="5632"/>
    <cellStyle name="Normal 5_AEO proration factors" xfId="4920"/>
    <cellStyle name="Normal 6" xfId="156"/>
    <cellStyle name="Normal 6 2" xfId="228"/>
    <cellStyle name="Normal 6 2 2" xfId="4620"/>
    <cellStyle name="Normal 6 2_consumption scenario A" xfId="5074"/>
    <cellStyle name="Normal 6 3" xfId="227"/>
    <cellStyle name="Normal 7" xfId="169"/>
    <cellStyle name="Normal 7 2" xfId="178"/>
    <cellStyle name="Normal 7 2 2" xfId="4519"/>
    <cellStyle name="Normal 7 2 3" xfId="4622"/>
    <cellStyle name="Normal 7 2 4" xfId="5904"/>
    <cellStyle name="Normal 7 2 5" xfId="38742"/>
    <cellStyle name="Normal 7 2 6" xfId="5323"/>
    <cellStyle name="Normal 7 2_consumption scenario A" xfId="5076"/>
    <cellStyle name="Normal 7 3" xfId="229"/>
    <cellStyle name="Normal 7 4" xfId="4479"/>
    <cellStyle name="Normal 7 5" xfId="4507"/>
    <cellStyle name="Normal 7 5 2" xfId="35689"/>
    <cellStyle name="Normal 7 5 3" xfId="38770"/>
    <cellStyle name="Normal 7 5 4" xfId="5351"/>
    <cellStyle name="Normal 7 6" xfId="5861"/>
    <cellStyle name="Normal 7 7" xfId="38735"/>
    <cellStyle name="Normal 7 8" xfId="5316"/>
    <cellStyle name="Normal 7_consumption scenario A" xfId="5075"/>
    <cellStyle name="Normal 8" xfId="180"/>
    <cellStyle name="Normal 8 2" xfId="230"/>
    <cellStyle name="Normal 8 2 2" xfId="4501"/>
    <cellStyle name="Normal 8 2_consumption scenario A" xfId="5077"/>
    <cellStyle name="Normal 8 3" xfId="4481"/>
    <cellStyle name="Normal 8 3 2" xfId="4625"/>
    <cellStyle name="Normal 8 3_consumption scenario A" xfId="5078"/>
    <cellStyle name="Normal 8 4" xfId="4509"/>
    <cellStyle name="Normal 8 4 2" xfId="35703"/>
    <cellStyle name="Normal 8 4 3" xfId="38772"/>
    <cellStyle name="Normal 8 4 4" xfId="5353"/>
    <cellStyle name="Normal 8 5" xfId="5918"/>
    <cellStyle name="Normal 8 6" xfId="38744"/>
    <cellStyle name="Normal 8 7" xfId="5325"/>
    <cellStyle name="Normal 8_AEO proration factors" xfId="4921"/>
    <cellStyle name="Normal 9" xfId="182"/>
    <cellStyle name="Normal 9 10" xfId="232"/>
    <cellStyle name="Normal 9 10 10" xfId="233"/>
    <cellStyle name="Normal 9 10 10 2" xfId="234"/>
    <cellStyle name="Normal 9 10 11" xfId="235"/>
    <cellStyle name="Normal 9 10 11 2" xfId="236"/>
    <cellStyle name="Normal 9 10 12" xfId="237"/>
    <cellStyle name="Normal 9 10 2" xfId="238"/>
    <cellStyle name="Normal 9 10 2 2" xfId="239"/>
    <cellStyle name="Normal 9 10 3" xfId="240"/>
    <cellStyle name="Normal 9 10 3 2" xfId="241"/>
    <cellStyle name="Normal 9 10 4" xfId="242"/>
    <cellStyle name="Normal 9 10 4 2" xfId="243"/>
    <cellStyle name="Normal 9 10 5" xfId="244"/>
    <cellStyle name="Normal 9 10 5 2" xfId="245"/>
    <cellStyle name="Normal 9 10 6" xfId="246"/>
    <cellStyle name="Normal 9 10 6 2" xfId="247"/>
    <cellStyle name="Normal 9 10 7" xfId="248"/>
    <cellStyle name="Normal 9 10 7 2" xfId="249"/>
    <cellStyle name="Normal 9 10 8" xfId="250"/>
    <cellStyle name="Normal 9 10 8 2" xfId="251"/>
    <cellStyle name="Normal 9 10 9" xfId="252"/>
    <cellStyle name="Normal 9 10 9 2" xfId="253"/>
    <cellStyle name="Normal 9 11" xfId="254"/>
    <cellStyle name="Normal 9 11 10" xfId="255"/>
    <cellStyle name="Normal 9 11 10 2" xfId="256"/>
    <cellStyle name="Normal 9 11 11" xfId="257"/>
    <cellStyle name="Normal 9 11 11 2" xfId="258"/>
    <cellStyle name="Normal 9 11 12" xfId="259"/>
    <cellStyle name="Normal 9 11 2" xfId="260"/>
    <cellStyle name="Normal 9 11 2 2" xfId="261"/>
    <cellStyle name="Normal 9 11 3" xfId="262"/>
    <cellStyle name="Normal 9 11 3 2" xfId="263"/>
    <cellStyle name="Normal 9 11 4" xfId="264"/>
    <cellStyle name="Normal 9 11 4 2" xfId="265"/>
    <cellStyle name="Normal 9 11 5" xfId="266"/>
    <cellStyle name="Normal 9 11 5 2" xfId="267"/>
    <cellStyle name="Normal 9 11 6" xfId="268"/>
    <cellStyle name="Normal 9 11 6 2" xfId="269"/>
    <cellStyle name="Normal 9 11 7" xfId="270"/>
    <cellStyle name="Normal 9 11 7 2" xfId="271"/>
    <cellStyle name="Normal 9 11 8" xfId="272"/>
    <cellStyle name="Normal 9 11 8 2" xfId="273"/>
    <cellStyle name="Normal 9 11 9" xfId="274"/>
    <cellStyle name="Normal 9 11 9 2" xfId="275"/>
    <cellStyle name="Normal 9 12" xfId="276"/>
    <cellStyle name="Normal 9 12 10" xfId="277"/>
    <cellStyle name="Normal 9 12 10 2" xfId="278"/>
    <cellStyle name="Normal 9 12 11" xfId="279"/>
    <cellStyle name="Normal 9 12 11 2" xfId="280"/>
    <cellStyle name="Normal 9 12 12" xfId="281"/>
    <cellStyle name="Normal 9 12 2" xfId="282"/>
    <cellStyle name="Normal 9 12 2 2" xfId="283"/>
    <cellStyle name="Normal 9 12 3" xfId="284"/>
    <cellStyle name="Normal 9 12 3 2" xfId="285"/>
    <cellStyle name="Normal 9 12 4" xfId="286"/>
    <cellStyle name="Normal 9 12 4 2" xfId="287"/>
    <cellStyle name="Normal 9 12 5" xfId="288"/>
    <cellStyle name="Normal 9 12 5 2" xfId="289"/>
    <cellStyle name="Normal 9 12 6" xfId="290"/>
    <cellStyle name="Normal 9 12 6 2" xfId="291"/>
    <cellStyle name="Normal 9 12 7" xfId="292"/>
    <cellStyle name="Normal 9 12 7 2" xfId="293"/>
    <cellStyle name="Normal 9 12 8" xfId="294"/>
    <cellStyle name="Normal 9 12 8 2" xfId="295"/>
    <cellStyle name="Normal 9 12 9" xfId="296"/>
    <cellStyle name="Normal 9 12 9 2" xfId="297"/>
    <cellStyle name="Normal 9 13" xfId="298"/>
    <cellStyle name="Normal 9 13 10" xfId="299"/>
    <cellStyle name="Normal 9 13 10 2" xfId="300"/>
    <cellStyle name="Normal 9 13 11" xfId="301"/>
    <cellStyle name="Normal 9 13 11 2" xfId="302"/>
    <cellStyle name="Normal 9 13 12" xfId="303"/>
    <cellStyle name="Normal 9 13 2" xfId="304"/>
    <cellStyle name="Normal 9 13 2 2" xfId="305"/>
    <cellStyle name="Normal 9 13 3" xfId="306"/>
    <cellStyle name="Normal 9 13 3 2" xfId="307"/>
    <cellStyle name="Normal 9 13 4" xfId="308"/>
    <cellStyle name="Normal 9 13 4 2" xfId="309"/>
    <cellStyle name="Normal 9 13 5" xfId="310"/>
    <cellStyle name="Normal 9 13 5 2" xfId="311"/>
    <cellStyle name="Normal 9 13 6" xfId="312"/>
    <cellStyle name="Normal 9 13 6 2" xfId="313"/>
    <cellStyle name="Normal 9 13 7" xfId="314"/>
    <cellStyle name="Normal 9 13 7 2" xfId="315"/>
    <cellStyle name="Normal 9 13 8" xfId="316"/>
    <cellStyle name="Normal 9 13 8 2" xfId="317"/>
    <cellStyle name="Normal 9 13 9" xfId="318"/>
    <cellStyle name="Normal 9 13 9 2" xfId="319"/>
    <cellStyle name="Normal 9 14" xfId="320"/>
    <cellStyle name="Normal 9 14 10" xfId="321"/>
    <cellStyle name="Normal 9 14 10 2" xfId="322"/>
    <cellStyle name="Normal 9 14 11" xfId="323"/>
    <cellStyle name="Normal 9 14 11 2" xfId="324"/>
    <cellStyle name="Normal 9 14 12" xfId="325"/>
    <cellStyle name="Normal 9 14 2" xfId="326"/>
    <cellStyle name="Normal 9 14 2 2" xfId="327"/>
    <cellStyle name="Normal 9 14 3" xfId="328"/>
    <cellStyle name="Normal 9 14 3 2" xfId="329"/>
    <cellStyle name="Normal 9 14 4" xfId="330"/>
    <cellStyle name="Normal 9 14 4 2" xfId="331"/>
    <cellStyle name="Normal 9 14 5" xfId="332"/>
    <cellStyle name="Normal 9 14 5 2" xfId="333"/>
    <cellStyle name="Normal 9 14 6" xfId="334"/>
    <cellStyle name="Normal 9 14 6 2" xfId="335"/>
    <cellStyle name="Normal 9 14 7" xfId="336"/>
    <cellStyle name="Normal 9 14 7 2" xfId="337"/>
    <cellStyle name="Normal 9 14 8" xfId="338"/>
    <cellStyle name="Normal 9 14 8 2" xfId="339"/>
    <cellStyle name="Normal 9 14 9" xfId="340"/>
    <cellStyle name="Normal 9 14 9 2" xfId="341"/>
    <cellStyle name="Normal 9 15" xfId="342"/>
    <cellStyle name="Normal 9 15 10" xfId="343"/>
    <cellStyle name="Normal 9 15 10 2" xfId="344"/>
    <cellStyle name="Normal 9 15 11" xfId="345"/>
    <cellStyle name="Normal 9 15 11 2" xfId="346"/>
    <cellStyle name="Normal 9 15 12" xfId="347"/>
    <cellStyle name="Normal 9 15 2" xfId="348"/>
    <cellStyle name="Normal 9 15 2 2" xfId="349"/>
    <cellStyle name="Normal 9 15 3" xfId="350"/>
    <cellStyle name="Normal 9 15 3 2" xfId="351"/>
    <cellStyle name="Normal 9 15 4" xfId="352"/>
    <cellStyle name="Normal 9 15 4 2" xfId="353"/>
    <cellStyle name="Normal 9 15 5" xfId="354"/>
    <cellStyle name="Normal 9 15 5 2" xfId="355"/>
    <cellStyle name="Normal 9 15 6" xfId="356"/>
    <cellStyle name="Normal 9 15 6 2" xfId="357"/>
    <cellStyle name="Normal 9 15 7" xfId="358"/>
    <cellStyle name="Normal 9 15 7 2" xfId="359"/>
    <cellStyle name="Normal 9 15 8" xfId="360"/>
    <cellStyle name="Normal 9 15 8 2" xfId="361"/>
    <cellStyle name="Normal 9 15 9" xfId="362"/>
    <cellStyle name="Normal 9 15 9 2" xfId="363"/>
    <cellStyle name="Normal 9 16" xfId="364"/>
    <cellStyle name="Normal 9 16 10" xfId="365"/>
    <cellStyle name="Normal 9 16 10 2" xfId="366"/>
    <cellStyle name="Normal 9 16 11" xfId="367"/>
    <cellStyle name="Normal 9 16 11 2" xfId="368"/>
    <cellStyle name="Normal 9 16 12" xfId="369"/>
    <cellStyle name="Normal 9 16 2" xfId="370"/>
    <cellStyle name="Normal 9 16 2 2" xfId="371"/>
    <cellStyle name="Normal 9 16 3" xfId="372"/>
    <cellStyle name="Normal 9 16 3 2" xfId="373"/>
    <cellStyle name="Normal 9 16 4" xfId="374"/>
    <cellStyle name="Normal 9 16 4 2" xfId="375"/>
    <cellStyle name="Normal 9 16 5" xfId="376"/>
    <cellStyle name="Normal 9 16 5 2" xfId="377"/>
    <cellStyle name="Normal 9 16 6" xfId="378"/>
    <cellStyle name="Normal 9 16 6 2" xfId="379"/>
    <cellStyle name="Normal 9 16 7" xfId="380"/>
    <cellStyle name="Normal 9 16 7 2" xfId="381"/>
    <cellStyle name="Normal 9 16 8" xfId="382"/>
    <cellStyle name="Normal 9 16 8 2" xfId="383"/>
    <cellStyle name="Normal 9 16 9" xfId="384"/>
    <cellStyle name="Normal 9 16 9 2" xfId="385"/>
    <cellStyle name="Normal 9 17" xfId="386"/>
    <cellStyle name="Normal 9 17 10" xfId="387"/>
    <cellStyle name="Normal 9 17 10 2" xfId="388"/>
    <cellStyle name="Normal 9 17 11" xfId="389"/>
    <cellStyle name="Normal 9 17 11 2" xfId="390"/>
    <cellStyle name="Normal 9 17 12" xfId="391"/>
    <cellStyle name="Normal 9 17 2" xfId="392"/>
    <cellStyle name="Normal 9 17 2 2" xfId="393"/>
    <cellStyle name="Normal 9 17 3" xfId="394"/>
    <cellStyle name="Normal 9 17 3 2" xfId="395"/>
    <cellStyle name="Normal 9 17 4" xfId="396"/>
    <cellStyle name="Normal 9 17 4 2" xfId="397"/>
    <cellStyle name="Normal 9 17 5" xfId="398"/>
    <cellStyle name="Normal 9 17 5 2" xfId="399"/>
    <cellStyle name="Normal 9 17 6" xfId="400"/>
    <cellStyle name="Normal 9 17 6 2" xfId="401"/>
    <cellStyle name="Normal 9 17 7" xfId="402"/>
    <cellStyle name="Normal 9 17 7 2" xfId="403"/>
    <cellStyle name="Normal 9 17 8" xfId="404"/>
    <cellStyle name="Normal 9 17 8 2" xfId="405"/>
    <cellStyle name="Normal 9 17 9" xfId="406"/>
    <cellStyle name="Normal 9 17 9 2" xfId="407"/>
    <cellStyle name="Normal 9 18" xfId="408"/>
    <cellStyle name="Normal 9 18 10" xfId="409"/>
    <cellStyle name="Normal 9 18 10 2" xfId="410"/>
    <cellStyle name="Normal 9 18 11" xfId="411"/>
    <cellStyle name="Normal 9 18 11 2" xfId="412"/>
    <cellStyle name="Normal 9 18 12" xfId="413"/>
    <cellStyle name="Normal 9 18 2" xfId="414"/>
    <cellStyle name="Normal 9 18 2 2" xfId="415"/>
    <cellStyle name="Normal 9 18 3" xfId="416"/>
    <cellStyle name="Normal 9 18 3 2" xfId="417"/>
    <cellStyle name="Normal 9 18 4" xfId="418"/>
    <cellStyle name="Normal 9 18 4 2" xfId="419"/>
    <cellStyle name="Normal 9 18 5" xfId="420"/>
    <cellStyle name="Normal 9 18 5 2" xfId="421"/>
    <cellStyle name="Normal 9 18 6" xfId="422"/>
    <cellStyle name="Normal 9 18 6 2" xfId="423"/>
    <cellStyle name="Normal 9 18 7" xfId="424"/>
    <cellStyle name="Normal 9 18 7 2" xfId="425"/>
    <cellStyle name="Normal 9 18 8" xfId="426"/>
    <cellStyle name="Normal 9 18 8 2" xfId="427"/>
    <cellStyle name="Normal 9 18 9" xfId="428"/>
    <cellStyle name="Normal 9 18 9 2" xfId="429"/>
    <cellStyle name="Normal 9 19" xfId="430"/>
    <cellStyle name="Normal 9 19 10" xfId="431"/>
    <cellStyle name="Normal 9 19 10 2" xfId="432"/>
    <cellStyle name="Normal 9 19 11" xfId="433"/>
    <cellStyle name="Normal 9 19 11 2" xfId="434"/>
    <cellStyle name="Normal 9 19 12" xfId="435"/>
    <cellStyle name="Normal 9 19 2" xfId="436"/>
    <cellStyle name="Normal 9 19 2 2" xfId="437"/>
    <cellStyle name="Normal 9 19 3" xfId="438"/>
    <cellStyle name="Normal 9 19 3 2" xfId="439"/>
    <cellStyle name="Normal 9 19 4" xfId="440"/>
    <cellStyle name="Normal 9 19 4 2" xfId="441"/>
    <cellStyle name="Normal 9 19 5" xfId="442"/>
    <cellStyle name="Normal 9 19 5 2" xfId="443"/>
    <cellStyle name="Normal 9 19 6" xfId="444"/>
    <cellStyle name="Normal 9 19 6 2" xfId="445"/>
    <cellStyle name="Normal 9 19 7" xfId="446"/>
    <cellStyle name="Normal 9 19 7 2" xfId="447"/>
    <cellStyle name="Normal 9 19 8" xfId="448"/>
    <cellStyle name="Normal 9 19 8 2" xfId="449"/>
    <cellStyle name="Normal 9 19 9" xfId="450"/>
    <cellStyle name="Normal 9 19 9 2" xfId="451"/>
    <cellStyle name="Normal 9 2" xfId="452"/>
    <cellStyle name="Normal 9 2 10" xfId="453"/>
    <cellStyle name="Normal 9 2 10 10" xfId="454"/>
    <cellStyle name="Normal 9 2 10 10 2" xfId="455"/>
    <cellStyle name="Normal 9 2 10 11" xfId="456"/>
    <cellStyle name="Normal 9 2 10 11 2" xfId="457"/>
    <cellStyle name="Normal 9 2 10 12" xfId="458"/>
    <cellStyle name="Normal 9 2 10 2" xfId="459"/>
    <cellStyle name="Normal 9 2 10 2 2" xfId="460"/>
    <cellStyle name="Normal 9 2 10 3" xfId="461"/>
    <cellStyle name="Normal 9 2 10 3 2" xfId="462"/>
    <cellStyle name="Normal 9 2 10 4" xfId="463"/>
    <cellStyle name="Normal 9 2 10 4 2" xfId="464"/>
    <cellStyle name="Normal 9 2 10 5" xfId="465"/>
    <cellStyle name="Normal 9 2 10 5 2" xfId="466"/>
    <cellStyle name="Normal 9 2 10 6" xfId="467"/>
    <cellStyle name="Normal 9 2 10 6 2" xfId="468"/>
    <cellStyle name="Normal 9 2 10 7" xfId="469"/>
    <cellStyle name="Normal 9 2 10 7 2" xfId="470"/>
    <cellStyle name="Normal 9 2 10 8" xfId="471"/>
    <cellStyle name="Normal 9 2 10 8 2" xfId="472"/>
    <cellStyle name="Normal 9 2 10 9" xfId="473"/>
    <cellStyle name="Normal 9 2 10 9 2" xfId="474"/>
    <cellStyle name="Normal 9 2 11" xfId="475"/>
    <cellStyle name="Normal 9 2 11 10" xfId="476"/>
    <cellStyle name="Normal 9 2 11 10 2" xfId="477"/>
    <cellStyle name="Normal 9 2 11 11" xfId="478"/>
    <cellStyle name="Normal 9 2 11 11 2" xfId="479"/>
    <cellStyle name="Normal 9 2 11 12" xfId="480"/>
    <cellStyle name="Normal 9 2 11 2" xfId="481"/>
    <cellStyle name="Normal 9 2 11 2 2" xfId="482"/>
    <cellStyle name="Normal 9 2 11 3" xfId="483"/>
    <cellStyle name="Normal 9 2 11 3 2" xfId="484"/>
    <cellStyle name="Normal 9 2 11 4" xfId="485"/>
    <cellStyle name="Normal 9 2 11 4 2" xfId="486"/>
    <cellStyle name="Normal 9 2 11 5" xfId="487"/>
    <cellStyle name="Normal 9 2 11 5 2" xfId="488"/>
    <cellStyle name="Normal 9 2 11 6" xfId="489"/>
    <cellStyle name="Normal 9 2 11 6 2" xfId="490"/>
    <cellStyle name="Normal 9 2 11 7" xfId="491"/>
    <cellStyle name="Normal 9 2 11 7 2" xfId="492"/>
    <cellStyle name="Normal 9 2 11 8" xfId="493"/>
    <cellStyle name="Normal 9 2 11 8 2" xfId="494"/>
    <cellStyle name="Normal 9 2 11 9" xfId="495"/>
    <cellStyle name="Normal 9 2 11 9 2" xfId="496"/>
    <cellStyle name="Normal 9 2 12" xfId="497"/>
    <cellStyle name="Normal 9 2 12 10" xfId="498"/>
    <cellStyle name="Normal 9 2 12 10 2" xfId="499"/>
    <cellStyle name="Normal 9 2 12 11" xfId="500"/>
    <cellStyle name="Normal 9 2 12 11 2" xfId="501"/>
    <cellStyle name="Normal 9 2 12 12" xfId="502"/>
    <cellStyle name="Normal 9 2 12 2" xfId="503"/>
    <cellStyle name="Normal 9 2 12 2 2" xfId="504"/>
    <cellStyle name="Normal 9 2 12 3" xfId="505"/>
    <cellStyle name="Normal 9 2 12 3 2" xfId="506"/>
    <cellStyle name="Normal 9 2 12 4" xfId="507"/>
    <cellStyle name="Normal 9 2 12 4 2" xfId="508"/>
    <cellStyle name="Normal 9 2 12 5" xfId="509"/>
    <cellStyle name="Normal 9 2 12 5 2" xfId="510"/>
    <cellStyle name="Normal 9 2 12 6" xfId="511"/>
    <cellStyle name="Normal 9 2 12 6 2" xfId="512"/>
    <cellStyle name="Normal 9 2 12 7" xfId="513"/>
    <cellStyle name="Normal 9 2 12 7 2" xfId="514"/>
    <cellStyle name="Normal 9 2 12 8" xfId="515"/>
    <cellStyle name="Normal 9 2 12 8 2" xfId="516"/>
    <cellStyle name="Normal 9 2 12 9" xfId="517"/>
    <cellStyle name="Normal 9 2 12 9 2" xfId="518"/>
    <cellStyle name="Normal 9 2 13" xfId="519"/>
    <cellStyle name="Normal 9 2 13 10" xfId="520"/>
    <cellStyle name="Normal 9 2 13 10 2" xfId="521"/>
    <cellStyle name="Normal 9 2 13 11" xfId="522"/>
    <cellStyle name="Normal 9 2 13 11 2" xfId="523"/>
    <cellStyle name="Normal 9 2 13 12" xfId="524"/>
    <cellStyle name="Normal 9 2 13 2" xfId="525"/>
    <cellStyle name="Normal 9 2 13 2 2" xfId="526"/>
    <cellStyle name="Normal 9 2 13 3" xfId="527"/>
    <cellStyle name="Normal 9 2 13 3 2" xfId="528"/>
    <cellStyle name="Normal 9 2 13 4" xfId="529"/>
    <cellStyle name="Normal 9 2 13 4 2" xfId="530"/>
    <cellStyle name="Normal 9 2 13 5" xfId="531"/>
    <cellStyle name="Normal 9 2 13 5 2" xfId="532"/>
    <cellStyle name="Normal 9 2 13 6" xfId="533"/>
    <cellStyle name="Normal 9 2 13 6 2" xfId="534"/>
    <cellStyle name="Normal 9 2 13 7" xfId="535"/>
    <cellStyle name="Normal 9 2 13 7 2" xfId="536"/>
    <cellStyle name="Normal 9 2 13 8" xfId="537"/>
    <cellStyle name="Normal 9 2 13 8 2" xfId="538"/>
    <cellStyle name="Normal 9 2 13 9" xfId="539"/>
    <cellStyle name="Normal 9 2 13 9 2" xfId="540"/>
    <cellStyle name="Normal 9 2 14" xfId="541"/>
    <cellStyle name="Normal 9 2 14 10" xfId="542"/>
    <cellStyle name="Normal 9 2 14 10 2" xfId="543"/>
    <cellStyle name="Normal 9 2 14 11" xfId="544"/>
    <cellStyle name="Normal 9 2 14 11 2" xfId="545"/>
    <cellStyle name="Normal 9 2 14 12" xfId="546"/>
    <cellStyle name="Normal 9 2 14 2" xfId="547"/>
    <cellStyle name="Normal 9 2 14 2 2" xfId="548"/>
    <cellStyle name="Normal 9 2 14 3" xfId="549"/>
    <cellStyle name="Normal 9 2 14 3 2" xfId="550"/>
    <cellStyle name="Normal 9 2 14 4" xfId="551"/>
    <cellStyle name="Normal 9 2 14 4 2" xfId="552"/>
    <cellStyle name="Normal 9 2 14 5" xfId="553"/>
    <cellStyle name="Normal 9 2 14 5 2" xfId="554"/>
    <cellStyle name="Normal 9 2 14 6" xfId="555"/>
    <cellStyle name="Normal 9 2 14 6 2" xfId="556"/>
    <cellStyle name="Normal 9 2 14 7" xfId="557"/>
    <cellStyle name="Normal 9 2 14 7 2" xfId="558"/>
    <cellStyle name="Normal 9 2 14 8" xfId="559"/>
    <cellStyle name="Normal 9 2 14 8 2" xfId="560"/>
    <cellStyle name="Normal 9 2 14 9" xfId="561"/>
    <cellStyle name="Normal 9 2 14 9 2" xfId="562"/>
    <cellStyle name="Normal 9 2 15" xfId="563"/>
    <cellStyle name="Normal 9 2 15 10" xfId="564"/>
    <cellStyle name="Normal 9 2 15 10 2" xfId="565"/>
    <cellStyle name="Normal 9 2 15 11" xfId="566"/>
    <cellStyle name="Normal 9 2 15 11 2" xfId="567"/>
    <cellStyle name="Normal 9 2 15 12" xfId="568"/>
    <cellStyle name="Normal 9 2 15 2" xfId="569"/>
    <cellStyle name="Normal 9 2 15 2 2" xfId="570"/>
    <cellStyle name="Normal 9 2 15 3" xfId="571"/>
    <cellStyle name="Normal 9 2 15 3 2" xfId="572"/>
    <cellStyle name="Normal 9 2 15 4" xfId="573"/>
    <cellStyle name="Normal 9 2 15 4 2" xfId="574"/>
    <cellStyle name="Normal 9 2 15 5" xfId="575"/>
    <cellStyle name="Normal 9 2 15 5 2" xfId="576"/>
    <cellStyle name="Normal 9 2 15 6" xfId="577"/>
    <cellStyle name="Normal 9 2 15 6 2" xfId="578"/>
    <cellStyle name="Normal 9 2 15 7" xfId="579"/>
    <cellStyle name="Normal 9 2 15 7 2" xfId="580"/>
    <cellStyle name="Normal 9 2 15 8" xfId="581"/>
    <cellStyle name="Normal 9 2 15 8 2" xfId="582"/>
    <cellStyle name="Normal 9 2 15 9" xfId="583"/>
    <cellStyle name="Normal 9 2 15 9 2" xfId="584"/>
    <cellStyle name="Normal 9 2 16" xfId="585"/>
    <cellStyle name="Normal 9 2 16 10" xfId="586"/>
    <cellStyle name="Normal 9 2 16 10 2" xfId="587"/>
    <cellStyle name="Normal 9 2 16 11" xfId="588"/>
    <cellStyle name="Normal 9 2 16 11 2" xfId="589"/>
    <cellStyle name="Normal 9 2 16 12" xfId="590"/>
    <cellStyle name="Normal 9 2 16 2" xfId="591"/>
    <cellStyle name="Normal 9 2 16 2 2" xfId="592"/>
    <cellStyle name="Normal 9 2 16 3" xfId="593"/>
    <cellStyle name="Normal 9 2 16 3 2" xfId="594"/>
    <cellStyle name="Normal 9 2 16 4" xfId="595"/>
    <cellStyle name="Normal 9 2 16 4 2" xfId="596"/>
    <cellStyle name="Normal 9 2 16 5" xfId="597"/>
    <cellStyle name="Normal 9 2 16 5 2" xfId="598"/>
    <cellStyle name="Normal 9 2 16 6" xfId="599"/>
    <cellStyle name="Normal 9 2 16 6 2" xfId="600"/>
    <cellStyle name="Normal 9 2 16 7" xfId="601"/>
    <cellStyle name="Normal 9 2 16 7 2" xfId="602"/>
    <cellStyle name="Normal 9 2 16 8" xfId="603"/>
    <cellStyle name="Normal 9 2 16 8 2" xfId="604"/>
    <cellStyle name="Normal 9 2 16 9" xfId="605"/>
    <cellStyle name="Normal 9 2 16 9 2" xfId="606"/>
    <cellStyle name="Normal 9 2 17" xfId="607"/>
    <cellStyle name="Normal 9 2 17 10" xfId="608"/>
    <cellStyle name="Normal 9 2 17 10 2" xfId="609"/>
    <cellStyle name="Normal 9 2 17 11" xfId="610"/>
    <cellStyle name="Normal 9 2 17 11 2" xfId="611"/>
    <cellStyle name="Normal 9 2 17 12" xfId="612"/>
    <cellStyle name="Normal 9 2 17 2" xfId="613"/>
    <cellStyle name="Normal 9 2 17 2 2" xfId="614"/>
    <cellStyle name="Normal 9 2 17 3" xfId="615"/>
    <cellStyle name="Normal 9 2 17 3 2" xfId="616"/>
    <cellStyle name="Normal 9 2 17 4" xfId="617"/>
    <cellStyle name="Normal 9 2 17 4 2" xfId="618"/>
    <cellStyle name="Normal 9 2 17 5" xfId="619"/>
    <cellStyle name="Normal 9 2 17 5 2" xfId="620"/>
    <cellStyle name="Normal 9 2 17 6" xfId="621"/>
    <cellStyle name="Normal 9 2 17 6 2" xfId="622"/>
    <cellStyle name="Normal 9 2 17 7" xfId="623"/>
    <cellStyle name="Normal 9 2 17 7 2" xfId="624"/>
    <cellStyle name="Normal 9 2 17 8" xfId="625"/>
    <cellStyle name="Normal 9 2 17 8 2" xfId="626"/>
    <cellStyle name="Normal 9 2 17 9" xfId="627"/>
    <cellStyle name="Normal 9 2 17 9 2" xfId="628"/>
    <cellStyle name="Normal 9 2 18" xfId="629"/>
    <cellStyle name="Normal 9 2 18 10" xfId="630"/>
    <cellStyle name="Normal 9 2 18 10 2" xfId="631"/>
    <cellStyle name="Normal 9 2 18 11" xfId="632"/>
    <cellStyle name="Normal 9 2 18 11 2" xfId="633"/>
    <cellStyle name="Normal 9 2 18 12" xfId="634"/>
    <cellStyle name="Normal 9 2 18 2" xfId="635"/>
    <cellStyle name="Normal 9 2 18 2 2" xfId="636"/>
    <cellStyle name="Normal 9 2 18 3" xfId="637"/>
    <cellStyle name="Normal 9 2 18 3 2" xfId="638"/>
    <cellStyle name="Normal 9 2 18 4" xfId="639"/>
    <cellStyle name="Normal 9 2 18 4 2" xfId="640"/>
    <cellStyle name="Normal 9 2 18 5" xfId="641"/>
    <cellStyle name="Normal 9 2 18 5 2" xfId="642"/>
    <cellStyle name="Normal 9 2 18 6" xfId="643"/>
    <cellStyle name="Normal 9 2 18 6 2" xfId="644"/>
    <cellStyle name="Normal 9 2 18 7" xfId="645"/>
    <cellStyle name="Normal 9 2 18 7 2" xfId="646"/>
    <cellStyle name="Normal 9 2 18 8" xfId="647"/>
    <cellStyle name="Normal 9 2 18 8 2" xfId="648"/>
    <cellStyle name="Normal 9 2 18 9" xfId="649"/>
    <cellStyle name="Normal 9 2 18 9 2" xfId="650"/>
    <cellStyle name="Normal 9 2 19" xfId="651"/>
    <cellStyle name="Normal 9 2 19 10" xfId="652"/>
    <cellStyle name="Normal 9 2 19 10 2" xfId="653"/>
    <cellStyle name="Normal 9 2 19 11" xfId="654"/>
    <cellStyle name="Normal 9 2 19 11 2" xfId="655"/>
    <cellStyle name="Normal 9 2 19 12" xfId="656"/>
    <cellStyle name="Normal 9 2 19 2" xfId="657"/>
    <cellStyle name="Normal 9 2 19 2 2" xfId="658"/>
    <cellStyle name="Normal 9 2 19 3" xfId="659"/>
    <cellStyle name="Normal 9 2 19 3 2" xfId="660"/>
    <cellStyle name="Normal 9 2 19 4" xfId="661"/>
    <cellStyle name="Normal 9 2 19 4 2" xfId="662"/>
    <cellStyle name="Normal 9 2 19 5" xfId="663"/>
    <cellStyle name="Normal 9 2 19 5 2" xfId="664"/>
    <cellStyle name="Normal 9 2 19 6" xfId="665"/>
    <cellStyle name="Normal 9 2 19 6 2" xfId="666"/>
    <cellStyle name="Normal 9 2 19 7" xfId="667"/>
    <cellStyle name="Normal 9 2 19 7 2" xfId="668"/>
    <cellStyle name="Normal 9 2 19 8" xfId="669"/>
    <cellStyle name="Normal 9 2 19 8 2" xfId="670"/>
    <cellStyle name="Normal 9 2 19 9" xfId="671"/>
    <cellStyle name="Normal 9 2 19 9 2" xfId="672"/>
    <cellStyle name="Normal 9 2 2" xfId="673"/>
    <cellStyle name="Normal 9 2 2 10" xfId="674"/>
    <cellStyle name="Normal 9 2 2 10 2" xfId="675"/>
    <cellStyle name="Normal 9 2 2 11" xfId="676"/>
    <cellStyle name="Normal 9 2 2 11 2" xfId="677"/>
    <cellStyle name="Normal 9 2 2 12" xfId="678"/>
    <cellStyle name="Normal 9 2 2 2" xfId="679"/>
    <cellStyle name="Normal 9 2 2 2 2" xfId="680"/>
    <cellStyle name="Normal 9 2 2 3" xfId="681"/>
    <cellStyle name="Normal 9 2 2 3 2" xfId="682"/>
    <cellStyle name="Normal 9 2 2 4" xfId="683"/>
    <cellStyle name="Normal 9 2 2 4 2" xfId="684"/>
    <cellStyle name="Normal 9 2 2 5" xfId="685"/>
    <cellStyle name="Normal 9 2 2 5 2" xfId="686"/>
    <cellStyle name="Normal 9 2 2 6" xfId="687"/>
    <cellStyle name="Normal 9 2 2 6 2" xfId="688"/>
    <cellStyle name="Normal 9 2 2 7" xfId="689"/>
    <cellStyle name="Normal 9 2 2 7 2" xfId="690"/>
    <cellStyle name="Normal 9 2 2 8" xfId="691"/>
    <cellStyle name="Normal 9 2 2 8 2" xfId="692"/>
    <cellStyle name="Normal 9 2 2 9" xfId="693"/>
    <cellStyle name="Normal 9 2 2 9 2" xfId="694"/>
    <cellStyle name="Normal 9 2 20" xfId="695"/>
    <cellStyle name="Normal 9 2 20 10" xfId="696"/>
    <cellStyle name="Normal 9 2 20 10 2" xfId="697"/>
    <cellStyle name="Normal 9 2 20 11" xfId="698"/>
    <cellStyle name="Normal 9 2 20 11 2" xfId="699"/>
    <cellStyle name="Normal 9 2 20 12" xfId="700"/>
    <cellStyle name="Normal 9 2 20 2" xfId="701"/>
    <cellStyle name="Normal 9 2 20 2 2" xfId="702"/>
    <cellStyle name="Normal 9 2 20 3" xfId="703"/>
    <cellStyle name="Normal 9 2 20 3 2" xfId="704"/>
    <cellStyle name="Normal 9 2 20 4" xfId="705"/>
    <cellStyle name="Normal 9 2 20 4 2" xfId="706"/>
    <cellStyle name="Normal 9 2 20 5" xfId="707"/>
    <cellStyle name="Normal 9 2 20 5 2" xfId="708"/>
    <cellStyle name="Normal 9 2 20 6" xfId="709"/>
    <cellStyle name="Normal 9 2 20 6 2" xfId="710"/>
    <cellStyle name="Normal 9 2 20 7" xfId="711"/>
    <cellStyle name="Normal 9 2 20 7 2" xfId="712"/>
    <cellStyle name="Normal 9 2 20 8" xfId="713"/>
    <cellStyle name="Normal 9 2 20 8 2" xfId="714"/>
    <cellStyle name="Normal 9 2 20 9" xfId="715"/>
    <cellStyle name="Normal 9 2 20 9 2" xfId="716"/>
    <cellStyle name="Normal 9 2 21" xfId="717"/>
    <cellStyle name="Normal 9 2 21 10" xfId="718"/>
    <cellStyle name="Normal 9 2 21 10 2" xfId="719"/>
    <cellStyle name="Normal 9 2 21 11" xfId="720"/>
    <cellStyle name="Normal 9 2 21 11 2" xfId="721"/>
    <cellStyle name="Normal 9 2 21 12" xfId="722"/>
    <cellStyle name="Normal 9 2 21 2" xfId="723"/>
    <cellStyle name="Normal 9 2 21 2 2" xfId="724"/>
    <cellStyle name="Normal 9 2 21 3" xfId="725"/>
    <cellStyle name="Normal 9 2 21 3 2" xfId="726"/>
    <cellStyle name="Normal 9 2 21 4" xfId="727"/>
    <cellStyle name="Normal 9 2 21 4 2" xfId="728"/>
    <cellStyle name="Normal 9 2 21 5" xfId="729"/>
    <cellStyle name="Normal 9 2 21 5 2" xfId="730"/>
    <cellStyle name="Normal 9 2 21 6" xfId="731"/>
    <cellStyle name="Normal 9 2 21 6 2" xfId="732"/>
    <cellStyle name="Normal 9 2 21 7" xfId="733"/>
    <cellStyle name="Normal 9 2 21 7 2" xfId="734"/>
    <cellStyle name="Normal 9 2 21 8" xfId="735"/>
    <cellStyle name="Normal 9 2 21 8 2" xfId="736"/>
    <cellStyle name="Normal 9 2 21 9" xfId="737"/>
    <cellStyle name="Normal 9 2 21 9 2" xfId="738"/>
    <cellStyle name="Normal 9 2 22" xfId="739"/>
    <cellStyle name="Normal 9 2 22 10" xfId="740"/>
    <cellStyle name="Normal 9 2 22 10 2" xfId="741"/>
    <cellStyle name="Normal 9 2 22 11" xfId="742"/>
    <cellStyle name="Normal 9 2 22 11 2" xfId="743"/>
    <cellStyle name="Normal 9 2 22 12" xfId="744"/>
    <cellStyle name="Normal 9 2 22 2" xfId="745"/>
    <cellStyle name="Normal 9 2 22 2 2" xfId="746"/>
    <cellStyle name="Normal 9 2 22 3" xfId="747"/>
    <cellStyle name="Normal 9 2 22 3 2" xfId="748"/>
    <cellStyle name="Normal 9 2 22 4" xfId="749"/>
    <cellStyle name="Normal 9 2 22 4 2" xfId="750"/>
    <cellStyle name="Normal 9 2 22 5" xfId="751"/>
    <cellStyle name="Normal 9 2 22 5 2" xfId="752"/>
    <cellStyle name="Normal 9 2 22 6" xfId="753"/>
    <cellStyle name="Normal 9 2 22 6 2" xfId="754"/>
    <cellStyle name="Normal 9 2 22 7" xfId="755"/>
    <cellStyle name="Normal 9 2 22 7 2" xfId="756"/>
    <cellStyle name="Normal 9 2 22 8" xfId="757"/>
    <cellStyle name="Normal 9 2 22 8 2" xfId="758"/>
    <cellStyle name="Normal 9 2 22 9" xfId="759"/>
    <cellStyle name="Normal 9 2 22 9 2" xfId="760"/>
    <cellStyle name="Normal 9 2 23" xfId="761"/>
    <cellStyle name="Normal 9 2 23 10" xfId="762"/>
    <cellStyle name="Normal 9 2 23 10 2" xfId="763"/>
    <cellStyle name="Normal 9 2 23 11" xfId="764"/>
    <cellStyle name="Normal 9 2 23 11 2" xfId="765"/>
    <cellStyle name="Normal 9 2 23 12" xfId="766"/>
    <cellStyle name="Normal 9 2 23 2" xfId="767"/>
    <cellStyle name="Normal 9 2 23 2 2" xfId="768"/>
    <cellStyle name="Normal 9 2 23 3" xfId="769"/>
    <cellStyle name="Normal 9 2 23 3 2" xfId="770"/>
    <cellStyle name="Normal 9 2 23 4" xfId="771"/>
    <cellStyle name="Normal 9 2 23 4 2" xfId="772"/>
    <cellStyle name="Normal 9 2 23 5" xfId="773"/>
    <cellStyle name="Normal 9 2 23 5 2" xfId="774"/>
    <cellStyle name="Normal 9 2 23 6" xfId="775"/>
    <cellStyle name="Normal 9 2 23 6 2" xfId="776"/>
    <cellStyle name="Normal 9 2 23 7" xfId="777"/>
    <cellStyle name="Normal 9 2 23 7 2" xfId="778"/>
    <cellStyle name="Normal 9 2 23 8" xfId="779"/>
    <cellStyle name="Normal 9 2 23 8 2" xfId="780"/>
    <cellStyle name="Normal 9 2 23 9" xfId="781"/>
    <cellStyle name="Normal 9 2 23 9 2" xfId="782"/>
    <cellStyle name="Normal 9 2 24" xfId="783"/>
    <cellStyle name="Normal 9 2 24 10" xfId="784"/>
    <cellStyle name="Normal 9 2 24 10 2" xfId="785"/>
    <cellStyle name="Normal 9 2 24 11" xfId="786"/>
    <cellStyle name="Normal 9 2 24 11 2" xfId="787"/>
    <cellStyle name="Normal 9 2 24 12" xfId="788"/>
    <cellStyle name="Normal 9 2 24 2" xfId="789"/>
    <cellStyle name="Normal 9 2 24 2 2" xfId="790"/>
    <cellStyle name="Normal 9 2 24 3" xfId="791"/>
    <cellStyle name="Normal 9 2 24 3 2" xfId="792"/>
    <cellStyle name="Normal 9 2 24 4" xfId="793"/>
    <cellStyle name="Normal 9 2 24 4 2" xfId="794"/>
    <cellStyle name="Normal 9 2 24 5" xfId="795"/>
    <cellStyle name="Normal 9 2 24 5 2" xfId="796"/>
    <cellStyle name="Normal 9 2 24 6" xfId="797"/>
    <cellStyle name="Normal 9 2 24 6 2" xfId="798"/>
    <cellStyle name="Normal 9 2 24 7" xfId="799"/>
    <cellStyle name="Normal 9 2 24 7 2" xfId="800"/>
    <cellStyle name="Normal 9 2 24 8" xfId="801"/>
    <cellStyle name="Normal 9 2 24 8 2" xfId="802"/>
    <cellStyle name="Normal 9 2 24 9" xfId="803"/>
    <cellStyle name="Normal 9 2 24 9 2" xfId="804"/>
    <cellStyle name="Normal 9 2 25" xfId="805"/>
    <cellStyle name="Normal 9 2 25 10" xfId="806"/>
    <cellStyle name="Normal 9 2 25 10 2" xfId="807"/>
    <cellStyle name="Normal 9 2 25 11" xfId="808"/>
    <cellStyle name="Normal 9 2 25 11 2" xfId="809"/>
    <cellStyle name="Normal 9 2 25 12" xfId="810"/>
    <cellStyle name="Normal 9 2 25 2" xfId="811"/>
    <cellStyle name="Normal 9 2 25 2 2" xfId="812"/>
    <cellStyle name="Normal 9 2 25 3" xfId="813"/>
    <cellStyle name="Normal 9 2 25 3 2" xfId="814"/>
    <cellStyle name="Normal 9 2 25 4" xfId="815"/>
    <cellStyle name="Normal 9 2 25 4 2" xfId="816"/>
    <cellStyle name="Normal 9 2 25 5" xfId="817"/>
    <cellStyle name="Normal 9 2 25 5 2" xfId="818"/>
    <cellStyle name="Normal 9 2 25 6" xfId="819"/>
    <cellStyle name="Normal 9 2 25 6 2" xfId="820"/>
    <cellStyle name="Normal 9 2 25 7" xfId="821"/>
    <cellStyle name="Normal 9 2 25 7 2" xfId="822"/>
    <cellStyle name="Normal 9 2 25 8" xfId="823"/>
    <cellStyle name="Normal 9 2 25 8 2" xfId="824"/>
    <cellStyle name="Normal 9 2 25 9" xfId="825"/>
    <cellStyle name="Normal 9 2 25 9 2" xfId="826"/>
    <cellStyle name="Normal 9 2 26" xfId="827"/>
    <cellStyle name="Normal 9 2 26 10" xfId="828"/>
    <cellStyle name="Normal 9 2 26 10 2" xfId="829"/>
    <cellStyle name="Normal 9 2 26 11" xfId="830"/>
    <cellStyle name="Normal 9 2 26 11 2" xfId="831"/>
    <cellStyle name="Normal 9 2 26 12" xfId="832"/>
    <cellStyle name="Normal 9 2 26 2" xfId="833"/>
    <cellStyle name="Normal 9 2 26 2 2" xfId="834"/>
    <cellStyle name="Normal 9 2 26 3" xfId="835"/>
    <cellStyle name="Normal 9 2 26 3 2" xfId="836"/>
    <cellStyle name="Normal 9 2 26 4" xfId="837"/>
    <cellStyle name="Normal 9 2 26 4 2" xfId="838"/>
    <cellStyle name="Normal 9 2 26 5" xfId="839"/>
    <cellStyle name="Normal 9 2 26 5 2" xfId="840"/>
    <cellStyle name="Normal 9 2 26 6" xfId="841"/>
    <cellStyle name="Normal 9 2 26 6 2" xfId="842"/>
    <cellStyle name="Normal 9 2 26 7" xfId="843"/>
    <cellStyle name="Normal 9 2 26 7 2" xfId="844"/>
    <cellStyle name="Normal 9 2 26 8" xfId="845"/>
    <cellStyle name="Normal 9 2 26 8 2" xfId="846"/>
    <cellStyle name="Normal 9 2 26 9" xfId="847"/>
    <cellStyle name="Normal 9 2 26 9 2" xfId="848"/>
    <cellStyle name="Normal 9 2 27" xfId="849"/>
    <cellStyle name="Normal 9 2 27 10" xfId="850"/>
    <cellStyle name="Normal 9 2 27 10 2" xfId="851"/>
    <cellStyle name="Normal 9 2 27 11" xfId="852"/>
    <cellStyle name="Normal 9 2 27 11 2" xfId="853"/>
    <cellStyle name="Normal 9 2 27 12" xfId="854"/>
    <cellStyle name="Normal 9 2 27 2" xfId="855"/>
    <cellStyle name="Normal 9 2 27 2 2" xfId="856"/>
    <cellStyle name="Normal 9 2 27 3" xfId="857"/>
    <cellStyle name="Normal 9 2 27 3 2" xfId="858"/>
    <cellStyle name="Normal 9 2 27 4" xfId="859"/>
    <cellStyle name="Normal 9 2 27 4 2" xfId="860"/>
    <cellStyle name="Normal 9 2 27 5" xfId="861"/>
    <cellStyle name="Normal 9 2 27 5 2" xfId="862"/>
    <cellStyle name="Normal 9 2 27 6" xfId="863"/>
    <cellStyle name="Normal 9 2 27 6 2" xfId="864"/>
    <cellStyle name="Normal 9 2 27 7" xfId="865"/>
    <cellStyle name="Normal 9 2 27 7 2" xfId="866"/>
    <cellStyle name="Normal 9 2 27 8" xfId="867"/>
    <cellStyle name="Normal 9 2 27 8 2" xfId="868"/>
    <cellStyle name="Normal 9 2 27 9" xfId="869"/>
    <cellStyle name="Normal 9 2 27 9 2" xfId="870"/>
    <cellStyle name="Normal 9 2 28" xfId="871"/>
    <cellStyle name="Normal 9 2 28 10" xfId="872"/>
    <cellStyle name="Normal 9 2 28 10 2" xfId="873"/>
    <cellStyle name="Normal 9 2 28 11" xfId="874"/>
    <cellStyle name="Normal 9 2 28 11 2" xfId="875"/>
    <cellStyle name="Normal 9 2 28 12" xfId="876"/>
    <cellStyle name="Normal 9 2 28 2" xfId="877"/>
    <cellStyle name="Normal 9 2 28 2 2" xfId="878"/>
    <cellStyle name="Normal 9 2 28 3" xfId="879"/>
    <cellStyle name="Normal 9 2 28 3 2" xfId="880"/>
    <cellStyle name="Normal 9 2 28 4" xfId="881"/>
    <cellStyle name="Normal 9 2 28 4 2" xfId="882"/>
    <cellStyle name="Normal 9 2 28 5" xfId="883"/>
    <cellStyle name="Normal 9 2 28 5 2" xfId="884"/>
    <cellStyle name="Normal 9 2 28 6" xfId="885"/>
    <cellStyle name="Normal 9 2 28 6 2" xfId="886"/>
    <cellStyle name="Normal 9 2 28 7" xfId="887"/>
    <cellStyle name="Normal 9 2 28 7 2" xfId="888"/>
    <cellStyle name="Normal 9 2 28 8" xfId="889"/>
    <cellStyle name="Normal 9 2 28 8 2" xfId="890"/>
    <cellStyle name="Normal 9 2 28 9" xfId="891"/>
    <cellStyle name="Normal 9 2 28 9 2" xfId="892"/>
    <cellStyle name="Normal 9 2 29" xfId="893"/>
    <cellStyle name="Normal 9 2 29 10" xfId="894"/>
    <cellStyle name="Normal 9 2 29 10 2" xfId="895"/>
    <cellStyle name="Normal 9 2 29 11" xfId="896"/>
    <cellStyle name="Normal 9 2 29 11 2" xfId="897"/>
    <cellStyle name="Normal 9 2 29 12" xfId="898"/>
    <cellStyle name="Normal 9 2 29 2" xfId="899"/>
    <cellStyle name="Normal 9 2 29 2 2" xfId="900"/>
    <cellStyle name="Normal 9 2 29 3" xfId="901"/>
    <cellStyle name="Normal 9 2 29 3 2" xfId="902"/>
    <cellStyle name="Normal 9 2 29 4" xfId="903"/>
    <cellStyle name="Normal 9 2 29 4 2" xfId="904"/>
    <cellStyle name="Normal 9 2 29 5" xfId="905"/>
    <cellStyle name="Normal 9 2 29 5 2" xfId="906"/>
    <cellStyle name="Normal 9 2 29 6" xfId="907"/>
    <cellStyle name="Normal 9 2 29 6 2" xfId="908"/>
    <cellStyle name="Normal 9 2 29 7" xfId="909"/>
    <cellStyle name="Normal 9 2 29 7 2" xfId="910"/>
    <cellStyle name="Normal 9 2 29 8" xfId="911"/>
    <cellStyle name="Normal 9 2 29 8 2" xfId="912"/>
    <cellStyle name="Normal 9 2 29 9" xfId="913"/>
    <cellStyle name="Normal 9 2 29 9 2" xfId="914"/>
    <cellStyle name="Normal 9 2 3" xfId="915"/>
    <cellStyle name="Normal 9 2 3 10" xfId="916"/>
    <cellStyle name="Normal 9 2 3 10 2" xfId="917"/>
    <cellStyle name="Normal 9 2 3 11" xfId="918"/>
    <cellStyle name="Normal 9 2 3 11 2" xfId="919"/>
    <cellStyle name="Normal 9 2 3 12" xfId="920"/>
    <cellStyle name="Normal 9 2 3 2" xfId="921"/>
    <cellStyle name="Normal 9 2 3 2 2" xfId="922"/>
    <cellStyle name="Normal 9 2 3 3" xfId="923"/>
    <cellStyle name="Normal 9 2 3 3 2" xfId="924"/>
    <cellStyle name="Normal 9 2 3 4" xfId="925"/>
    <cellStyle name="Normal 9 2 3 4 2" xfId="926"/>
    <cellStyle name="Normal 9 2 3 5" xfId="927"/>
    <cellStyle name="Normal 9 2 3 5 2" xfId="928"/>
    <cellStyle name="Normal 9 2 3 6" xfId="929"/>
    <cellStyle name="Normal 9 2 3 6 2" xfId="930"/>
    <cellStyle name="Normal 9 2 3 7" xfId="931"/>
    <cellStyle name="Normal 9 2 3 7 2" xfId="932"/>
    <cellStyle name="Normal 9 2 3 8" xfId="933"/>
    <cellStyle name="Normal 9 2 3 8 2" xfId="934"/>
    <cellStyle name="Normal 9 2 3 9" xfId="935"/>
    <cellStyle name="Normal 9 2 3 9 2" xfId="936"/>
    <cellStyle name="Normal 9 2 30" xfId="937"/>
    <cellStyle name="Normal 9 2 30 10" xfId="938"/>
    <cellStyle name="Normal 9 2 30 10 2" xfId="939"/>
    <cellStyle name="Normal 9 2 30 11" xfId="940"/>
    <cellStyle name="Normal 9 2 30 11 2" xfId="941"/>
    <cellStyle name="Normal 9 2 30 12" xfId="942"/>
    <cellStyle name="Normal 9 2 30 2" xfId="943"/>
    <cellStyle name="Normal 9 2 30 2 2" xfId="944"/>
    <cellStyle name="Normal 9 2 30 3" xfId="945"/>
    <cellStyle name="Normal 9 2 30 3 2" xfId="946"/>
    <cellStyle name="Normal 9 2 30 4" xfId="947"/>
    <cellStyle name="Normal 9 2 30 4 2" xfId="948"/>
    <cellStyle name="Normal 9 2 30 5" xfId="949"/>
    <cellStyle name="Normal 9 2 30 5 2" xfId="950"/>
    <cellStyle name="Normal 9 2 30 6" xfId="951"/>
    <cellStyle name="Normal 9 2 30 6 2" xfId="952"/>
    <cellStyle name="Normal 9 2 30 7" xfId="953"/>
    <cellStyle name="Normal 9 2 30 7 2" xfId="954"/>
    <cellStyle name="Normal 9 2 30 8" xfId="955"/>
    <cellStyle name="Normal 9 2 30 8 2" xfId="956"/>
    <cellStyle name="Normal 9 2 30 9" xfId="957"/>
    <cellStyle name="Normal 9 2 30 9 2" xfId="958"/>
    <cellStyle name="Normal 9 2 31" xfId="959"/>
    <cellStyle name="Normal 9 2 31 10" xfId="960"/>
    <cellStyle name="Normal 9 2 31 10 2" xfId="961"/>
    <cellStyle name="Normal 9 2 31 11" xfId="962"/>
    <cellStyle name="Normal 9 2 31 11 2" xfId="963"/>
    <cellStyle name="Normal 9 2 31 12" xfId="964"/>
    <cellStyle name="Normal 9 2 31 2" xfId="965"/>
    <cellStyle name="Normal 9 2 31 2 2" xfId="966"/>
    <cellStyle name="Normal 9 2 31 3" xfId="967"/>
    <cellStyle name="Normal 9 2 31 3 2" xfId="968"/>
    <cellStyle name="Normal 9 2 31 4" xfId="969"/>
    <cellStyle name="Normal 9 2 31 4 2" xfId="970"/>
    <cellStyle name="Normal 9 2 31 5" xfId="971"/>
    <cellStyle name="Normal 9 2 31 5 2" xfId="972"/>
    <cellStyle name="Normal 9 2 31 6" xfId="973"/>
    <cellStyle name="Normal 9 2 31 6 2" xfId="974"/>
    <cellStyle name="Normal 9 2 31 7" xfId="975"/>
    <cellStyle name="Normal 9 2 31 7 2" xfId="976"/>
    <cellStyle name="Normal 9 2 31 8" xfId="977"/>
    <cellStyle name="Normal 9 2 31 8 2" xfId="978"/>
    <cellStyle name="Normal 9 2 31 9" xfId="979"/>
    <cellStyle name="Normal 9 2 31 9 2" xfId="980"/>
    <cellStyle name="Normal 9 2 32" xfId="981"/>
    <cellStyle name="Normal 9 2 32 10" xfId="982"/>
    <cellStyle name="Normal 9 2 32 10 2" xfId="983"/>
    <cellStyle name="Normal 9 2 32 11" xfId="984"/>
    <cellStyle name="Normal 9 2 32 11 2" xfId="985"/>
    <cellStyle name="Normal 9 2 32 12" xfId="986"/>
    <cellStyle name="Normal 9 2 32 2" xfId="987"/>
    <cellStyle name="Normal 9 2 32 2 2" xfId="988"/>
    <cellStyle name="Normal 9 2 32 3" xfId="989"/>
    <cellStyle name="Normal 9 2 32 3 2" xfId="990"/>
    <cellStyle name="Normal 9 2 32 4" xfId="991"/>
    <cellStyle name="Normal 9 2 32 4 2" xfId="992"/>
    <cellStyle name="Normal 9 2 32 5" xfId="993"/>
    <cellStyle name="Normal 9 2 32 5 2" xfId="994"/>
    <cellStyle name="Normal 9 2 32 6" xfId="995"/>
    <cellStyle name="Normal 9 2 32 6 2" xfId="996"/>
    <cellStyle name="Normal 9 2 32 7" xfId="997"/>
    <cellStyle name="Normal 9 2 32 7 2" xfId="998"/>
    <cellStyle name="Normal 9 2 32 8" xfId="999"/>
    <cellStyle name="Normal 9 2 32 8 2" xfId="1000"/>
    <cellStyle name="Normal 9 2 32 9" xfId="1001"/>
    <cellStyle name="Normal 9 2 32 9 2" xfId="1002"/>
    <cellStyle name="Normal 9 2 33" xfId="1003"/>
    <cellStyle name="Normal 9 2 33 10" xfId="1004"/>
    <cellStyle name="Normal 9 2 33 10 2" xfId="1005"/>
    <cellStyle name="Normal 9 2 33 11" xfId="1006"/>
    <cellStyle name="Normal 9 2 33 11 2" xfId="1007"/>
    <cellStyle name="Normal 9 2 33 12" xfId="1008"/>
    <cellStyle name="Normal 9 2 33 2" xfId="1009"/>
    <cellStyle name="Normal 9 2 33 2 2" xfId="1010"/>
    <cellStyle name="Normal 9 2 33 3" xfId="1011"/>
    <cellStyle name="Normal 9 2 33 3 2" xfId="1012"/>
    <cellStyle name="Normal 9 2 33 4" xfId="1013"/>
    <cellStyle name="Normal 9 2 33 4 2" xfId="1014"/>
    <cellStyle name="Normal 9 2 33 5" xfId="1015"/>
    <cellStyle name="Normal 9 2 33 5 2" xfId="1016"/>
    <cellStyle name="Normal 9 2 33 6" xfId="1017"/>
    <cellStyle name="Normal 9 2 33 6 2" xfId="1018"/>
    <cellStyle name="Normal 9 2 33 7" xfId="1019"/>
    <cellStyle name="Normal 9 2 33 7 2" xfId="1020"/>
    <cellStyle name="Normal 9 2 33 8" xfId="1021"/>
    <cellStyle name="Normal 9 2 33 8 2" xfId="1022"/>
    <cellStyle name="Normal 9 2 33 9" xfId="1023"/>
    <cellStyle name="Normal 9 2 33 9 2" xfId="1024"/>
    <cellStyle name="Normal 9 2 34" xfId="1025"/>
    <cellStyle name="Normal 9 2 34 10" xfId="1026"/>
    <cellStyle name="Normal 9 2 34 10 2" xfId="1027"/>
    <cellStyle name="Normal 9 2 34 11" xfId="1028"/>
    <cellStyle name="Normal 9 2 34 11 2" xfId="1029"/>
    <cellStyle name="Normal 9 2 34 12" xfId="1030"/>
    <cellStyle name="Normal 9 2 34 2" xfId="1031"/>
    <cellStyle name="Normal 9 2 34 2 2" xfId="1032"/>
    <cellStyle name="Normal 9 2 34 3" xfId="1033"/>
    <cellStyle name="Normal 9 2 34 3 2" xfId="1034"/>
    <cellStyle name="Normal 9 2 34 4" xfId="1035"/>
    <cellStyle name="Normal 9 2 34 4 2" xfId="1036"/>
    <cellStyle name="Normal 9 2 34 5" xfId="1037"/>
    <cellStyle name="Normal 9 2 34 5 2" xfId="1038"/>
    <cellStyle name="Normal 9 2 34 6" xfId="1039"/>
    <cellStyle name="Normal 9 2 34 6 2" xfId="1040"/>
    <cellStyle name="Normal 9 2 34 7" xfId="1041"/>
    <cellStyle name="Normal 9 2 34 7 2" xfId="1042"/>
    <cellStyle name="Normal 9 2 34 8" xfId="1043"/>
    <cellStyle name="Normal 9 2 34 8 2" xfId="1044"/>
    <cellStyle name="Normal 9 2 34 9" xfId="1045"/>
    <cellStyle name="Normal 9 2 34 9 2" xfId="1046"/>
    <cellStyle name="Normal 9 2 35" xfId="1047"/>
    <cellStyle name="Normal 9 2 35 10" xfId="1048"/>
    <cellStyle name="Normal 9 2 35 10 2" xfId="1049"/>
    <cellStyle name="Normal 9 2 35 11" xfId="1050"/>
    <cellStyle name="Normal 9 2 35 11 2" xfId="1051"/>
    <cellStyle name="Normal 9 2 35 12" xfId="1052"/>
    <cellStyle name="Normal 9 2 35 2" xfId="1053"/>
    <cellStyle name="Normal 9 2 35 2 2" xfId="1054"/>
    <cellStyle name="Normal 9 2 35 3" xfId="1055"/>
    <cellStyle name="Normal 9 2 35 3 2" xfId="1056"/>
    <cellStyle name="Normal 9 2 35 4" xfId="1057"/>
    <cellStyle name="Normal 9 2 35 4 2" xfId="1058"/>
    <cellStyle name="Normal 9 2 35 5" xfId="1059"/>
    <cellStyle name="Normal 9 2 35 5 2" xfId="1060"/>
    <cellStyle name="Normal 9 2 35 6" xfId="1061"/>
    <cellStyle name="Normal 9 2 35 6 2" xfId="1062"/>
    <cellStyle name="Normal 9 2 35 7" xfId="1063"/>
    <cellStyle name="Normal 9 2 35 7 2" xfId="1064"/>
    <cellStyle name="Normal 9 2 35 8" xfId="1065"/>
    <cellStyle name="Normal 9 2 35 8 2" xfId="1066"/>
    <cellStyle name="Normal 9 2 35 9" xfId="1067"/>
    <cellStyle name="Normal 9 2 35 9 2" xfId="1068"/>
    <cellStyle name="Normal 9 2 36" xfId="1069"/>
    <cellStyle name="Normal 9 2 36 10" xfId="1070"/>
    <cellStyle name="Normal 9 2 36 10 2" xfId="1071"/>
    <cellStyle name="Normal 9 2 36 11" xfId="1072"/>
    <cellStyle name="Normal 9 2 36 11 2" xfId="1073"/>
    <cellStyle name="Normal 9 2 36 12" xfId="1074"/>
    <cellStyle name="Normal 9 2 36 2" xfId="1075"/>
    <cellStyle name="Normal 9 2 36 2 2" xfId="1076"/>
    <cellStyle name="Normal 9 2 36 3" xfId="1077"/>
    <cellStyle name="Normal 9 2 36 3 2" xfId="1078"/>
    <cellStyle name="Normal 9 2 36 4" xfId="1079"/>
    <cellStyle name="Normal 9 2 36 4 2" xfId="1080"/>
    <cellStyle name="Normal 9 2 36 5" xfId="1081"/>
    <cellStyle name="Normal 9 2 36 5 2" xfId="1082"/>
    <cellStyle name="Normal 9 2 36 6" xfId="1083"/>
    <cellStyle name="Normal 9 2 36 6 2" xfId="1084"/>
    <cellStyle name="Normal 9 2 36 7" xfId="1085"/>
    <cellStyle name="Normal 9 2 36 7 2" xfId="1086"/>
    <cellStyle name="Normal 9 2 36 8" xfId="1087"/>
    <cellStyle name="Normal 9 2 36 8 2" xfId="1088"/>
    <cellStyle name="Normal 9 2 36 9" xfId="1089"/>
    <cellStyle name="Normal 9 2 36 9 2" xfId="1090"/>
    <cellStyle name="Normal 9 2 37" xfId="1091"/>
    <cellStyle name="Normal 9 2 37 10" xfId="1092"/>
    <cellStyle name="Normal 9 2 37 10 2" xfId="1093"/>
    <cellStyle name="Normal 9 2 37 11" xfId="1094"/>
    <cellStyle name="Normal 9 2 37 11 2" xfId="1095"/>
    <cellStyle name="Normal 9 2 37 12" xfId="1096"/>
    <cellStyle name="Normal 9 2 37 2" xfId="1097"/>
    <cellStyle name="Normal 9 2 37 2 2" xfId="1098"/>
    <cellStyle name="Normal 9 2 37 3" xfId="1099"/>
    <cellStyle name="Normal 9 2 37 3 2" xfId="1100"/>
    <cellStyle name="Normal 9 2 37 4" xfId="1101"/>
    <cellStyle name="Normal 9 2 37 4 2" xfId="1102"/>
    <cellStyle name="Normal 9 2 37 5" xfId="1103"/>
    <cellStyle name="Normal 9 2 37 5 2" xfId="1104"/>
    <cellStyle name="Normal 9 2 37 6" xfId="1105"/>
    <cellStyle name="Normal 9 2 37 6 2" xfId="1106"/>
    <cellStyle name="Normal 9 2 37 7" xfId="1107"/>
    <cellStyle name="Normal 9 2 37 7 2" xfId="1108"/>
    <cellStyle name="Normal 9 2 37 8" xfId="1109"/>
    <cellStyle name="Normal 9 2 37 8 2" xfId="1110"/>
    <cellStyle name="Normal 9 2 37 9" xfId="1111"/>
    <cellStyle name="Normal 9 2 37 9 2" xfId="1112"/>
    <cellStyle name="Normal 9 2 38" xfId="1113"/>
    <cellStyle name="Normal 9 2 38 10" xfId="1114"/>
    <cellStyle name="Normal 9 2 38 10 2" xfId="1115"/>
    <cellStyle name="Normal 9 2 38 11" xfId="1116"/>
    <cellStyle name="Normal 9 2 38 11 2" xfId="1117"/>
    <cellStyle name="Normal 9 2 38 12" xfId="1118"/>
    <cellStyle name="Normal 9 2 38 2" xfId="1119"/>
    <cellStyle name="Normal 9 2 38 2 2" xfId="1120"/>
    <cellStyle name="Normal 9 2 38 3" xfId="1121"/>
    <cellStyle name="Normal 9 2 38 3 2" xfId="1122"/>
    <cellStyle name="Normal 9 2 38 4" xfId="1123"/>
    <cellStyle name="Normal 9 2 38 4 2" xfId="1124"/>
    <cellStyle name="Normal 9 2 38 5" xfId="1125"/>
    <cellStyle name="Normal 9 2 38 5 2" xfId="1126"/>
    <cellStyle name="Normal 9 2 38 6" xfId="1127"/>
    <cellStyle name="Normal 9 2 38 6 2" xfId="1128"/>
    <cellStyle name="Normal 9 2 38 7" xfId="1129"/>
    <cellStyle name="Normal 9 2 38 7 2" xfId="1130"/>
    <cellStyle name="Normal 9 2 38 8" xfId="1131"/>
    <cellStyle name="Normal 9 2 38 8 2" xfId="1132"/>
    <cellStyle name="Normal 9 2 38 9" xfId="1133"/>
    <cellStyle name="Normal 9 2 38 9 2" xfId="1134"/>
    <cellStyle name="Normal 9 2 39" xfId="1135"/>
    <cellStyle name="Normal 9 2 39 10" xfId="1136"/>
    <cellStyle name="Normal 9 2 39 10 2" xfId="1137"/>
    <cellStyle name="Normal 9 2 39 11" xfId="1138"/>
    <cellStyle name="Normal 9 2 39 11 2" xfId="1139"/>
    <cellStyle name="Normal 9 2 39 12" xfId="1140"/>
    <cellStyle name="Normal 9 2 39 2" xfId="1141"/>
    <cellStyle name="Normal 9 2 39 2 2" xfId="1142"/>
    <cellStyle name="Normal 9 2 39 3" xfId="1143"/>
    <cellStyle name="Normal 9 2 39 3 2" xfId="1144"/>
    <cellStyle name="Normal 9 2 39 4" xfId="1145"/>
    <cellStyle name="Normal 9 2 39 4 2" xfId="1146"/>
    <cellStyle name="Normal 9 2 39 5" xfId="1147"/>
    <cellStyle name="Normal 9 2 39 5 2" xfId="1148"/>
    <cellStyle name="Normal 9 2 39 6" xfId="1149"/>
    <cellStyle name="Normal 9 2 39 6 2" xfId="1150"/>
    <cellStyle name="Normal 9 2 39 7" xfId="1151"/>
    <cellStyle name="Normal 9 2 39 7 2" xfId="1152"/>
    <cellStyle name="Normal 9 2 39 8" xfId="1153"/>
    <cellStyle name="Normal 9 2 39 8 2" xfId="1154"/>
    <cellStyle name="Normal 9 2 39 9" xfId="1155"/>
    <cellStyle name="Normal 9 2 39 9 2" xfId="1156"/>
    <cellStyle name="Normal 9 2 4" xfId="1157"/>
    <cellStyle name="Normal 9 2 4 10" xfId="1158"/>
    <cellStyle name="Normal 9 2 4 10 2" xfId="1159"/>
    <cellStyle name="Normal 9 2 4 11" xfId="1160"/>
    <cellStyle name="Normal 9 2 4 11 2" xfId="1161"/>
    <cellStyle name="Normal 9 2 4 12" xfId="1162"/>
    <cellStyle name="Normal 9 2 4 2" xfId="1163"/>
    <cellStyle name="Normal 9 2 4 2 2" xfId="1164"/>
    <cellStyle name="Normal 9 2 4 3" xfId="1165"/>
    <cellStyle name="Normal 9 2 4 3 2" xfId="1166"/>
    <cellStyle name="Normal 9 2 4 4" xfId="1167"/>
    <cellStyle name="Normal 9 2 4 4 2" xfId="1168"/>
    <cellStyle name="Normal 9 2 4 5" xfId="1169"/>
    <cellStyle name="Normal 9 2 4 5 2" xfId="1170"/>
    <cellStyle name="Normal 9 2 4 6" xfId="1171"/>
    <cellStyle name="Normal 9 2 4 6 2" xfId="1172"/>
    <cellStyle name="Normal 9 2 4 7" xfId="1173"/>
    <cellStyle name="Normal 9 2 4 7 2" xfId="1174"/>
    <cellStyle name="Normal 9 2 4 8" xfId="1175"/>
    <cellStyle name="Normal 9 2 4 8 2" xfId="1176"/>
    <cellStyle name="Normal 9 2 4 9" xfId="1177"/>
    <cellStyle name="Normal 9 2 4 9 2" xfId="1178"/>
    <cellStyle name="Normal 9 2 40" xfId="1179"/>
    <cellStyle name="Normal 9 2 40 2" xfId="1180"/>
    <cellStyle name="Normal 9 2 41" xfId="1181"/>
    <cellStyle name="Normal 9 2 41 2" xfId="1182"/>
    <cellStyle name="Normal 9 2 42" xfId="1183"/>
    <cellStyle name="Normal 9 2 42 2" xfId="1184"/>
    <cellStyle name="Normal 9 2 43" xfId="1185"/>
    <cellStyle name="Normal 9 2 43 2" xfId="1186"/>
    <cellStyle name="Normal 9 2 44" xfId="1187"/>
    <cellStyle name="Normal 9 2 44 2" xfId="1188"/>
    <cellStyle name="Normal 9 2 45" xfId="1189"/>
    <cellStyle name="Normal 9 2 45 2" xfId="1190"/>
    <cellStyle name="Normal 9 2 46" xfId="1191"/>
    <cellStyle name="Normal 9 2 46 2" xfId="1192"/>
    <cellStyle name="Normal 9 2 47" xfId="1193"/>
    <cellStyle name="Normal 9 2 47 2" xfId="1194"/>
    <cellStyle name="Normal 9 2 48" xfId="1195"/>
    <cellStyle name="Normal 9 2 48 2" xfId="1196"/>
    <cellStyle name="Normal 9 2 49" xfId="1197"/>
    <cellStyle name="Normal 9 2 49 2" xfId="1198"/>
    <cellStyle name="Normal 9 2 5" xfId="1199"/>
    <cellStyle name="Normal 9 2 5 10" xfId="1200"/>
    <cellStyle name="Normal 9 2 5 10 2" xfId="1201"/>
    <cellStyle name="Normal 9 2 5 11" xfId="1202"/>
    <cellStyle name="Normal 9 2 5 11 2" xfId="1203"/>
    <cellStyle name="Normal 9 2 5 12" xfId="1204"/>
    <cellStyle name="Normal 9 2 5 2" xfId="1205"/>
    <cellStyle name="Normal 9 2 5 2 2" xfId="1206"/>
    <cellStyle name="Normal 9 2 5 3" xfId="1207"/>
    <cellStyle name="Normal 9 2 5 3 2" xfId="1208"/>
    <cellStyle name="Normal 9 2 5 4" xfId="1209"/>
    <cellStyle name="Normal 9 2 5 4 2" xfId="1210"/>
    <cellStyle name="Normal 9 2 5 5" xfId="1211"/>
    <cellStyle name="Normal 9 2 5 5 2" xfId="1212"/>
    <cellStyle name="Normal 9 2 5 6" xfId="1213"/>
    <cellStyle name="Normal 9 2 5 6 2" xfId="1214"/>
    <cellStyle name="Normal 9 2 5 7" xfId="1215"/>
    <cellStyle name="Normal 9 2 5 7 2" xfId="1216"/>
    <cellStyle name="Normal 9 2 5 8" xfId="1217"/>
    <cellStyle name="Normal 9 2 5 8 2" xfId="1218"/>
    <cellStyle name="Normal 9 2 5 9" xfId="1219"/>
    <cellStyle name="Normal 9 2 5 9 2" xfId="1220"/>
    <cellStyle name="Normal 9 2 50" xfId="1221"/>
    <cellStyle name="Normal 9 2 50 2" xfId="1222"/>
    <cellStyle name="Normal 9 2 51" xfId="1223"/>
    <cellStyle name="Normal 9 2 51 2" xfId="1224"/>
    <cellStyle name="Normal 9 2 52" xfId="1225"/>
    <cellStyle name="Normal 9 2 53" xfId="4523"/>
    <cellStyle name="Normal 9 2 54" xfId="4627"/>
    <cellStyle name="Normal 9 2 6" xfId="1226"/>
    <cellStyle name="Normal 9 2 6 10" xfId="1227"/>
    <cellStyle name="Normal 9 2 6 10 2" xfId="1228"/>
    <cellStyle name="Normal 9 2 6 11" xfId="1229"/>
    <cellStyle name="Normal 9 2 6 11 2" xfId="1230"/>
    <cellStyle name="Normal 9 2 6 12" xfId="1231"/>
    <cellStyle name="Normal 9 2 6 2" xfId="1232"/>
    <cellStyle name="Normal 9 2 6 2 2" xfId="1233"/>
    <cellStyle name="Normal 9 2 6 3" xfId="1234"/>
    <cellStyle name="Normal 9 2 6 3 2" xfId="1235"/>
    <cellStyle name="Normal 9 2 6 4" xfId="1236"/>
    <cellStyle name="Normal 9 2 6 4 2" xfId="1237"/>
    <cellStyle name="Normal 9 2 6 5" xfId="1238"/>
    <cellStyle name="Normal 9 2 6 5 2" xfId="1239"/>
    <cellStyle name="Normal 9 2 6 6" xfId="1240"/>
    <cellStyle name="Normal 9 2 6 6 2" xfId="1241"/>
    <cellStyle name="Normal 9 2 6 7" xfId="1242"/>
    <cellStyle name="Normal 9 2 6 7 2" xfId="1243"/>
    <cellStyle name="Normal 9 2 6 8" xfId="1244"/>
    <cellStyle name="Normal 9 2 6 8 2" xfId="1245"/>
    <cellStyle name="Normal 9 2 6 9" xfId="1246"/>
    <cellStyle name="Normal 9 2 6 9 2" xfId="1247"/>
    <cellStyle name="Normal 9 2 7" xfId="1248"/>
    <cellStyle name="Normal 9 2 7 10" xfId="1249"/>
    <cellStyle name="Normal 9 2 7 10 2" xfId="1250"/>
    <cellStyle name="Normal 9 2 7 11" xfId="1251"/>
    <cellStyle name="Normal 9 2 7 11 2" xfId="1252"/>
    <cellStyle name="Normal 9 2 7 12" xfId="1253"/>
    <cellStyle name="Normal 9 2 7 2" xfId="1254"/>
    <cellStyle name="Normal 9 2 7 2 2" xfId="1255"/>
    <cellStyle name="Normal 9 2 7 3" xfId="1256"/>
    <cellStyle name="Normal 9 2 7 3 2" xfId="1257"/>
    <cellStyle name="Normal 9 2 7 4" xfId="1258"/>
    <cellStyle name="Normal 9 2 7 4 2" xfId="1259"/>
    <cellStyle name="Normal 9 2 7 5" xfId="1260"/>
    <cellStyle name="Normal 9 2 7 5 2" xfId="1261"/>
    <cellStyle name="Normal 9 2 7 6" xfId="1262"/>
    <cellStyle name="Normal 9 2 7 6 2" xfId="1263"/>
    <cellStyle name="Normal 9 2 7 7" xfId="1264"/>
    <cellStyle name="Normal 9 2 7 7 2" xfId="1265"/>
    <cellStyle name="Normal 9 2 7 8" xfId="1266"/>
    <cellStyle name="Normal 9 2 7 8 2" xfId="1267"/>
    <cellStyle name="Normal 9 2 7 9" xfId="1268"/>
    <cellStyle name="Normal 9 2 7 9 2" xfId="1269"/>
    <cellStyle name="Normal 9 2 8" xfId="1270"/>
    <cellStyle name="Normal 9 2 8 10" xfId="1271"/>
    <cellStyle name="Normal 9 2 8 10 2" xfId="1272"/>
    <cellStyle name="Normal 9 2 8 11" xfId="1273"/>
    <cellStyle name="Normal 9 2 8 11 2" xfId="1274"/>
    <cellStyle name="Normal 9 2 8 12" xfId="1275"/>
    <cellStyle name="Normal 9 2 8 2" xfId="1276"/>
    <cellStyle name="Normal 9 2 8 2 2" xfId="1277"/>
    <cellStyle name="Normal 9 2 8 3" xfId="1278"/>
    <cellStyle name="Normal 9 2 8 3 2" xfId="1279"/>
    <cellStyle name="Normal 9 2 8 4" xfId="1280"/>
    <cellStyle name="Normal 9 2 8 4 2" xfId="1281"/>
    <cellStyle name="Normal 9 2 8 5" xfId="1282"/>
    <cellStyle name="Normal 9 2 8 5 2" xfId="1283"/>
    <cellStyle name="Normal 9 2 8 6" xfId="1284"/>
    <cellStyle name="Normal 9 2 8 6 2" xfId="1285"/>
    <cellStyle name="Normal 9 2 8 7" xfId="1286"/>
    <cellStyle name="Normal 9 2 8 7 2" xfId="1287"/>
    <cellStyle name="Normal 9 2 8 8" xfId="1288"/>
    <cellStyle name="Normal 9 2 8 8 2" xfId="1289"/>
    <cellStyle name="Normal 9 2 8 9" xfId="1290"/>
    <cellStyle name="Normal 9 2 8 9 2" xfId="1291"/>
    <cellStyle name="Normal 9 2 9" xfId="1292"/>
    <cellStyle name="Normal 9 2 9 10" xfId="1293"/>
    <cellStyle name="Normal 9 2 9 10 2" xfId="1294"/>
    <cellStyle name="Normal 9 2 9 11" xfId="1295"/>
    <cellStyle name="Normal 9 2 9 11 2" xfId="1296"/>
    <cellStyle name="Normal 9 2 9 12" xfId="1297"/>
    <cellStyle name="Normal 9 2 9 2" xfId="1298"/>
    <cellStyle name="Normal 9 2 9 2 2" xfId="1299"/>
    <cellStyle name="Normal 9 2 9 3" xfId="1300"/>
    <cellStyle name="Normal 9 2 9 3 2" xfId="1301"/>
    <cellStyle name="Normal 9 2 9 4" xfId="1302"/>
    <cellStyle name="Normal 9 2 9 4 2" xfId="1303"/>
    <cellStyle name="Normal 9 2 9 5" xfId="1304"/>
    <cellStyle name="Normal 9 2 9 5 2" xfId="1305"/>
    <cellStyle name="Normal 9 2 9 6" xfId="1306"/>
    <cellStyle name="Normal 9 2 9 6 2" xfId="1307"/>
    <cellStyle name="Normal 9 2 9 7" xfId="1308"/>
    <cellStyle name="Normal 9 2 9 7 2" xfId="1309"/>
    <cellStyle name="Normal 9 2 9 8" xfId="1310"/>
    <cellStyle name="Normal 9 2 9 8 2" xfId="1311"/>
    <cellStyle name="Normal 9 2 9 9" xfId="1312"/>
    <cellStyle name="Normal 9 2 9 9 2" xfId="1313"/>
    <cellStyle name="Normal 9 2_consumption scenario A" xfId="5080"/>
    <cellStyle name="Normal 9 20" xfId="1314"/>
    <cellStyle name="Normal 9 20 10" xfId="1315"/>
    <cellStyle name="Normal 9 20 10 2" xfId="1316"/>
    <cellStyle name="Normal 9 20 11" xfId="1317"/>
    <cellStyle name="Normal 9 20 11 2" xfId="1318"/>
    <cellStyle name="Normal 9 20 12" xfId="1319"/>
    <cellStyle name="Normal 9 20 2" xfId="1320"/>
    <cellStyle name="Normal 9 20 2 2" xfId="1321"/>
    <cellStyle name="Normal 9 20 3" xfId="1322"/>
    <cellStyle name="Normal 9 20 3 2" xfId="1323"/>
    <cellStyle name="Normal 9 20 4" xfId="1324"/>
    <cellStyle name="Normal 9 20 4 2" xfId="1325"/>
    <cellStyle name="Normal 9 20 5" xfId="1326"/>
    <cellStyle name="Normal 9 20 5 2" xfId="1327"/>
    <cellStyle name="Normal 9 20 6" xfId="1328"/>
    <cellStyle name="Normal 9 20 6 2" xfId="1329"/>
    <cellStyle name="Normal 9 20 7" xfId="1330"/>
    <cellStyle name="Normal 9 20 7 2" xfId="1331"/>
    <cellStyle name="Normal 9 20 8" xfId="1332"/>
    <cellStyle name="Normal 9 20 8 2" xfId="1333"/>
    <cellStyle name="Normal 9 20 9" xfId="1334"/>
    <cellStyle name="Normal 9 20 9 2" xfId="1335"/>
    <cellStyle name="Normal 9 21" xfId="1336"/>
    <cellStyle name="Normal 9 21 10" xfId="1337"/>
    <cellStyle name="Normal 9 21 10 2" xfId="1338"/>
    <cellStyle name="Normal 9 21 11" xfId="1339"/>
    <cellStyle name="Normal 9 21 11 2" xfId="1340"/>
    <cellStyle name="Normal 9 21 12" xfId="1341"/>
    <cellStyle name="Normal 9 21 2" xfId="1342"/>
    <cellStyle name="Normal 9 21 2 2" xfId="1343"/>
    <cellStyle name="Normal 9 21 3" xfId="1344"/>
    <cellStyle name="Normal 9 21 3 2" xfId="1345"/>
    <cellStyle name="Normal 9 21 4" xfId="1346"/>
    <cellStyle name="Normal 9 21 4 2" xfId="1347"/>
    <cellStyle name="Normal 9 21 5" xfId="1348"/>
    <cellStyle name="Normal 9 21 5 2" xfId="1349"/>
    <cellStyle name="Normal 9 21 6" xfId="1350"/>
    <cellStyle name="Normal 9 21 6 2" xfId="1351"/>
    <cellStyle name="Normal 9 21 7" xfId="1352"/>
    <cellStyle name="Normal 9 21 7 2" xfId="1353"/>
    <cellStyle name="Normal 9 21 8" xfId="1354"/>
    <cellStyle name="Normal 9 21 8 2" xfId="1355"/>
    <cellStyle name="Normal 9 21 9" xfId="1356"/>
    <cellStyle name="Normal 9 21 9 2" xfId="1357"/>
    <cellStyle name="Normal 9 22" xfId="1358"/>
    <cellStyle name="Normal 9 22 10" xfId="1359"/>
    <cellStyle name="Normal 9 22 10 2" xfId="1360"/>
    <cellStyle name="Normal 9 22 11" xfId="1361"/>
    <cellStyle name="Normal 9 22 11 2" xfId="1362"/>
    <cellStyle name="Normal 9 22 12" xfId="1363"/>
    <cellStyle name="Normal 9 22 2" xfId="1364"/>
    <cellStyle name="Normal 9 22 2 2" xfId="1365"/>
    <cellStyle name="Normal 9 22 3" xfId="1366"/>
    <cellStyle name="Normal 9 22 3 2" xfId="1367"/>
    <cellStyle name="Normal 9 22 4" xfId="1368"/>
    <cellStyle name="Normal 9 22 4 2" xfId="1369"/>
    <cellStyle name="Normal 9 22 5" xfId="1370"/>
    <cellStyle name="Normal 9 22 5 2" xfId="1371"/>
    <cellStyle name="Normal 9 22 6" xfId="1372"/>
    <cellStyle name="Normal 9 22 6 2" xfId="1373"/>
    <cellStyle name="Normal 9 22 7" xfId="1374"/>
    <cellStyle name="Normal 9 22 7 2" xfId="1375"/>
    <cellStyle name="Normal 9 22 8" xfId="1376"/>
    <cellStyle name="Normal 9 22 8 2" xfId="1377"/>
    <cellStyle name="Normal 9 22 9" xfId="1378"/>
    <cellStyle name="Normal 9 22 9 2" xfId="1379"/>
    <cellStyle name="Normal 9 23" xfId="1380"/>
    <cellStyle name="Normal 9 23 10" xfId="1381"/>
    <cellStyle name="Normal 9 23 10 2" xfId="1382"/>
    <cellStyle name="Normal 9 23 11" xfId="1383"/>
    <cellStyle name="Normal 9 23 11 2" xfId="1384"/>
    <cellStyle name="Normal 9 23 12" xfId="1385"/>
    <cellStyle name="Normal 9 23 2" xfId="1386"/>
    <cellStyle name="Normal 9 23 2 2" xfId="1387"/>
    <cellStyle name="Normal 9 23 3" xfId="1388"/>
    <cellStyle name="Normal 9 23 3 2" xfId="1389"/>
    <cellStyle name="Normal 9 23 4" xfId="1390"/>
    <cellStyle name="Normal 9 23 4 2" xfId="1391"/>
    <cellStyle name="Normal 9 23 5" xfId="1392"/>
    <cellStyle name="Normal 9 23 5 2" xfId="1393"/>
    <cellStyle name="Normal 9 23 6" xfId="1394"/>
    <cellStyle name="Normal 9 23 6 2" xfId="1395"/>
    <cellStyle name="Normal 9 23 7" xfId="1396"/>
    <cellStyle name="Normal 9 23 7 2" xfId="1397"/>
    <cellStyle name="Normal 9 23 8" xfId="1398"/>
    <cellStyle name="Normal 9 23 8 2" xfId="1399"/>
    <cellStyle name="Normal 9 23 9" xfId="1400"/>
    <cellStyle name="Normal 9 23 9 2" xfId="1401"/>
    <cellStyle name="Normal 9 24" xfId="1402"/>
    <cellStyle name="Normal 9 24 10" xfId="1403"/>
    <cellStyle name="Normal 9 24 10 2" xfId="1404"/>
    <cellStyle name="Normal 9 24 11" xfId="1405"/>
    <cellStyle name="Normal 9 24 11 2" xfId="1406"/>
    <cellStyle name="Normal 9 24 12" xfId="1407"/>
    <cellStyle name="Normal 9 24 2" xfId="1408"/>
    <cellStyle name="Normal 9 24 2 2" xfId="1409"/>
    <cellStyle name="Normal 9 24 3" xfId="1410"/>
    <cellStyle name="Normal 9 24 3 2" xfId="1411"/>
    <cellStyle name="Normal 9 24 4" xfId="1412"/>
    <cellStyle name="Normal 9 24 4 2" xfId="1413"/>
    <cellStyle name="Normal 9 24 5" xfId="1414"/>
    <cellStyle name="Normal 9 24 5 2" xfId="1415"/>
    <cellStyle name="Normal 9 24 6" xfId="1416"/>
    <cellStyle name="Normal 9 24 6 2" xfId="1417"/>
    <cellStyle name="Normal 9 24 7" xfId="1418"/>
    <cellStyle name="Normal 9 24 7 2" xfId="1419"/>
    <cellStyle name="Normal 9 24 8" xfId="1420"/>
    <cellStyle name="Normal 9 24 8 2" xfId="1421"/>
    <cellStyle name="Normal 9 24 9" xfId="1422"/>
    <cellStyle name="Normal 9 24 9 2" xfId="1423"/>
    <cellStyle name="Normal 9 25" xfId="1424"/>
    <cellStyle name="Normal 9 25 10" xfId="1425"/>
    <cellStyle name="Normal 9 25 10 2" xfId="1426"/>
    <cellStyle name="Normal 9 25 11" xfId="1427"/>
    <cellStyle name="Normal 9 25 11 2" xfId="1428"/>
    <cellStyle name="Normal 9 25 12" xfId="1429"/>
    <cellStyle name="Normal 9 25 2" xfId="1430"/>
    <cellStyle name="Normal 9 25 2 2" xfId="1431"/>
    <cellStyle name="Normal 9 25 3" xfId="1432"/>
    <cellStyle name="Normal 9 25 3 2" xfId="1433"/>
    <cellStyle name="Normal 9 25 4" xfId="1434"/>
    <cellStyle name="Normal 9 25 4 2" xfId="1435"/>
    <cellStyle name="Normal 9 25 5" xfId="1436"/>
    <cellStyle name="Normal 9 25 5 2" xfId="1437"/>
    <cellStyle name="Normal 9 25 6" xfId="1438"/>
    <cellStyle name="Normal 9 25 6 2" xfId="1439"/>
    <cellStyle name="Normal 9 25 7" xfId="1440"/>
    <cellStyle name="Normal 9 25 7 2" xfId="1441"/>
    <cellStyle name="Normal 9 25 8" xfId="1442"/>
    <cellStyle name="Normal 9 25 8 2" xfId="1443"/>
    <cellStyle name="Normal 9 25 9" xfId="1444"/>
    <cellStyle name="Normal 9 25 9 2" xfId="1445"/>
    <cellStyle name="Normal 9 26" xfId="1446"/>
    <cellStyle name="Normal 9 26 10" xfId="1447"/>
    <cellStyle name="Normal 9 26 10 2" xfId="1448"/>
    <cellStyle name="Normal 9 26 11" xfId="1449"/>
    <cellStyle name="Normal 9 26 11 2" xfId="1450"/>
    <cellStyle name="Normal 9 26 12" xfId="1451"/>
    <cellStyle name="Normal 9 26 2" xfId="1452"/>
    <cellStyle name="Normal 9 26 2 2" xfId="1453"/>
    <cellStyle name="Normal 9 26 3" xfId="1454"/>
    <cellStyle name="Normal 9 26 3 2" xfId="1455"/>
    <cellStyle name="Normal 9 26 4" xfId="1456"/>
    <cellStyle name="Normal 9 26 4 2" xfId="1457"/>
    <cellStyle name="Normal 9 26 5" xfId="1458"/>
    <cellStyle name="Normal 9 26 5 2" xfId="1459"/>
    <cellStyle name="Normal 9 26 6" xfId="1460"/>
    <cellStyle name="Normal 9 26 6 2" xfId="1461"/>
    <cellStyle name="Normal 9 26 7" xfId="1462"/>
    <cellStyle name="Normal 9 26 7 2" xfId="1463"/>
    <cellStyle name="Normal 9 26 8" xfId="1464"/>
    <cellStyle name="Normal 9 26 8 2" xfId="1465"/>
    <cellStyle name="Normal 9 26 9" xfId="1466"/>
    <cellStyle name="Normal 9 26 9 2" xfId="1467"/>
    <cellStyle name="Normal 9 27" xfId="1468"/>
    <cellStyle name="Normal 9 27 10" xfId="1469"/>
    <cellStyle name="Normal 9 27 10 2" xfId="1470"/>
    <cellStyle name="Normal 9 27 11" xfId="1471"/>
    <cellStyle name="Normal 9 27 11 2" xfId="1472"/>
    <cellStyle name="Normal 9 27 12" xfId="1473"/>
    <cellStyle name="Normal 9 27 2" xfId="1474"/>
    <cellStyle name="Normal 9 27 2 2" xfId="1475"/>
    <cellStyle name="Normal 9 27 3" xfId="1476"/>
    <cellStyle name="Normal 9 27 3 2" xfId="1477"/>
    <cellStyle name="Normal 9 27 4" xfId="1478"/>
    <cellStyle name="Normal 9 27 4 2" xfId="1479"/>
    <cellStyle name="Normal 9 27 5" xfId="1480"/>
    <cellStyle name="Normal 9 27 5 2" xfId="1481"/>
    <cellStyle name="Normal 9 27 6" xfId="1482"/>
    <cellStyle name="Normal 9 27 6 2" xfId="1483"/>
    <cellStyle name="Normal 9 27 7" xfId="1484"/>
    <cellStyle name="Normal 9 27 7 2" xfId="1485"/>
    <cellStyle name="Normal 9 27 8" xfId="1486"/>
    <cellStyle name="Normal 9 27 8 2" xfId="1487"/>
    <cellStyle name="Normal 9 27 9" xfId="1488"/>
    <cellStyle name="Normal 9 27 9 2" xfId="1489"/>
    <cellStyle name="Normal 9 28" xfId="1490"/>
    <cellStyle name="Normal 9 28 10" xfId="1491"/>
    <cellStyle name="Normal 9 28 10 2" xfId="1492"/>
    <cellStyle name="Normal 9 28 11" xfId="1493"/>
    <cellStyle name="Normal 9 28 11 2" xfId="1494"/>
    <cellStyle name="Normal 9 28 12" xfId="1495"/>
    <cellStyle name="Normal 9 28 2" xfId="1496"/>
    <cellStyle name="Normal 9 28 2 2" xfId="1497"/>
    <cellStyle name="Normal 9 28 3" xfId="1498"/>
    <cellStyle name="Normal 9 28 3 2" xfId="1499"/>
    <cellStyle name="Normal 9 28 4" xfId="1500"/>
    <cellStyle name="Normal 9 28 4 2" xfId="1501"/>
    <cellStyle name="Normal 9 28 5" xfId="1502"/>
    <cellStyle name="Normal 9 28 5 2" xfId="1503"/>
    <cellStyle name="Normal 9 28 6" xfId="1504"/>
    <cellStyle name="Normal 9 28 6 2" xfId="1505"/>
    <cellStyle name="Normal 9 28 7" xfId="1506"/>
    <cellStyle name="Normal 9 28 7 2" xfId="1507"/>
    <cellStyle name="Normal 9 28 8" xfId="1508"/>
    <cellStyle name="Normal 9 28 8 2" xfId="1509"/>
    <cellStyle name="Normal 9 28 9" xfId="1510"/>
    <cellStyle name="Normal 9 28 9 2" xfId="1511"/>
    <cellStyle name="Normal 9 29" xfId="1512"/>
    <cellStyle name="Normal 9 29 10" xfId="1513"/>
    <cellStyle name="Normal 9 29 10 2" xfId="1514"/>
    <cellStyle name="Normal 9 29 11" xfId="1515"/>
    <cellStyle name="Normal 9 29 11 2" xfId="1516"/>
    <cellStyle name="Normal 9 29 12" xfId="1517"/>
    <cellStyle name="Normal 9 29 2" xfId="1518"/>
    <cellStyle name="Normal 9 29 2 2" xfId="1519"/>
    <cellStyle name="Normal 9 29 3" xfId="1520"/>
    <cellStyle name="Normal 9 29 3 2" xfId="1521"/>
    <cellStyle name="Normal 9 29 4" xfId="1522"/>
    <cellStyle name="Normal 9 29 4 2" xfId="1523"/>
    <cellStyle name="Normal 9 29 5" xfId="1524"/>
    <cellStyle name="Normal 9 29 5 2" xfId="1525"/>
    <cellStyle name="Normal 9 29 6" xfId="1526"/>
    <cellStyle name="Normal 9 29 6 2" xfId="1527"/>
    <cellStyle name="Normal 9 29 7" xfId="1528"/>
    <cellStyle name="Normal 9 29 7 2" xfId="1529"/>
    <cellStyle name="Normal 9 29 8" xfId="1530"/>
    <cellStyle name="Normal 9 29 8 2" xfId="1531"/>
    <cellStyle name="Normal 9 29 9" xfId="1532"/>
    <cellStyle name="Normal 9 29 9 2" xfId="1533"/>
    <cellStyle name="Normal 9 3" xfId="1534"/>
    <cellStyle name="Normal 9 3 10" xfId="1535"/>
    <cellStyle name="Normal 9 3 10 10" xfId="1536"/>
    <cellStyle name="Normal 9 3 10 10 2" xfId="1537"/>
    <cellStyle name="Normal 9 3 10 11" xfId="1538"/>
    <cellStyle name="Normal 9 3 10 11 2" xfId="1539"/>
    <cellStyle name="Normal 9 3 10 12" xfId="1540"/>
    <cellStyle name="Normal 9 3 10 2" xfId="1541"/>
    <cellStyle name="Normal 9 3 10 2 2" xfId="1542"/>
    <cellStyle name="Normal 9 3 10 3" xfId="1543"/>
    <cellStyle name="Normal 9 3 10 3 2" xfId="1544"/>
    <cellStyle name="Normal 9 3 10 4" xfId="1545"/>
    <cellStyle name="Normal 9 3 10 4 2" xfId="1546"/>
    <cellStyle name="Normal 9 3 10 5" xfId="1547"/>
    <cellStyle name="Normal 9 3 10 5 2" xfId="1548"/>
    <cellStyle name="Normal 9 3 10 6" xfId="1549"/>
    <cellStyle name="Normal 9 3 10 6 2" xfId="1550"/>
    <cellStyle name="Normal 9 3 10 7" xfId="1551"/>
    <cellStyle name="Normal 9 3 10 7 2" xfId="1552"/>
    <cellStyle name="Normal 9 3 10 8" xfId="1553"/>
    <cellStyle name="Normal 9 3 10 8 2" xfId="1554"/>
    <cellStyle name="Normal 9 3 10 9" xfId="1555"/>
    <cellStyle name="Normal 9 3 10 9 2" xfId="1556"/>
    <cellStyle name="Normal 9 3 11" xfId="1557"/>
    <cellStyle name="Normal 9 3 11 10" xfId="1558"/>
    <cellStyle name="Normal 9 3 11 10 2" xfId="1559"/>
    <cellStyle name="Normal 9 3 11 11" xfId="1560"/>
    <cellStyle name="Normal 9 3 11 11 2" xfId="1561"/>
    <cellStyle name="Normal 9 3 11 12" xfId="1562"/>
    <cellStyle name="Normal 9 3 11 2" xfId="1563"/>
    <cellStyle name="Normal 9 3 11 2 2" xfId="1564"/>
    <cellStyle name="Normal 9 3 11 3" xfId="1565"/>
    <cellStyle name="Normal 9 3 11 3 2" xfId="1566"/>
    <cellStyle name="Normal 9 3 11 4" xfId="1567"/>
    <cellStyle name="Normal 9 3 11 4 2" xfId="1568"/>
    <cellStyle name="Normal 9 3 11 5" xfId="1569"/>
    <cellStyle name="Normal 9 3 11 5 2" xfId="1570"/>
    <cellStyle name="Normal 9 3 11 6" xfId="1571"/>
    <cellStyle name="Normal 9 3 11 6 2" xfId="1572"/>
    <cellStyle name="Normal 9 3 11 7" xfId="1573"/>
    <cellStyle name="Normal 9 3 11 7 2" xfId="1574"/>
    <cellStyle name="Normal 9 3 11 8" xfId="1575"/>
    <cellStyle name="Normal 9 3 11 8 2" xfId="1576"/>
    <cellStyle name="Normal 9 3 11 9" xfId="1577"/>
    <cellStyle name="Normal 9 3 11 9 2" xfId="1578"/>
    <cellStyle name="Normal 9 3 12" xfId="1579"/>
    <cellStyle name="Normal 9 3 12 10" xfId="1580"/>
    <cellStyle name="Normal 9 3 12 10 2" xfId="1581"/>
    <cellStyle name="Normal 9 3 12 11" xfId="1582"/>
    <cellStyle name="Normal 9 3 12 11 2" xfId="1583"/>
    <cellStyle name="Normal 9 3 12 12" xfId="1584"/>
    <cellStyle name="Normal 9 3 12 2" xfId="1585"/>
    <cellStyle name="Normal 9 3 12 2 2" xfId="1586"/>
    <cellStyle name="Normal 9 3 12 3" xfId="1587"/>
    <cellStyle name="Normal 9 3 12 3 2" xfId="1588"/>
    <cellStyle name="Normal 9 3 12 4" xfId="1589"/>
    <cellStyle name="Normal 9 3 12 4 2" xfId="1590"/>
    <cellStyle name="Normal 9 3 12 5" xfId="1591"/>
    <cellStyle name="Normal 9 3 12 5 2" xfId="1592"/>
    <cellStyle name="Normal 9 3 12 6" xfId="1593"/>
    <cellStyle name="Normal 9 3 12 6 2" xfId="1594"/>
    <cellStyle name="Normal 9 3 12 7" xfId="1595"/>
    <cellStyle name="Normal 9 3 12 7 2" xfId="1596"/>
    <cellStyle name="Normal 9 3 12 8" xfId="1597"/>
    <cellStyle name="Normal 9 3 12 8 2" xfId="1598"/>
    <cellStyle name="Normal 9 3 12 9" xfId="1599"/>
    <cellStyle name="Normal 9 3 12 9 2" xfId="1600"/>
    <cellStyle name="Normal 9 3 13" xfId="1601"/>
    <cellStyle name="Normal 9 3 13 10" xfId="1602"/>
    <cellStyle name="Normal 9 3 13 10 2" xfId="1603"/>
    <cellStyle name="Normal 9 3 13 11" xfId="1604"/>
    <cellStyle name="Normal 9 3 13 11 2" xfId="1605"/>
    <cellStyle name="Normal 9 3 13 12" xfId="1606"/>
    <cellStyle name="Normal 9 3 13 2" xfId="1607"/>
    <cellStyle name="Normal 9 3 13 2 2" xfId="1608"/>
    <cellStyle name="Normal 9 3 13 3" xfId="1609"/>
    <cellStyle name="Normal 9 3 13 3 2" xfId="1610"/>
    <cellStyle name="Normal 9 3 13 4" xfId="1611"/>
    <cellStyle name="Normal 9 3 13 4 2" xfId="1612"/>
    <cellStyle name="Normal 9 3 13 5" xfId="1613"/>
    <cellStyle name="Normal 9 3 13 5 2" xfId="1614"/>
    <cellStyle name="Normal 9 3 13 6" xfId="1615"/>
    <cellStyle name="Normal 9 3 13 6 2" xfId="1616"/>
    <cellStyle name="Normal 9 3 13 7" xfId="1617"/>
    <cellStyle name="Normal 9 3 13 7 2" xfId="1618"/>
    <cellStyle name="Normal 9 3 13 8" xfId="1619"/>
    <cellStyle name="Normal 9 3 13 8 2" xfId="1620"/>
    <cellStyle name="Normal 9 3 13 9" xfId="1621"/>
    <cellStyle name="Normal 9 3 13 9 2" xfId="1622"/>
    <cellStyle name="Normal 9 3 14" xfId="1623"/>
    <cellStyle name="Normal 9 3 14 10" xfId="1624"/>
    <cellStyle name="Normal 9 3 14 10 2" xfId="1625"/>
    <cellStyle name="Normal 9 3 14 11" xfId="1626"/>
    <cellStyle name="Normal 9 3 14 11 2" xfId="1627"/>
    <cellStyle name="Normal 9 3 14 12" xfId="1628"/>
    <cellStyle name="Normal 9 3 14 2" xfId="1629"/>
    <cellStyle name="Normal 9 3 14 2 2" xfId="1630"/>
    <cellStyle name="Normal 9 3 14 3" xfId="1631"/>
    <cellStyle name="Normal 9 3 14 3 2" xfId="1632"/>
    <cellStyle name="Normal 9 3 14 4" xfId="1633"/>
    <cellStyle name="Normal 9 3 14 4 2" xfId="1634"/>
    <cellStyle name="Normal 9 3 14 5" xfId="1635"/>
    <cellStyle name="Normal 9 3 14 5 2" xfId="1636"/>
    <cellStyle name="Normal 9 3 14 6" xfId="1637"/>
    <cellStyle name="Normal 9 3 14 6 2" xfId="1638"/>
    <cellStyle name="Normal 9 3 14 7" xfId="1639"/>
    <cellStyle name="Normal 9 3 14 7 2" xfId="1640"/>
    <cellStyle name="Normal 9 3 14 8" xfId="1641"/>
    <cellStyle name="Normal 9 3 14 8 2" xfId="1642"/>
    <cellStyle name="Normal 9 3 14 9" xfId="1643"/>
    <cellStyle name="Normal 9 3 14 9 2" xfId="1644"/>
    <cellStyle name="Normal 9 3 15" xfId="1645"/>
    <cellStyle name="Normal 9 3 15 10" xfId="1646"/>
    <cellStyle name="Normal 9 3 15 10 2" xfId="1647"/>
    <cellStyle name="Normal 9 3 15 11" xfId="1648"/>
    <cellStyle name="Normal 9 3 15 11 2" xfId="1649"/>
    <cellStyle name="Normal 9 3 15 12" xfId="1650"/>
    <cellStyle name="Normal 9 3 15 2" xfId="1651"/>
    <cellStyle name="Normal 9 3 15 2 2" xfId="1652"/>
    <cellStyle name="Normal 9 3 15 3" xfId="1653"/>
    <cellStyle name="Normal 9 3 15 3 2" xfId="1654"/>
    <cellStyle name="Normal 9 3 15 4" xfId="1655"/>
    <cellStyle name="Normal 9 3 15 4 2" xfId="1656"/>
    <cellStyle name="Normal 9 3 15 5" xfId="1657"/>
    <cellStyle name="Normal 9 3 15 5 2" xfId="1658"/>
    <cellStyle name="Normal 9 3 15 6" xfId="1659"/>
    <cellStyle name="Normal 9 3 15 6 2" xfId="1660"/>
    <cellStyle name="Normal 9 3 15 7" xfId="1661"/>
    <cellStyle name="Normal 9 3 15 7 2" xfId="1662"/>
    <cellStyle name="Normal 9 3 15 8" xfId="1663"/>
    <cellStyle name="Normal 9 3 15 8 2" xfId="1664"/>
    <cellStyle name="Normal 9 3 15 9" xfId="1665"/>
    <cellStyle name="Normal 9 3 15 9 2" xfId="1666"/>
    <cellStyle name="Normal 9 3 16" xfId="1667"/>
    <cellStyle name="Normal 9 3 16 10" xfId="1668"/>
    <cellStyle name="Normal 9 3 16 10 2" xfId="1669"/>
    <cellStyle name="Normal 9 3 16 11" xfId="1670"/>
    <cellStyle name="Normal 9 3 16 11 2" xfId="1671"/>
    <cellStyle name="Normal 9 3 16 12" xfId="1672"/>
    <cellStyle name="Normal 9 3 16 2" xfId="1673"/>
    <cellStyle name="Normal 9 3 16 2 2" xfId="1674"/>
    <cellStyle name="Normal 9 3 16 3" xfId="1675"/>
    <cellStyle name="Normal 9 3 16 3 2" xfId="1676"/>
    <cellStyle name="Normal 9 3 16 4" xfId="1677"/>
    <cellStyle name="Normal 9 3 16 4 2" xfId="1678"/>
    <cellStyle name="Normal 9 3 16 5" xfId="1679"/>
    <cellStyle name="Normal 9 3 16 5 2" xfId="1680"/>
    <cellStyle name="Normal 9 3 16 6" xfId="1681"/>
    <cellStyle name="Normal 9 3 16 6 2" xfId="1682"/>
    <cellStyle name="Normal 9 3 16 7" xfId="1683"/>
    <cellStyle name="Normal 9 3 16 7 2" xfId="1684"/>
    <cellStyle name="Normal 9 3 16 8" xfId="1685"/>
    <cellStyle name="Normal 9 3 16 8 2" xfId="1686"/>
    <cellStyle name="Normal 9 3 16 9" xfId="1687"/>
    <cellStyle name="Normal 9 3 16 9 2" xfId="1688"/>
    <cellStyle name="Normal 9 3 17" xfId="1689"/>
    <cellStyle name="Normal 9 3 17 10" xfId="1690"/>
    <cellStyle name="Normal 9 3 17 10 2" xfId="1691"/>
    <cellStyle name="Normal 9 3 17 11" xfId="1692"/>
    <cellStyle name="Normal 9 3 17 11 2" xfId="1693"/>
    <cellStyle name="Normal 9 3 17 12" xfId="1694"/>
    <cellStyle name="Normal 9 3 17 2" xfId="1695"/>
    <cellStyle name="Normal 9 3 17 2 2" xfId="1696"/>
    <cellStyle name="Normal 9 3 17 3" xfId="1697"/>
    <cellStyle name="Normal 9 3 17 3 2" xfId="1698"/>
    <cellStyle name="Normal 9 3 17 4" xfId="1699"/>
    <cellStyle name="Normal 9 3 17 4 2" xfId="1700"/>
    <cellStyle name="Normal 9 3 17 5" xfId="1701"/>
    <cellStyle name="Normal 9 3 17 5 2" xfId="1702"/>
    <cellStyle name="Normal 9 3 17 6" xfId="1703"/>
    <cellStyle name="Normal 9 3 17 6 2" xfId="1704"/>
    <cellStyle name="Normal 9 3 17 7" xfId="1705"/>
    <cellStyle name="Normal 9 3 17 7 2" xfId="1706"/>
    <cellStyle name="Normal 9 3 17 8" xfId="1707"/>
    <cellStyle name="Normal 9 3 17 8 2" xfId="1708"/>
    <cellStyle name="Normal 9 3 17 9" xfId="1709"/>
    <cellStyle name="Normal 9 3 17 9 2" xfId="1710"/>
    <cellStyle name="Normal 9 3 18" xfId="1711"/>
    <cellStyle name="Normal 9 3 18 10" xfId="1712"/>
    <cellStyle name="Normal 9 3 18 10 2" xfId="1713"/>
    <cellStyle name="Normal 9 3 18 11" xfId="1714"/>
    <cellStyle name="Normal 9 3 18 11 2" xfId="1715"/>
    <cellStyle name="Normal 9 3 18 12" xfId="1716"/>
    <cellStyle name="Normal 9 3 18 2" xfId="1717"/>
    <cellStyle name="Normal 9 3 18 2 2" xfId="1718"/>
    <cellStyle name="Normal 9 3 18 3" xfId="1719"/>
    <cellStyle name="Normal 9 3 18 3 2" xfId="1720"/>
    <cellStyle name="Normal 9 3 18 4" xfId="1721"/>
    <cellStyle name="Normal 9 3 18 4 2" xfId="1722"/>
    <cellStyle name="Normal 9 3 18 5" xfId="1723"/>
    <cellStyle name="Normal 9 3 18 5 2" xfId="1724"/>
    <cellStyle name="Normal 9 3 18 6" xfId="1725"/>
    <cellStyle name="Normal 9 3 18 6 2" xfId="1726"/>
    <cellStyle name="Normal 9 3 18 7" xfId="1727"/>
    <cellStyle name="Normal 9 3 18 7 2" xfId="1728"/>
    <cellStyle name="Normal 9 3 18 8" xfId="1729"/>
    <cellStyle name="Normal 9 3 18 8 2" xfId="1730"/>
    <cellStyle name="Normal 9 3 18 9" xfId="1731"/>
    <cellStyle name="Normal 9 3 18 9 2" xfId="1732"/>
    <cellStyle name="Normal 9 3 19" xfId="1733"/>
    <cellStyle name="Normal 9 3 19 10" xfId="1734"/>
    <cellStyle name="Normal 9 3 19 10 2" xfId="1735"/>
    <cellStyle name="Normal 9 3 19 11" xfId="1736"/>
    <cellStyle name="Normal 9 3 19 11 2" xfId="1737"/>
    <cellStyle name="Normal 9 3 19 12" xfId="1738"/>
    <cellStyle name="Normal 9 3 19 2" xfId="1739"/>
    <cellStyle name="Normal 9 3 19 2 2" xfId="1740"/>
    <cellStyle name="Normal 9 3 19 3" xfId="1741"/>
    <cellStyle name="Normal 9 3 19 3 2" xfId="1742"/>
    <cellStyle name="Normal 9 3 19 4" xfId="1743"/>
    <cellStyle name="Normal 9 3 19 4 2" xfId="1744"/>
    <cellStyle name="Normal 9 3 19 5" xfId="1745"/>
    <cellStyle name="Normal 9 3 19 5 2" xfId="1746"/>
    <cellStyle name="Normal 9 3 19 6" xfId="1747"/>
    <cellStyle name="Normal 9 3 19 6 2" xfId="1748"/>
    <cellStyle name="Normal 9 3 19 7" xfId="1749"/>
    <cellStyle name="Normal 9 3 19 7 2" xfId="1750"/>
    <cellStyle name="Normal 9 3 19 8" xfId="1751"/>
    <cellStyle name="Normal 9 3 19 8 2" xfId="1752"/>
    <cellStyle name="Normal 9 3 19 9" xfId="1753"/>
    <cellStyle name="Normal 9 3 19 9 2" xfId="1754"/>
    <cellStyle name="Normal 9 3 2" xfId="1755"/>
    <cellStyle name="Normal 9 3 2 10" xfId="1756"/>
    <cellStyle name="Normal 9 3 2 10 2" xfId="1757"/>
    <cellStyle name="Normal 9 3 2 11" xfId="1758"/>
    <cellStyle name="Normal 9 3 2 11 2" xfId="1759"/>
    <cellStyle name="Normal 9 3 2 12" xfId="1760"/>
    <cellStyle name="Normal 9 3 2 2" xfId="1761"/>
    <cellStyle name="Normal 9 3 2 2 2" xfId="1762"/>
    <cellStyle name="Normal 9 3 2 3" xfId="1763"/>
    <cellStyle name="Normal 9 3 2 3 2" xfId="1764"/>
    <cellStyle name="Normal 9 3 2 4" xfId="1765"/>
    <cellStyle name="Normal 9 3 2 4 2" xfId="1766"/>
    <cellStyle name="Normal 9 3 2 5" xfId="1767"/>
    <cellStyle name="Normal 9 3 2 5 2" xfId="1768"/>
    <cellStyle name="Normal 9 3 2 6" xfId="1769"/>
    <cellStyle name="Normal 9 3 2 6 2" xfId="1770"/>
    <cellStyle name="Normal 9 3 2 7" xfId="1771"/>
    <cellStyle name="Normal 9 3 2 7 2" xfId="1772"/>
    <cellStyle name="Normal 9 3 2 8" xfId="1773"/>
    <cellStyle name="Normal 9 3 2 8 2" xfId="1774"/>
    <cellStyle name="Normal 9 3 2 9" xfId="1775"/>
    <cellStyle name="Normal 9 3 2 9 2" xfId="1776"/>
    <cellStyle name="Normal 9 3 20" xfId="1777"/>
    <cellStyle name="Normal 9 3 20 10" xfId="1778"/>
    <cellStyle name="Normal 9 3 20 10 2" xfId="1779"/>
    <cellStyle name="Normal 9 3 20 11" xfId="1780"/>
    <cellStyle name="Normal 9 3 20 11 2" xfId="1781"/>
    <cellStyle name="Normal 9 3 20 12" xfId="1782"/>
    <cellStyle name="Normal 9 3 20 2" xfId="1783"/>
    <cellStyle name="Normal 9 3 20 2 2" xfId="1784"/>
    <cellStyle name="Normal 9 3 20 3" xfId="1785"/>
    <cellStyle name="Normal 9 3 20 3 2" xfId="1786"/>
    <cellStyle name="Normal 9 3 20 4" xfId="1787"/>
    <cellStyle name="Normal 9 3 20 4 2" xfId="1788"/>
    <cellStyle name="Normal 9 3 20 5" xfId="1789"/>
    <cellStyle name="Normal 9 3 20 5 2" xfId="1790"/>
    <cellStyle name="Normal 9 3 20 6" xfId="1791"/>
    <cellStyle name="Normal 9 3 20 6 2" xfId="1792"/>
    <cellStyle name="Normal 9 3 20 7" xfId="1793"/>
    <cellStyle name="Normal 9 3 20 7 2" xfId="1794"/>
    <cellStyle name="Normal 9 3 20 8" xfId="1795"/>
    <cellStyle name="Normal 9 3 20 8 2" xfId="1796"/>
    <cellStyle name="Normal 9 3 20 9" xfId="1797"/>
    <cellStyle name="Normal 9 3 20 9 2" xfId="1798"/>
    <cellStyle name="Normal 9 3 21" xfId="1799"/>
    <cellStyle name="Normal 9 3 21 10" xfId="1800"/>
    <cellStyle name="Normal 9 3 21 10 2" xfId="1801"/>
    <cellStyle name="Normal 9 3 21 11" xfId="1802"/>
    <cellStyle name="Normal 9 3 21 11 2" xfId="1803"/>
    <cellStyle name="Normal 9 3 21 12" xfId="1804"/>
    <cellStyle name="Normal 9 3 21 2" xfId="1805"/>
    <cellStyle name="Normal 9 3 21 2 2" xfId="1806"/>
    <cellStyle name="Normal 9 3 21 3" xfId="1807"/>
    <cellStyle name="Normal 9 3 21 3 2" xfId="1808"/>
    <cellStyle name="Normal 9 3 21 4" xfId="1809"/>
    <cellStyle name="Normal 9 3 21 4 2" xfId="1810"/>
    <cellStyle name="Normal 9 3 21 5" xfId="1811"/>
    <cellStyle name="Normal 9 3 21 5 2" xfId="1812"/>
    <cellStyle name="Normal 9 3 21 6" xfId="1813"/>
    <cellStyle name="Normal 9 3 21 6 2" xfId="1814"/>
    <cellStyle name="Normal 9 3 21 7" xfId="1815"/>
    <cellStyle name="Normal 9 3 21 7 2" xfId="1816"/>
    <cellStyle name="Normal 9 3 21 8" xfId="1817"/>
    <cellStyle name="Normal 9 3 21 8 2" xfId="1818"/>
    <cellStyle name="Normal 9 3 21 9" xfId="1819"/>
    <cellStyle name="Normal 9 3 21 9 2" xfId="1820"/>
    <cellStyle name="Normal 9 3 22" xfId="1821"/>
    <cellStyle name="Normal 9 3 22 10" xfId="1822"/>
    <cellStyle name="Normal 9 3 22 10 2" xfId="1823"/>
    <cellStyle name="Normal 9 3 22 11" xfId="1824"/>
    <cellStyle name="Normal 9 3 22 11 2" xfId="1825"/>
    <cellStyle name="Normal 9 3 22 12" xfId="1826"/>
    <cellStyle name="Normal 9 3 22 2" xfId="1827"/>
    <cellStyle name="Normal 9 3 22 2 2" xfId="1828"/>
    <cellStyle name="Normal 9 3 22 3" xfId="1829"/>
    <cellStyle name="Normal 9 3 22 3 2" xfId="1830"/>
    <cellStyle name="Normal 9 3 22 4" xfId="1831"/>
    <cellStyle name="Normal 9 3 22 4 2" xfId="1832"/>
    <cellStyle name="Normal 9 3 22 5" xfId="1833"/>
    <cellStyle name="Normal 9 3 22 5 2" xfId="1834"/>
    <cellStyle name="Normal 9 3 22 6" xfId="1835"/>
    <cellStyle name="Normal 9 3 22 6 2" xfId="1836"/>
    <cellStyle name="Normal 9 3 22 7" xfId="1837"/>
    <cellStyle name="Normal 9 3 22 7 2" xfId="1838"/>
    <cellStyle name="Normal 9 3 22 8" xfId="1839"/>
    <cellStyle name="Normal 9 3 22 8 2" xfId="1840"/>
    <cellStyle name="Normal 9 3 22 9" xfId="1841"/>
    <cellStyle name="Normal 9 3 22 9 2" xfId="1842"/>
    <cellStyle name="Normal 9 3 23" xfId="1843"/>
    <cellStyle name="Normal 9 3 23 10" xfId="1844"/>
    <cellStyle name="Normal 9 3 23 10 2" xfId="1845"/>
    <cellStyle name="Normal 9 3 23 11" xfId="1846"/>
    <cellStyle name="Normal 9 3 23 11 2" xfId="1847"/>
    <cellStyle name="Normal 9 3 23 12" xfId="1848"/>
    <cellStyle name="Normal 9 3 23 2" xfId="1849"/>
    <cellStyle name="Normal 9 3 23 2 2" xfId="1850"/>
    <cellStyle name="Normal 9 3 23 3" xfId="1851"/>
    <cellStyle name="Normal 9 3 23 3 2" xfId="1852"/>
    <cellStyle name="Normal 9 3 23 4" xfId="1853"/>
    <cellStyle name="Normal 9 3 23 4 2" xfId="1854"/>
    <cellStyle name="Normal 9 3 23 5" xfId="1855"/>
    <cellStyle name="Normal 9 3 23 5 2" xfId="1856"/>
    <cellStyle name="Normal 9 3 23 6" xfId="1857"/>
    <cellStyle name="Normal 9 3 23 6 2" xfId="1858"/>
    <cellStyle name="Normal 9 3 23 7" xfId="1859"/>
    <cellStyle name="Normal 9 3 23 7 2" xfId="1860"/>
    <cellStyle name="Normal 9 3 23 8" xfId="1861"/>
    <cellStyle name="Normal 9 3 23 8 2" xfId="1862"/>
    <cellStyle name="Normal 9 3 23 9" xfId="1863"/>
    <cellStyle name="Normal 9 3 23 9 2" xfId="1864"/>
    <cellStyle name="Normal 9 3 24" xfId="1865"/>
    <cellStyle name="Normal 9 3 24 10" xfId="1866"/>
    <cellStyle name="Normal 9 3 24 10 2" xfId="1867"/>
    <cellStyle name="Normal 9 3 24 11" xfId="1868"/>
    <cellStyle name="Normal 9 3 24 11 2" xfId="1869"/>
    <cellStyle name="Normal 9 3 24 12" xfId="1870"/>
    <cellStyle name="Normal 9 3 24 2" xfId="1871"/>
    <cellStyle name="Normal 9 3 24 2 2" xfId="1872"/>
    <cellStyle name="Normal 9 3 24 3" xfId="1873"/>
    <cellStyle name="Normal 9 3 24 3 2" xfId="1874"/>
    <cellStyle name="Normal 9 3 24 4" xfId="1875"/>
    <cellStyle name="Normal 9 3 24 4 2" xfId="1876"/>
    <cellStyle name="Normal 9 3 24 5" xfId="1877"/>
    <cellStyle name="Normal 9 3 24 5 2" xfId="1878"/>
    <cellStyle name="Normal 9 3 24 6" xfId="1879"/>
    <cellStyle name="Normal 9 3 24 6 2" xfId="1880"/>
    <cellStyle name="Normal 9 3 24 7" xfId="1881"/>
    <cellStyle name="Normal 9 3 24 7 2" xfId="1882"/>
    <cellStyle name="Normal 9 3 24 8" xfId="1883"/>
    <cellStyle name="Normal 9 3 24 8 2" xfId="1884"/>
    <cellStyle name="Normal 9 3 24 9" xfId="1885"/>
    <cellStyle name="Normal 9 3 24 9 2" xfId="1886"/>
    <cellStyle name="Normal 9 3 25" xfId="1887"/>
    <cellStyle name="Normal 9 3 25 10" xfId="1888"/>
    <cellStyle name="Normal 9 3 25 10 2" xfId="1889"/>
    <cellStyle name="Normal 9 3 25 11" xfId="1890"/>
    <cellStyle name="Normal 9 3 25 11 2" xfId="1891"/>
    <cellStyle name="Normal 9 3 25 12" xfId="1892"/>
    <cellStyle name="Normal 9 3 25 2" xfId="1893"/>
    <cellStyle name="Normal 9 3 25 2 2" xfId="1894"/>
    <cellStyle name="Normal 9 3 25 3" xfId="1895"/>
    <cellStyle name="Normal 9 3 25 3 2" xfId="1896"/>
    <cellStyle name="Normal 9 3 25 4" xfId="1897"/>
    <cellStyle name="Normal 9 3 25 4 2" xfId="1898"/>
    <cellStyle name="Normal 9 3 25 5" xfId="1899"/>
    <cellStyle name="Normal 9 3 25 5 2" xfId="1900"/>
    <cellStyle name="Normal 9 3 25 6" xfId="1901"/>
    <cellStyle name="Normal 9 3 25 6 2" xfId="1902"/>
    <cellStyle name="Normal 9 3 25 7" xfId="1903"/>
    <cellStyle name="Normal 9 3 25 7 2" xfId="1904"/>
    <cellStyle name="Normal 9 3 25 8" xfId="1905"/>
    <cellStyle name="Normal 9 3 25 8 2" xfId="1906"/>
    <cellStyle name="Normal 9 3 25 9" xfId="1907"/>
    <cellStyle name="Normal 9 3 25 9 2" xfId="1908"/>
    <cellStyle name="Normal 9 3 26" xfId="1909"/>
    <cellStyle name="Normal 9 3 26 10" xfId="1910"/>
    <cellStyle name="Normal 9 3 26 10 2" xfId="1911"/>
    <cellStyle name="Normal 9 3 26 11" xfId="1912"/>
    <cellStyle name="Normal 9 3 26 11 2" xfId="1913"/>
    <cellStyle name="Normal 9 3 26 12" xfId="1914"/>
    <cellStyle name="Normal 9 3 26 2" xfId="1915"/>
    <cellStyle name="Normal 9 3 26 2 2" xfId="1916"/>
    <cellStyle name="Normal 9 3 26 3" xfId="1917"/>
    <cellStyle name="Normal 9 3 26 3 2" xfId="1918"/>
    <cellStyle name="Normal 9 3 26 4" xfId="1919"/>
    <cellStyle name="Normal 9 3 26 4 2" xfId="1920"/>
    <cellStyle name="Normal 9 3 26 5" xfId="1921"/>
    <cellStyle name="Normal 9 3 26 5 2" xfId="1922"/>
    <cellStyle name="Normal 9 3 26 6" xfId="1923"/>
    <cellStyle name="Normal 9 3 26 6 2" xfId="1924"/>
    <cellStyle name="Normal 9 3 26 7" xfId="1925"/>
    <cellStyle name="Normal 9 3 26 7 2" xfId="1926"/>
    <cellStyle name="Normal 9 3 26 8" xfId="1927"/>
    <cellStyle name="Normal 9 3 26 8 2" xfId="1928"/>
    <cellStyle name="Normal 9 3 26 9" xfId="1929"/>
    <cellStyle name="Normal 9 3 26 9 2" xfId="1930"/>
    <cellStyle name="Normal 9 3 27" xfId="1931"/>
    <cellStyle name="Normal 9 3 27 10" xfId="1932"/>
    <cellStyle name="Normal 9 3 27 10 2" xfId="1933"/>
    <cellStyle name="Normal 9 3 27 11" xfId="1934"/>
    <cellStyle name="Normal 9 3 27 11 2" xfId="1935"/>
    <cellStyle name="Normal 9 3 27 12" xfId="1936"/>
    <cellStyle name="Normal 9 3 27 2" xfId="1937"/>
    <cellStyle name="Normal 9 3 27 2 2" xfId="1938"/>
    <cellStyle name="Normal 9 3 27 3" xfId="1939"/>
    <cellStyle name="Normal 9 3 27 3 2" xfId="1940"/>
    <cellStyle name="Normal 9 3 27 4" xfId="1941"/>
    <cellStyle name="Normal 9 3 27 4 2" xfId="1942"/>
    <cellStyle name="Normal 9 3 27 5" xfId="1943"/>
    <cellStyle name="Normal 9 3 27 5 2" xfId="1944"/>
    <cellStyle name="Normal 9 3 27 6" xfId="1945"/>
    <cellStyle name="Normal 9 3 27 6 2" xfId="1946"/>
    <cellStyle name="Normal 9 3 27 7" xfId="1947"/>
    <cellStyle name="Normal 9 3 27 7 2" xfId="1948"/>
    <cellStyle name="Normal 9 3 27 8" xfId="1949"/>
    <cellStyle name="Normal 9 3 27 8 2" xfId="1950"/>
    <cellStyle name="Normal 9 3 27 9" xfId="1951"/>
    <cellStyle name="Normal 9 3 27 9 2" xfId="1952"/>
    <cellStyle name="Normal 9 3 28" xfId="1953"/>
    <cellStyle name="Normal 9 3 28 10" xfId="1954"/>
    <cellStyle name="Normal 9 3 28 10 2" xfId="1955"/>
    <cellStyle name="Normal 9 3 28 11" xfId="1956"/>
    <cellStyle name="Normal 9 3 28 11 2" xfId="1957"/>
    <cellStyle name="Normal 9 3 28 12" xfId="1958"/>
    <cellStyle name="Normal 9 3 28 2" xfId="1959"/>
    <cellStyle name="Normal 9 3 28 2 2" xfId="1960"/>
    <cellStyle name="Normal 9 3 28 3" xfId="1961"/>
    <cellStyle name="Normal 9 3 28 3 2" xfId="1962"/>
    <cellStyle name="Normal 9 3 28 4" xfId="1963"/>
    <cellStyle name="Normal 9 3 28 4 2" xfId="1964"/>
    <cellStyle name="Normal 9 3 28 5" xfId="1965"/>
    <cellStyle name="Normal 9 3 28 5 2" xfId="1966"/>
    <cellStyle name="Normal 9 3 28 6" xfId="1967"/>
    <cellStyle name="Normal 9 3 28 6 2" xfId="1968"/>
    <cellStyle name="Normal 9 3 28 7" xfId="1969"/>
    <cellStyle name="Normal 9 3 28 7 2" xfId="1970"/>
    <cellStyle name="Normal 9 3 28 8" xfId="1971"/>
    <cellStyle name="Normal 9 3 28 8 2" xfId="1972"/>
    <cellStyle name="Normal 9 3 28 9" xfId="1973"/>
    <cellStyle name="Normal 9 3 28 9 2" xfId="1974"/>
    <cellStyle name="Normal 9 3 29" xfId="1975"/>
    <cellStyle name="Normal 9 3 29 10" xfId="1976"/>
    <cellStyle name="Normal 9 3 29 10 2" xfId="1977"/>
    <cellStyle name="Normal 9 3 29 11" xfId="1978"/>
    <cellStyle name="Normal 9 3 29 11 2" xfId="1979"/>
    <cellStyle name="Normal 9 3 29 12" xfId="1980"/>
    <cellStyle name="Normal 9 3 29 2" xfId="1981"/>
    <cellStyle name="Normal 9 3 29 2 2" xfId="1982"/>
    <cellStyle name="Normal 9 3 29 3" xfId="1983"/>
    <cellStyle name="Normal 9 3 29 3 2" xfId="1984"/>
    <cellStyle name="Normal 9 3 29 4" xfId="1985"/>
    <cellStyle name="Normal 9 3 29 4 2" xfId="1986"/>
    <cellStyle name="Normal 9 3 29 5" xfId="1987"/>
    <cellStyle name="Normal 9 3 29 5 2" xfId="1988"/>
    <cellStyle name="Normal 9 3 29 6" xfId="1989"/>
    <cellStyle name="Normal 9 3 29 6 2" xfId="1990"/>
    <cellStyle name="Normal 9 3 29 7" xfId="1991"/>
    <cellStyle name="Normal 9 3 29 7 2" xfId="1992"/>
    <cellStyle name="Normal 9 3 29 8" xfId="1993"/>
    <cellStyle name="Normal 9 3 29 8 2" xfId="1994"/>
    <cellStyle name="Normal 9 3 29 9" xfId="1995"/>
    <cellStyle name="Normal 9 3 29 9 2" xfId="1996"/>
    <cellStyle name="Normal 9 3 3" xfId="1997"/>
    <cellStyle name="Normal 9 3 3 10" xfId="1998"/>
    <cellStyle name="Normal 9 3 3 10 2" xfId="1999"/>
    <cellStyle name="Normal 9 3 3 11" xfId="2000"/>
    <cellStyle name="Normal 9 3 3 11 2" xfId="2001"/>
    <cellStyle name="Normal 9 3 3 12" xfId="2002"/>
    <cellStyle name="Normal 9 3 3 2" xfId="2003"/>
    <cellStyle name="Normal 9 3 3 2 2" xfId="2004"/>
    <cellStyle name="Normal 9 3 3 3" xfId="2005"/>
    <cellStyle name="Normal 9 3 3 3 2" xfId="2006"/>
    <cellStyle name="Normal 9 3 3 4" xfId="2007"/>
    <cellStyle name="Normal 9 3 3 4 2" xfId="2008"/>
    <cellStyle name="Normal 9 3 3 5" xfId="2009"/>
    <cellStyle name="Normal 9 3 3 5 2" xfId="2010"/>
    <cellStyle name="Normal 9 3 3 6" xfId="2011"/>
    <cellStyle name="Normal 9 3 3 6 2" xfId="2012"/>
    <cellStyle name="Normal 9 3 3 7" xfId="2013"/>
    <cellStyle name="Normal 9 3 3 7 2" xfId="2014"/>
    <cellStyle name="Normal 9 3 3 8" xfId="2015"/>
    <cellStyle name="Normal 9 3 3 8 2" xfId="2016"/>
    <cellStyle name="Normal 9 3 3 9" xfId="2017"/>
    <cellStyle name="Normal 9 3 3 9 2" xfId="2018"/>
    <cellStyle name="Normal 9 3 30" xfId="2019"/>
    <cellStyle name="Normal 9 3 30 10" xfId="2020"/>
    <cellStyle name="Normal 9 3 30 10 2" xfId="2021"/>
    <cellStyle name="Normal 9 3 30 11" xfId="2022"/>
    <cellStyle name="Normal 9 3 30 11 2" xfId="2023"/>
    <cellStyle name="Normal 9 3 30 12" xfId="2024"/>
    <cellStyle name="Normal 9 3 30 2" xfId="2025"/>
    <cellStyle name="Normal 9 3 30 2 2" xfId="2026"/>
    <cellStyle name="Normal 9 3 30 3" xfId="2027"/>
    <cellStyle name="Normal 9 3 30 3 2" xfId="2028"/>
    <cellStyle name="Normal 9 3 30 4" xfId="2029"/>
    <cellStyle name="Normal 9 3 30 4 2" xfId="2030"/>
    <cellStyle name="Normal 9 3 30 5" xfId="2031"/>
    <cellStyle name="Normal 9 3 30 5 2" xfId="2032"/>
    <cellStyle name="Normal 9 3 30 6" xfId="2033"/>
    <cellStyle name="Normal 9 3 30 6 2" xfId="2034"/>
    <cellStyle name="Normal 9 3 30 7" xfId="2035"/>
    <cellStyle name="Normal 9 3 30 7 2" xfId="2036"/>
    <cellStyle name="Normal 9 3 30 8" xfId="2037"/>
    <cellStyle name="Normal 9 3 30 8 2" xfId="2038"/>
    <cellStyle name="Normal 9 3 30 9" xfId="2039"/>
    <cellStyle name="Normal 9 3 30 9 2" xfId="2040"/>
    <cellStyle name="Normal 9 3 31" xfId="2041"/>
    <cellStyle name="Normal 9 3 31 10" xfId="2042"/>
    <cellStyle name="Normal 9 3 31 10 2" xfId="2043"/>
    <cellStyle name="Normal 9 3 31 11" xfId="2044"/>
    <cellStyle name="Normal 9 3 31 11 2" xfId="2045"/>
    <cellStyle name="Normal 9 3 31 12" xfId="2046"/>
    <cellStyle name="Normal 9 3 31 2" xfId="2047"/>
    <cellStyle name="Normal 9 3 31 2 2" xfId="2048"/>
    <cellStyle name="Normal 9 3 31 3" xfId="2049"/>
    <cellStyle name="Normal 9 3 31 3 2" xfId="2050"/>
    <cellStyle name="Normal 9 3 31 4" xfId="2051"/>
    <cellStyle name="Normal 9 3 31 4 2" xfId="2052"/>
    <cellStyle name="Normal 9 3 31 5" xfId="2053"/>
    <cellStyle name="Normal 9 3 31 5 2" xfId="2054"/>
    <cellStyle name="Normal 9 3 31 6" xfId="2055"/>
    <cellStyle name="Normal 9 3 31 6 2" xfId="2056"/>
    <cellStyle name="Normal 9 3 31 7" xfId="2057"/>
    <cellStyle name="Normal 9 3 31 7 2" xfId="2058"/>
    <cellStyle name="Normal 9 3 31 8" xfId="2059"/>
    <cellStyle name="Normal 9 3 31 8 2" xfId="2060"/>
    <cellStyle name="Normal 9 3 31 9" xfId="2061"/>
    <cellStyle name="Normal 9 3 31 9 2" xfId="2062"/>
    <cellStyle name="Normal 9 3 32" xfId="2063"/>
    <cellStyle name="Normal 9 3 32 10" xfId="2064"/>
    <cellStyle name="Normal 9 3 32 10 2" xfId="2065"/>
    <cellStyle name="Normal 9 3 32 11" xfId="2066"/>
    <cellStyle name="Normal 9 3 32 11 2" xfId="2067"/>
    <cellStyle name="Normal 9 3 32 12" xfId="2068"/>
    <cellStyle name="Normal 9 3 32 2" xfId="2069"/>
    <cellStyle name="Normal 9 3 32 2 2" xfId="2070"/>
    <cellStyle name="Normal 9 3 32 3" xfId="2071"/>
    <cellStyle name="Normal 9 3 32 3 2" xfId="2072"/>
    <cellStyle name="Normal 9 3 32 4" xfId="2073"/>
    <cellStyle name="Normal 9 3 32 4 2" xfId="2074"/>
    <cellStyle name="Normal 9 3 32 5" xfId="2075"/>
    <cellStyle name="Normal 9 3 32 5 2" xfId="2076"/>
    <cellStyle name="Normal 9 3 32 6" xfId="2077"/>
    <cellStyle name="Normal 9 3 32 6 2" xfId="2078"/>
    <cellStyle name="Normal 9 3 32 7" xfId="2079"/>
    <cellStyle name="Normal 9 3 32 7 2" xfId="2080"/>
    <cellStyle name="Normal 9 3 32 8" xfId="2081"/>
    <cellStyle name="Normal 9 3 32 8 2" xfId="2082"/>
    <cellStyle name="Normal 9 3 32 9" xfId="2083"/>
    <cellStyle name="Normal 9 3 32 9 2" xfId="2084"/>
    <cellStyle name="Normal 9 3 33" xfId="2085"/>
    <cellStyle name="Normal 9 3 33 10" xfId="2086"/>
    <cellStyle name="Normal 9 3 33 10 2" xfId="2087"/>
    <cellStyle name="Normal 9 3 33 11" xfId="2088"/>
    <cellStyle name="Normal 9 3 33 11 2" xfId="2089"/>
    <cellStyle name="Normal 9 3 33 12" xfId="2090"/>
    <cellStyle name="Normal 9 3 33 2" xfId="2091"/>
    <cellStyle name="Normal 9 3 33 2 2" xfId="2092"/>
    <cellStyle name="Normal 9 3 33 3" xfId="2093"/>
    <cellStyle name="Normal 9 3 33 3 2" xfId="2094"/>
    <cellStyle name="Normal 9 3 33 4" xfId="2095"/>
    <cellStyle name="Normal 9 3 33 4 2" xfId="2096"/>
    <cellStyle name="Normal 9 3 33 5" xfId="2097"/>
    <cellStyle name="Normal 9 3 33 5 2" xfId="2098"/>
    <cellStyle name="Normal 9 3 33 6" xfId="2099"/>
    <cellStyle name="Normal 9 3 33 6 2" xfId="2100"/>
    <cellStyle name="Normal 9 3 33 7" xfId="2101"/>
    <cellStyle name="Normal 9 3 33 7 2" xfId="2102"/>
    <cellStyle name="Normal 9 3 33 8" xfId="2103"/>
    <cellStyle name="Normal 9 3 33 8 2" xfId="2104"/>
    <cellStyle name="Normal 9 3 33 9" xfId="2105"/>
    <cellStyle name="Normal 9 3 33 9 2" xfId="2106"/>
    <cellStyle name="Normal 9 3 34" xfId="2107"/>
    <cellStyle name="Normal 9 3 34 10" xfId="2108"/>
    <cellStyle name="Normal 9 3 34 10 2" xfId="2109"/>
    <cellStyle name="Normal 9 3 34 11" xfId="2110"/>
    <cellStyle name="Normal 9 3 34 11 2" xfId="2111"/>
    <cellStyle name="Normal 9 3 34 12" xfId="2112"/>
    <cellStyle name="Normal 9 3 34 2" xfId="2113"/>
    <cellStyle name="Normal 9 3 34 2 2" xfId="2114"/>
    <cellStyle name="Normal 9 3 34 3" xfId="2115"/>
    <cellStyle name="Normal 9 3 34 3 2" xfId="2116"/>
    <cellStyle name="Normal 9 3 34 4" xfId="2117"/>
    <cellStyle name="Normal 9 3 34 4 2" xfId="2118"/>
    <cellStyle name="Normal 9 3 34 5" xfId="2119"/>
    <cellStyle name="Normal 9 3 34 5 2" xfId="2120"/>
    <cellStyle name="Normal 9 3 34 6" xfId="2121"/>
    <cellStyle name="Normal 9 3 34 6 2" xfId="2122"/>
    <cellStyle name="Normal 9 3 34 7" xfId="2123"/>
    <cellStyle name="Normal 9 3 34 7 2" xfId="2124"/>
    <cellStyle name="Normal 9 3 34 8" xfId="2125"/>
    <cellStyle name="Normal 9 3 34 8 2" xfId="2126"/>
    <cellStyle name="Normal 9 3 34 9" xfId="2127"/>
    <cellStyle name="Normal 9 3 34 9 2" xfId="2128"/>
    <cellStyle name="Normal 9 3 35" xfId="2129"/>
    <cellStyle name="Normal 9 3 35 10" xfId="2130"/>
    <cellStyle name="Normal 9 3 35 10 2" xfId="2131"/>
    <cellStyle name="Normal 9 3 35 11" xfId="2132"/>
    <cellStyle name="Normal 9 3 35 11 2" xfId="2133"/>
    <cellStyle name="Normal 9 3 35 12" xfId="2134"/>
    <cellStyle name="Normal 9 3 35 2" xfId="2135"/>
    <cellStyle name="Normal 9 3 35 2 2" xfId="2136"/>
    <cellStyle name="Normal 9 3 35 3" xfId="2137"/>
    <cellStyle name="Normal 9 3 35 3 2" xfId="2138"/>
    <cellStyle name="Normal 9 3 35 4" xfId="2139"/>
    <cellStyle name="Normal 9 3 35 4 2" xfId="2140"/>
    <cellStyle name="Normal 9 3 35 5" xfId="2141"/>
    <cellStyle name="Normal 9 3 35 5 2" xfId="2142"/>
    <cellStyle name="Normal 9 3 35 6" xfId="2143"/>
    <cellStyle name="Normal 9 3 35 6 2" xfId="2144"/>
    <cellStyle name="Normal 9 3 35 7" xfId="2145"/>
    <cellStyle name="Normal 9 3 35 7 2" xfId="2146"/>
    <cellStyle name="Normal 9 3 35 8" xfId="2147"/>
    <cellStyle name="Normal 9 3 35 8 2" xfId="2148"/>
    <cellStyle name="Normal 9 3 35 9" xfId="2149"/>
    <cellStyle name="Normal 9 3 35 9 2" xfId="2150"/>
    <cellStyle name="Normal 9 3 36" xfId="2151"/>
    <cellStyle name="Normal 9 3 36 10" xfId="2152"/>
    <cellStyle name="Normal 9 3 36 10 2" xfId="2153"/>
    <cellStyle name="Normal 9 3 36 11" xfId="2154"/>
    <cellStyle name="Normal 9 3 36 11 2" xfId="2155"/>
    <cellStyle name="Normal 9 3 36 12" xfId="2156"/>
    <cellStyle name="Normal 9 3 36 2" xfId="2157"/>
    <cellStyle name="Normal 9 3 36 2 2" xfId="2158"/>
    <cellStyle name="Normal 9 3 36 3" xfId="2159"/>
    <cellStyle name="Normal 9 3 36 3 2" xfId="2160"/>
    <cellStyle name="Normal 9 3 36 4" xfId="2161"/>
    <cellStyle name="Normal 9 3 36 4 2" xfId="2162"/>
    <cellStyle name="Normal 9 3 36 5" xfId="2163"/>
    <cellStyle name="Normal 9 3 36 5 2" xfId="2164"/>
    <cellStyle name="Normal 9 3 36 6" xfId="2165"/>
    <cellStyle name="Normal 9 3 36 6 2" xfId="2166"/>
    <cellStyle name="Normal 9 3 36 7" xfId="2167"/>
    <cellStyle name="Normal 9 3 36 7 2" xfId="2168"/>
    <cellStyle name="Normal 9 3 36 8" xfId="2169"/>
    <cellStyle name="Normal 9 3 36 8 2" xfId="2170"/>
    <cellStyle name="Normal 9 3 36 9" xfId="2171"/>
    <cellStyle name="Normal 9 3 36 9 2" xfId="2172"/>
    <cellStyle name="Normal 9 3 37" xfId="2173"/>
    <cellStyle name="Normal 9 3 37 10" xfId="2174"/>
    <cellStyle name="Normal 9 3 37 10 2" xfId="2175"/>
    <cellStyle name="Normal 9 3 37 11" xfId="2176"/>
    <cellStyle name="Normal 9 3 37 11 2" xfId="2177"/>
    <cellStyle name="Normal 9 3 37 12" xfId="2178"/>
    <cellStyle name="Normal 9 3 37 2" xfId="2179"/>
    <cellStyle name="Normal 9 3 37 2 2" xfId="2180"/>
    <cellStyle name="Normal 9 3 37 3" xfId="2181"/>
    <cellStyle name="Normal 9 3 37 3 2" xfId="2182"/>
    <cellStyle name="Normal 9 3 37 4" xfId="2183"/>
    <cellStyle name="Normal 9 3 37 4 2" xfId="2184"/>
    <cellStyle name="Normal 9 3 37 5" xfId="2185"/>
    <cellStyle name="Normal 9 3 37 5 2" xfId="2186"/>
    <cellStyle name="Normal 9 3 37 6" xfId="2187"/>
    <cellStyle name="Normal 9 3 37 6 2" xfId="2188"/>
    <cellStyle name="Normal 9 3 37 7" xfId="2189"/>
    <cellStyle name="Normal 9 3 37 7 2" xfId="2190"/>
    <cellStyle name="Normal 9 3 37 8" xfId="2191"/>
    <cellStyle name="Normal 9 3 37 8 2" xfId="2192"/>
    <cellStyle name="Normal 9 3 37 9" xfId="2193"/>
    <cellStyle name="Normal 9 3 37 9 2" xfId="2194"/>
    <cellStyle name="Normal 9 3 38" xfId="2195"/>
    <cellStyle name="Normal 9 3 38 10" xfId="2196"/>
    <cellStyle name="Normal 9 3 38 10 2" xfId="2197"/>
    <cellStyle name="Normal 9 3 38 11" xfId="2198"/>
    <cellStyle name="Normal 9 3 38 11 2" xfId="2199"/>
    <cellStyle name="Normal 9 3 38 12" xfId="2200"/>
    <cellStyle name="Normal 9 3 38 2" xfId="2201"/>
    <cellStyle name="Normal 9 3 38 2 2" xfId="2202"/>
    <cellStyle name="Normal 9 3 38 3" xfId="2203"/>
    <cellStyle name="Normal 9 3 38 3 2" xfId="2204"/>
    <cellStyle name="Normal 9 3 38 4" xfId="2205"/>
    <cellStyle name="Normal 9 3 38 4 2" xfId="2206"/>
    <cellStyle name="Normal 9 3 38 5" xfId="2207"/>
    <cellStyle name="Normal 9 3 38 5 2" xfId="2208"/>
    <cellStyle name="Normal 9 3 38 6" xfId="2209"/>
    <cellStyle name="Normal 9 3 38 6 2" xfId="2210"/>
    <cellStyle name="Normal 9 3 38 7" xfId="2211"/>
    <cellStyle name="Normal 9 3 38 7 2" xfId="2212"/>
    <cellStyle name="Normal 9 3 38 8" xfId="2213"/>
    <cellStyle name="Normal 9 3 38 8 2" xfId="2214"/>
    <cellStyle name="Normal 9 3 38 9" xfId="2215"/>
    <cellStyle name="Normal 9 3 38 9 2" xfId="2216"/>
    <cellStyle name="Normal 9 3 39" xfId="2217"/>
    <cellStyle name="Normal 9 3 39 10" xfId="2218"/>
    <cellStyle name="Normal 9 3 39 10 2" xfId="2219"/>
    <cellStyle name="Normal 9 3 39 11" xfId="2220"/>
    <cellStyle name="Normal 9 3 39 11 2" xfId="2221"/>
    <cellStyle name="Normal 9 3 39 12" xfId="2222"/>
    <cellStyle name="Normal 9 3 39 2" xfId="2223"/>
    <cellStyle name="Normal 9 3 39 2 2" xfId="2224"/>
    <cellStyle name="Normal 9 3 39 3" xfId="2225"/>
    <cellStyle name="Normal 9 3 39 3 2" xfId="2226"/>
    <cellStyle name="Normal 9 3 39 4" xfId="2227"/>
    <cellStyle name="Normal 9 3 39 4 2" xfId="2228"/>
    <cellStyle name="Normal 9 3 39 5" xfId="2229"/>
    <cellStyle name="Normal 9 3 39 5 2" xfId="2230"/>
    <cellStyle name="Normal 9 3 39 6" xfId="2231"/>
    <cellStyle name="Normal 9 3 39 6 2" xfId="2232"/>
    <cellStyle name="Normal 9 3 39 7" xfId="2233"/>
    <cellStyle name="Normal 9 3 39 7 2" xfId="2234"/>
    <cellStyle name="Normal 9 3 39 8" xfId="2235"/>
    <cellStyle name="Normal 9 3 39 8 2" xfId="2236"/>
    <cellStyle name="Normal 9 3 39 9" xfId="2237"/>
    <cellStyle name="Normal 9 3 39 9 2" xfId="2238"/>
    <cellStyle name="Normal 9 3 4" xfId="2239"/>
    <cellStyle name="Normal 9 3 4 10" xfId="2240"/>
    <cellStyle name="Normal 9 3 4 10 2" xfId="2241"/>
    <cellStyle name="Normal 9 3 4 11" xfId="2242"/>
    <cellStyle name="Normal 9 3 4 11 2" xfId="2243"/>
    <cellStyle name="Normal 9 3 4 12" xfId="2244"/>
    <cellStyle name="Normal 9 3 4 2" xfId="2245"/>
    <cellStyle name="Normal 9 3 4 2 2" xfId="2246"/>
    <cellStyle name="Normal 9 3 4 3" xfId="2247"/>
    <cellStyle name="Normal 9 3 4 3 2" xfId="2248"/>
    <cellStyle name="Normal 9 3 4 4" xfId="2249"/>
    <cellStyle name="Normal 9 3 4 4 2" xfId="2250"/>
    <cellStyle name="Normal 9 3 4 5" xfId="2251"/>
    <cellStyle name="Normal 9 3 4 5 2" xfId="2252"/>
    <cellStyle name="Normal 9 3 4 6" xfId="2253"/>
    <cellStyle name="Normal 9 3 4 6 2" xfId="2254"/>
    <cellStyle name="Normal 9 3 4 7" xfId="2255"/>
    <cellStyle name="Normal 9 3 4 7 2" xfId="2256"/>
    <cellStyle name="Normal 9 3 4 8" xfId="2257"/>
    <cellStyle name="Normal 9 3 4 8 2" xfId="2258"/>
    <cellStyle name="Normal 9 3 4 9" xfId="2259"/>
    <cellStyle name="Normal 9 3 4 9 2" xfId="2260"/>
    <cellStyle name="Normal 9 3 40" xfId="2261"/>
    <cellStyle name="Normal 9 3 40 2" xfId="2262"/>
    <cellStyle name="Normal 9 3 41" xfId="2263"/>
    <cellStyle name="Normal 9 3 41 2" xfId="2264"/>
    <cellStyle name="Normal 9 3 42" xfId="2265"/>
    <cellStyle name="Normal 9 3 42 2" xfId="2266"/>
    <cellStyle name="Normal 9 3 43" xfId="2267"/>
    <cellStyle name="Normal 9 3 43 2" xfId="2268"/>
    <cellStyle name="Normal 9 3 44" xfId="2269"/>
    <cellStyle name="Normal 9 3 44 2" xfId="2270"/>
    <cellStyle name="Normal 9 3 45" xfId="2271"/>
    <cellStyle name="Normal 9 3 45 2" xfId="2272"/>
    <cellStyle name="Normal 9 3 46" xfId="2273"/>
    <cellStyle name="Normal 9 3 46 2" xfId="2274"/>
    <cellStyle name="Normal 9 3 47" xfId="2275"/>
    <cellStyle name="Normal 9 3 47 2" xfId="2276"/>
    <cellStyle name="Normal 9 3 48" xfId="2277"/>
    <cellStyle name="Normal 9 3 48 2" xfId="2278"/>
    <cellStyle name="Normal 9 3 49" xfId="2279"/>
    <cellStyle name="Normal 9 3 49 2" xfId="2280"/>
    <cellStyle name="Normal 9 3 5" xfId="2281"/>
    <cellStyle name="Normal 9 3 5 10" xfId="2282"/>
    <cellStyle name="Normal 9 3 5 10 2" xfId="2283"/>
    <cellStyle name="Normal 9 3 5 11" xfId="2284"/>
    <cellStyle name="Normal 9 3 5 11 2" xfId="2285"/>
    <cellStyle name="Normal 9 3 5 12" xfId="2286"/>
    <cellStyle name="Normal 9 3 5 2" xfId="2287"/>
    <cellStyle name="Normal 9 3 5 2 2" xfId="2288"/>
    <cellStyle name="Normal 9 3 5 3" xfId="2289"/>
    <cellStyle name="Normal 9 3 5 3 2" xfId="2290"/>
    <cellStyle name="Normal 9 3 5 4" xfId="2291"/>
    <cellStyle name="Normal 9 3 5 4 2" xfId="2292"/>
    <cellStyle name="Normal 9 3 5 5" xfId="2293"/>
    <cellStyle name="Normal 9 3 5 5 2" xfId="2294"/>
    <cellStyle name="Normal 9 3 5 6" xfId="2295"/>
    <cellStyle name="Normal 9 3 5 6 2" xfId="2296"/>
    <cellStyle name="Normal 9 3 5 7" xfId="2297"/>
    <cellStyle name="Normal 9 3 5 7 2" xfId="2298"/>
    <cellStyle name="Normal 9 3 5 8" xfId="2299"/>
    <cellStyle name="Normal 9 3 5 8 2" xfId="2300"/>
    <cellStyle name="Normal 9 3 5 9" xfId="2301"/>
    <cellStyle name="Normal 9 3 5 9 2" xfId="2302"/>
    <cellStyle name="Normal 9 3 50" xfId="2303"/>
    <cellStyle name="Normal 9 3 50 2" xfId="2304"/>
    <cellStyle name="Normal 9 3 51" xfId="2305"/>
    <cellStyle name="Normal 9 3 51 2" xfId="2306"/>
    <cellStyle name="Normal 9 3 52" xfId="2307"/>
    <cellStyle name="Normal 9 3 6" xfId="2308"/>
    <cellStyle name="Normal 9 3 6 10" xfId="2309"/>
    <cellStyle name="Normal 9 3 6 10 2" xfId="2310"/>
    <cellStyle name="Normal 9 3 6 11" xfId="2311"/>
    <cellStyle name="Normal 9 3 6 11 2" xfId="2312"/>
    <cellStyle name="Normal 9 3 6 12" xfId="2313"/>
    <cellStyle name="Normal 9 3 6 2" xfId="2314"/>
    <cellStyle name="Normal 9 3 6 2 2" xfId="2315"/>
    <cellStyle name="Normal 9 3 6 3" xfId="2316"/>
    <cellStyle name="Normal 9 3 6 3 2" xfId="2317"/>
    <cellStyle name="Normal 9 3 6 4" xfId="2318"/>
    <cellStyle name="Normal 9 3 6 4 2" xfId="2319"/>
    <cellStyle name="Normal 9 3 6 5" xfId="2320"/>
    <cellStyle name="Normal 9 3 6 5 2" xfId="2321"/>
    <cellStyle name="Normal 9 3 6 6" xfId="2322"/>
    <cellStyle name="Normal 9 3 6 6 2" xfId="2323"/>
    <cellStyle name="Normal 9 3 6 7" xfId="2324"/>
    <cellStyle name="Normal 9 3 6 7 2" xfId="2325"/>
    <cellStyle name="Normal 9 3 6 8" xfId="2326"/>
    <cellStyle name="Normal 9 3 6 8 2" xfId="2327"/>
    <cellStyle name="Normal 9 3 6 9" xfId="2328"/>
    <cellStyle name="Normal 9 3 6 9 2" xfId="2329"/>
    <cellStyle name="Normal 9 3 7" xfId="2330"/>
    <cellStyle name="Normal 9 3 7 10" xfId="2331"/>
    <cellStyle name="Normal 9 3 7 10 2" xfId="2332"/>
    <cellStyle name="Normal 9 3 7 11" xfId="2333"/>
    <cellStyle name="Normal 9 3 7 11 2" xfId="2334"/>
    <cellStyle name="Normal 9 3 7 12" xfId="2335"/>
    <cellStyle name="Normal 9 3 7 2" xfId="2336"/>
    <cellStyle name="Normal 9 3 7 2 2" xfId="2337"/>
    <cellStyle name="Normal 9 3 7 3" xfId="2338"/>
    <cellStyle name="Normal 9 3 7 3 2" xfId="2339"/>
    <cellStyle name="Normal 9 3 7 4" xfId="2340"/>
    <cellStyle name="Normal 9 3 7 4 2" xfId="2341"/>
    <cellStyle name="Normal 9 3 7 5" xfId="2342"/>
    <cellStyle name="Normal 9 3 7 5 2" xfId="2343"/>
    <cellStyle name="Normal 9 3 7 6" xfId="2344"/>
    <cellStyle name="Normal 9 3 7 6 2" xfId="2345"/>
    <cellStyle name="Normal 9 3 7 7" xfId="2346"/>
    <cellStyle name="Normal 9 3 7 7 2" xfId="2347"/>
    <cellStyle name="Normal 9 3 7 8" xfId="2348"/>
    <cellStyle name="Normal 9 3 7 8 2" xfId="2349"/>
    <cellStyle name="Normal 9 3 7 9" xfId="2350"/>
    <cellStyle name="Normal 9 3 7 9 2" xfId="2351"/>
    <cellStyle name="Normal 9 3 8" xfId="2352"/>
    <cellStyle name="Normal 9 3 8 10" xfId="2353"/>
    <cellStyle name="Normal 9 3 8 10 2" xfId="2354"/>
    <cellStyle name="Normal 9 3 8 11" xfId="2355"/>
    <cellStyle name="Normal 9 3 8 11 2" xfId="2356"/>
    <cellStyle name="Normal 9 3 8 12" xfId="2357"/>
    <cellStyle name="Normal 9 3 8 2" xfId="2358"/>
    <cellStyle name="Normal 9 3 8 2 2" xfId="2359"/>
    <cellStyle name="Normal 9 3 8 3" xfId="2360"/>
    <cellStyle name="Normal 9 3 8 3 2" xfId="2361"/>
    <cellStyle name="Normal 9 3 8 4" xfId="2362"/>
    <cellStyle name="Normal 9 3 8 4 2" xfId="2363"/>
    <cellStyle name="Normal 9 3 8 5" xfId="2364"/>
    <cellStyle name="Normal 9 3 8 5 2" xfId="2365"/>
    <cellStyle name="Normal 9 3 8 6" xfId="2366"/>
    <cellStyle name="Normal 9 3 8 6 2" xfId="2367"/>
    <cellStyle name="Normal 9 3 8 7" xfId="2368"/>
    <cellStyle name="Normal 9 3 8 7 2" xfId="2369"/>
    <cellStyle name="Normal 9 3 8 8" xfId="2370"/>
    <cellStyle name="Normal 9 3 8 8 2" xfId="2371"/>
    <cellStyle name="Normal 9 3 8 9" xfId="2372"/>
    <cellStyle name="Normal 9 3 8 9 2" xfId="2373"/>
    <cellStyle name="Normal 9 3 9" xfId="2374"/>
    <cellStyle name="Normal 9 3 9 10" xfId="2375"/>
    <cellStyle name="Normal 9 3 9 10 2" xfId="2376"/>
    <cellStyle name="Normal 9 3 9 11" xfId="2377"/>
    <cellStyle name="Normal 9 3 9 11 2" xfId="2378"/>
    <cellStyle name="Normal 9 3 9 12" xfId="2379"/>
    <cellStyle name="Normal 9 3 9 2" xfId="2380"/>
    <cellStyle name="Normal 9 3 9 2 2" xfId="2381"/>
    <cellStyle name="Normal 9 3 9 3" xfId="2382"/>
    <cellStyle name="Normal 9 3 9 3 2" xfId="2383"/>
    <cellStyle name="Normal 9 3 9 4" xfId="2384"/>
    <cellStyle name="Normal 9 3 9 4 2" xfId="2385"/>
    <cellStyle name="Normal 9 3 9 5" xfId="2386"/>
    <cellStyle name="Normal 9 3 9 5 2" xfId="2387"/>
    <cellStyle name="Normal 9 3 9 6" xfId="2388"/>
    <cellStyle name="Normal 9 3 9 6 2" xfId="2389"/>
    <cellStyle name="Normal 9 3 9 7" xfId="2390"/>
    <cellStyle name="Normal 9 3 9 7 2" xfId="2391"/>
    <cellStyle name="Normal 9 3 9 8" xfId="2392"/>
    <cellStyle name="Normal 9 3 9 8 2" xfId="2393"/>
    <cellStyle name="Normal 9 3 9 9" xfId="2394"/>
    <cellStyle name="Normal 9 3 9 9 2" xfId="2395"/>
    <cellStyle name="Normal 9 3_consumption scenario C" xfId="4528"/>
    <cellStyle name="Normal 9 30" xfId="2396"/>
    <cellStyle name="Normal 9 30 10" xfId="2397"/>
    <cellStyle name="Normal 9 30 10 2" xfId="2398"/>
    <cellStyle name="Normal 9 30 11" xfId="2399"/>
    <cellStyle name="Normal 9 30 11 2" xfId="2400"/>
    <cellStyle name="Normal 9 30 12" xfId="2401"/>
    <cellStyle name="Normal 9 30 2" xfId="2402"/>
    <cellStyle name="Normal 9 30 2 2" xfId="2403"/>
    <cellStyle name="Normal 9 30 3" xfId="2404"/>
    <cellStyle name="Normal 9 30 3 2" xfId="2405"/>
    <cellStyle name="Normal 9 30 4" xfId="2406"/>
    <cellStyle name="Normal 9 30 4 2" xfId="2407"/>
    <cellStyle name="Normal 9 30 5" xfId="2408"/>
    <cellStyle name="Normal 9 30 5 2" xfId="2409"/>
    <cellStyle name="Normal 9 30 6" xfId="2410"/>
    <cellStyle name="Normal 9 30 6 2" xfId="2411"/>
    <cellStyle name="Normal 9 30 7" xfId="2412"/>
    <cellStyle name="Normal 9 30 7 2" xfId="2413"/>
    <cellStyle name="Normal 9 30 8" xfId="2414"/>
    <cellStyle name="Normal 9 30 8 2" xfId="2415"/>
    <cellStyle name="Normal 9 30 9" xfId="2416"/>
    <cellStyle name="Normal 9 30 9 2" xfId="2417"/>
    <cellStyle name="Normal 9 31" xfId="2418"/>
    <cellStyle name="Normal 9 31 10" xfId="2419"/>
    <cellStyle name="Normal 9 31 10 2" xfId="2420"/>
    <cellStyle name="Normal 9 31 11" xfId="2421"/>
    <cellStyle name="Normal 9 31 11 2" xfId="2422"/>
    <cellStyle name="Normal 9 31 12" xfId="2423"/>
    <cellStyle name="Normal 9 31 2" xfId="2424"/>
    <cellStyle name="Normal 9 31 2 2" xfId="2425"/>
    <cellStyle name="Normal 9 31 3" xfId="2426"/>
    <cellStyle name="Normal 9 31 3 2" xfId="2427"/>
    <cellStyle name="Normal 9 31 4" xfId="2428"/>
    <cellStyle name="Normal 9 31 4 2" xfId="2429"/>
    <cellStyle name="Normal 9 31 5" xfId="2430"/>
    <cellStyle name="Normal 9 31 5 2" xfId="2431"/>
    <cellStyle name="Normal 9 31 6" xfId="2432"/>
    <cellStyle name="Normal 9 31 6 2" xfId="2433"/>
    <cellStyle name="Normal 9 31 7" xfId="2434"/>
    <cellStyle name="Normal 9 31 7 2" xfId="2435"/>
    <cellStyle name="Normal 9 31 8" xfId="2436"/>
    <cellStyle name="Normal 9 31 8 2" xfId="2437"/>
    <cellStyle name="Normal 9 31 9" xfId="2438"/>
    <cellStyle name="Normal 9 31 9 2" xfId="2439"/>
    <cellStyle name="Normal 9 32" xfId="2440"/>
    <cellStyle name="Normal 9 32 10" xfId="2441"/>
    <cellStyle name="Normal 9 32 10 2" xfId="2442"/>
    <cellStyle name="Normal 9 32 11" xfId="2443"/>
    <cellStyle name="Normal 9 32 11 2" xfId="2444"/>
    <cellStyle name="Normal 9 32 12" xfId="2445"/>
    <cellStyle name="Normal 9 32 2" xfId="2446"/>
    <cellStyle name="Normal 9 32 2 2" xfId="2447"/>
    <cellStyle name="Normal 9 32 3" xfId="2448"/>
    <cellStyle name="Normal 9 32 3 2" xfId="2449"/>
    <cellStyle name="Normal 9 32 4" xfId="2450"/>
    <cellStyle name="Normal 9 32 4 2" xfId="2451"/>
    <cellStyle name="Normal 9 32 5" xfId="2452"/>
    <cellStyle name="Normal 9 32 5 2" xfId="2453"/>
    <cellStyle name="Normal 9 32 6" xfId="2454"/>
    <cellStyle name="Normal 9 32 6 2" xfId="2455"/>
    <cellStyle name="Normal 9 32 7" xfId="2456"/>
    <cellStyle name="Normal 9 32 7 2" xfId="2457"/>
    <cellStyle name="Normal 9 32 8" xfId="2458"/>
    <cellStyle name="Normal 9 32 8 2" xfId="2459"/>
    <cellStyle name="Normal 9 32 9" xfId="2460"/>
    <cellStyle name="Normal 9 32 9 2" xfId="2461"/>
    <cellStyle name="Normal 9 33" xfId="2462"/>
    <cellStyle name="Normal 9 33 10" xfId="2463"/>
    <cellStyle name="Normal 9 33 10 2" xfId="2464"/>
    <cellStyle name="Normal 9 33 11" xfId="2465"/>
    <cellStyle name="Normal 9 33 11 2" xfId="2466"/>
    <cellStyle name="Normal 9 33 12" xfId="2467"/>
    <cellStyle name="Normal 9 33 2" xfId="2468"/>
    <cellStyle name="Normal 9 33 2 2" xfId="2469"/>
    <cellStyle name="Normal 9 33 3" xfId="2470"/>
    <cellStyle name="Normal 9 33 3 2" xfId="2471"/>
    <cellStyle name="Normal 9 33 4" xfId="2472"/>
    <cellStyle name="Normal 9 33 4 2" xfId="2473"/>
    <cellStyle name="Normal 9 33 5" xfId="2474"/>
    <cellStyle name="Normal 9 33 5 2" xfId="2475"/>
    <cellStyle name="Normal 9 33 6" xfId="2476"/>
    <cellStyle name="Normal 9 33 6 2" xfId="2477"/>
    <cellStyle name="Normal 9 33 7" xfId="2478"/>
    <cellStyle name="Normal 9 33 7 2" xfId="2479"/>
    <cellStyle name="Normal 9 33 8" xfId="2480"/>
    <cellStyle name="Normal 9 33 8 2" xfId="2481"/>
    <cellStyle name="Normal 9 33 9" xfId="2482"/>
    <cellStyle name="Normal 9 33 9 2" xfId="2483"/>
    <cellStyle name="Normal 9 34" xfId="2484"/>
    <cellStyle name="Normal 9 34 10" xfId="2485"/>
    <cellStyle name="Normal 9 34 10 2" xfId="2486"/>
    <cellStyle name="Normal 9 34 11" xfId="2487"/>
    <cellStyle name="Normal 9 34 11 2" xfId="2488"/>
    <cellStyle name="Normal 9 34 12" xfId="2489"/>
    <cellStyle name="Normal 9 34 2" xfId="2490"/>
    <cellStyle name="Normal 9 34 2 2" xfId="2491"/>
    <cellStyle name="Normal 9 34 3" xfId="2492"/>
    <cellStyle name="Normal 9 34 3 2" xfId="2493"/>
    <cellStyle name="Normal 9 34 4" xfId="2494"/>
    <cellStyle name="Normal 9 34 4 2" xfId="2495"/>
    <cellStyle name="Normal 9 34 5" xfId="2496"/>
    <cellStyle name="Normal 9 34 5 2" xfId="2497"/>
    <cellStyle name="Normal 9 34 6" xfId="2498"/>
    <cellStyle name="Normal 9 34 6 2" xfId="2499"/>
    <cellStyle name="Normal 9 34 7" xfId="2500"/>
    <cellStyle name="Normal 9 34 7 2" xfId="2501"/>
    <cellStyle name="Normal 9 34 8" xfId="2502"/>
    <cellStyle name="Normal 9 34 8 2" xfId="2503"/>
    <cellStyle name="Normal 9 34 9" xfId="2504"/>
    <cellStyle name="Normal 9 34 9 2" xfId="2505"/>
    <cellStyle name="Normal 9 35" xfId="2506"/>
    <cellStyle name="Normal 9 35 10" xfId="2507"/>
    <cellStyle name="Normal 9 35 10 2" xfId="2508"/>
    <cellStyle name="Normal 9 35 11" xfId="2509"/>
    <cellStyle name="Normal 9 35 11 2" xfId="2510"/>
    <cellStyle name="Normal 9 35 12" xfId="2511"/>
    <cellStyle name="Normal 9 35 2" xfId="2512"/>
    <cellStyle name="Normal 9 35 2 2" xfId="2513"/>
    <cellStyle name="Normal 9 35 3" xfId="2514"/>
    <cellStyle name="Normal 9 35 3 2" xfId="2515"/>
    <cellStyle name="Normal 9 35 4" xfId="2516"/>
    <cellStyle name="Normal 9 35 4 2" xfId="2517"/>
    <cellStyle name="Normal 9 35 5" xfId="2518"/>
    <cellStyle name="Normal 9 35 5 2" xfId="2519"/>
    <cellStyle name="Normal 9 35 6" xfId="2520"/>
    <cellStyle name="Normal 9 35 6 2" xfId="2521"/>
    <cellStyle name="Normal 9 35 7" xfId="2522"/>
    <cellStyle name="Normal 9 35 7 2" xfId="2523"/>
    <cellStyle name="Normal 9 35 8" xfId="2524"/>
    <cellStyle name="Normal 9 35 8 2" xfId="2525"/>
    <cellStyle name="Normal 9 35 9" xfId="2526"/>
    <cellStyle name="Normal 9 35 9 2" xfId="2527"/>
    <cellStyle name="Normal 9 36" xfId="2528"/>
    <cellStyle name="Normal 9 36 10" xfId="2529"/>
    <cellStyle name="Normal 9 36 10 2" xfId="2530"/>
    <cellStyle name="Normal 9 36 11" xfId="2531"/>
    <cellStyle name="Normal 9 36 11 2" xfId="2532"/>
    <cellStyle name="Normal 9 36 12" xfId="2533"/>
    <cellStyle name="Normal 9 36 2" xfId="2534"/>
    <cellStyle name="Normal 9 36 2 2" xfId="2535"/>
    <cellStyle name="Normal 9 36 3" xfId="2536"/>
    <cellStyle name="Normal 9 36 3 2" xfId="2537"/>
    <cellStyle name="Normal 9 36 4" xfId="2538"/>
    <cellStyle name="Normal 9 36 4 2" xfId="2539"/>
    <cellStyle name="Normal 9 36 5" xfId="2540"/>
    <cellStyle name="Normal 9 36 5 2" xfId="2541"/>
    <cellStyle name="Normal 9 36 6" xfId="2542"/>
    <cellStyle name="Normal 9 36 6 2" xfId="2543"/>
    <cellStyle name="Normal 9 36 7" xfId="2544"/>
    <cellStyle name="Normal 9 36 7 2" xfId="2545"/>
    <cellStyle name="Normal 9 36 8" xfId="2546"/>
    <cellStyle name="Normal 9 36 8 2" xfId="2547"/>
    <cellStyle name="Normal 9 36 9" xfId="2548"/>
    <cellStyle name="Normal 9 36 9 2" xfId="2549"/>
    <cellStyle name="Normal 9 37" xfId="2550"/>
    <cellStyle name="Normal 9 37 10" xfId="2551"/>
    <cellStyle name="Normal 9 37 10 2" xfId="2552"/>
    <cellStyle name="Normal 9 37 11" xfId="2553"/>
    <cellStyle name="Normal 9 37 11 2" xfId="2554"/>
    <cellStyle name="Normal 9 37 12" xfId="2555"/>
    <cellStyle name="Normal 9 37 2" xfId="2556"/>
    <cellStyle name="Normal 9 37 2 2" xfId="2557"/>
    <cellStyle name="Normal 9 37 3" xfId="2558"/>
    <cellStyle name="Normal 9 37 3 2" xfId="2559"/>
    <cellStyle name="Normal 9 37 4" xfId="2560"/>
    <cellStyle name="Normal 9 37 4 2" xfId="2561"/>
    <cellStyle name="Normal 9 37 5" xfId="2562"/>
    <cellStyle name="Normal 9 37 5 2" xfId="2563"/>
    <cellStyle name="Normal 9 37 6" xfId="2564"/>
    <cellStyle name="Normal 9 37 6 2" xfId="2565"/>
    <cellStyle name="Normal 9 37 7" xfId="2566"/>
    <cellStyle name="Normal 9 37 7 2" xfId="2567"/>
    <cellStyle name="Normal 9 37 8" xfId="2568"/>
    <cellStyle name="Normal 9 37 8 2" xfId="2569"/>
    <cellStyle name="Normal 9 37 9" xfId="2570"/>
    <cellStyle name="Normal 9 37 9 2" xfId="2571"/>
    <cellStyle name="Normal 9 38" xfId="2572"/>
    <cellStyle name="Normal 9 38 10" xfId="2573"/>
    <cellStyle name="Normal 9 38 10 2" xfId="2574"/>
    <cellStyle name="Normal 9 38 11" xfId="2575"/>
    <cellStyle name="Normal 9 38 11 2" xfId="2576"/>
    <cellStyle name="Normal 9 38 12" xfId="2577"/>
    <cellStyle name="Normal 9 38 2" xfId="2578"/>
    <cellStyle name="Normal 9 38 2 2" xfId="2579"/>
    <cellStyle name="Normal 9 38 3" xfId="2580"/>
    <cellStyle name="Normal 9 38 3 2" xfId="2581"/>
    <cellStyle name="Normal 9 38 4" xfId="2582"/>
    <cellStyle name="Normal 9 38 4 2" xfId="2583"/>
    <cellStyle name="Normal 9 38 5" xfId="2584"/>
    <cellStyle name="Normal 9 38 5 2" xfId="2585"/>
    <cellStyle name="Normal 9 38 6" xfId="2586"/>
    <cellStyle name="Normal 9 38 6 2" xfId="2587"/>
    <cellStyle name="Normal 9 38 7" xfId="2588"/>
    <cellStyle name="Normal 9 38 7 2" xfId="2589"/>
    <cellStyle name="Normal 9 38 8" xfId="2590"/>
    <cellStyle name="Normal 9 38 8 2" xfId="2591"/>
    <cellStyle name="Normal 9 38 9" xfId="2592"/>
    <cellStyle name="Normal 9 38 9 2" xfId="2593"/>
    <cellStyle name="Normal 9 39" xfId="2594"/>
    <cellStyle name="Normal 9 39 10" xfId="2595"/>
    <cellStyle name="Normal 9 39 10 2" xfId="2596"/>
    <cellStyle name="Normal 9 39 11" xfId="2597"/>
    <cellStyle name="Normal 9 39 11 2" xfId="2598"/>
    <cellStyle name="Normal 9 39 12" xfId="2599"/>
    <cellStyle name="Normal 9 39 2" xfId="2600"/>
    <cellStyle name="Normal 9 39 2 2" xfId="2601"/>
    <cellStyle name="Normal 9 39 3" xfId="2602"/>
    <cellStyle name="Normal 9 39 3 2" xfId="2603"/>
    <cellStyle name="Normal 9 39 4" xfId="2604"/>
    <cellStyle name="Normal 9 39 4 2" xfId="2605"/>
    <cellStyle name="Normal 9 39 5" xfId="2606"/>
    <cellStyle name="Normal 9 39 5 2" xfId="2607"/>
    <cellStyle name="Normal 9 39 6" xfId="2608"/>
    <cellStyle name="Normal 9 39 6 2" xfId="2609"/>
    <cellStyle name="Normal 9 39 7" xfId="2610"/>
    <cellStyle name="Normal 9 39 7 2" xfId="2611"/>
    <cellStyle name="Normal 9 39 8" xfId="2612"/>
    <cellStyle name="Normal 9 39 8 2" xfId="2613"/>
    <cellStyle name="Normal 9 39 9" xfId="2614"/>
    <cellStyle name="Normal 9 39 9 2" xfId="2615"/>
    <cellStyle name="Normal 9 4" xfId="2616"/>
    <cellStyle name="Normal 9 4 10" xfId="2617"/>
    <cellStyle name="Normal 9 4 10 10" xfId="2618"/>
    <cellStyle name="Normal 9 4 10 10 2" xfId="2619"/>
    <cellStyle name="Normal 9 4 10 11" xfId="2620"/>
    <cellStyle name="Normal 9 4 10 11 2" xfId="2621"/>
    <cellStyle name="Normal 9 4 10 12" xfId="2622"/>
    <cellStyle name="Normal 9 4 10 2" xfId="2623"/>
    <cellStyle name="Normal 9 4 10 2 2" xfId="2624"/>
    <cellStyle name="Normal 9 4 10 3" xfId="2625"/>
    <cellStyle name="Normal 9 4 10 3 2" xfId="2626"/>
    <cellStyle name="Normal 9 4 10 4" xfId="2627"/>
    <cellStyle name="Normal 9 4 10 4 2" xfId="2628"/>
    <cellStyle name="Normal 9 4 10 5" xfId="2629"/>
    <cellStyle name="Normal 9 4 10 5 2" xfId="2630"/>
    <cellStyle name="Normal 9 4 10 6" xfId="2631"/>
    <cellStyle name="Normal 9 4 10 6 2" xfId="2632"/>
    <cellStyle name="Normal 9 4 10 7" xfId="2633"/>
    <cellStyle name="Normal 9 4 10 7 2" xfId="2634"/>
    <cellStyle name="Normal 9 4 10 8" xfId="2635"/>
    <cellStyle name="Normal 9 4 10 8 2" xfId="2636"/>
    <cellStyle name="Normal 9 4 10 9" xfId="2637"/>
    <cellStyle name="Normal 9 4 10 9 2" xfId="2638"/>
    <cellStyle name="Normal 9 4 11" xfId="2639"/>
    <cellStyle name="Normal 9 4 11 10" xfId="2640"/>
    <cellStyle name="Normal 9 4 11 10 2" xfId="2641"/>
    <cellStyle name="Normal 9 4 11 11" xfId="2642"/>
    <cellStyle name="Normal 9 4 11 11 2" xfId="2643"/>
    <cellStyle name="Normal 9 4 11 12" xfId="2644"/>
    <cellStyle name="Normal 9 4 11 2" xfId="2645"/>
    <cellStyle name="Normal 9 4 11 2 2" xfId="2646"/>
    <cellStyle name="Normal 9 4 11 3" xfId="2647"/>
    <cellStyle name="Normal 9 4 11 3 2" xfId="2648"/>
    <cellStyle name="Normal 9 4 11 4" xfId="2649"/>
    <cellStyle name="Normal 9 4 11 4 2" xfId="2650"/>
    <cellStyle name="Normal 9 4 11 5" xfId="2651"/>
    <cellStyle name="Normal 9 4 11 5 2" xfId="2652"/>
    <cellStyle name="Normal 9 4 11 6" xfId="2653"/>
    <cellStyle name="Normal 9 4 11 6 2" xfId="2654"/>
    <cellStyle name="Normal 9 4 11 7" xfId="2655"/>
    <cellStyle name="Normal 9 4 11 7 2" xfId="2656"/>
    <cellStyle name="Normal 9 4 11 8" xfId="2657"/>
    <cellStyle name="Normal 9 4 11 8 2" xfId="2658"/>
    <cellStyle name="Normal 9 4 11 9" xfId="2659"/>
    <cellStyle name="Normal 9 4 11 9 2" xfId="2660"/>
    <cellStyle name="Normal 9 4 12" xfId="2661"/>
    <cellStyle name="Normal 9 4 12 10" xfId="2662"/>
    <cellStyle name="Normal 9 4 12 10 2" xfId="2663"/>
    <cellStyle name="Normal 9 4 12 11" xfId="2664"/>
    <cellStyle name="Normal 9 4 12 11 2" xfId="2665"/>
    <cellStyle name="Normal 9 4 12 12" xfId="2666"/>
    <cellStyle name="Normal 9 4 12 2" xfId="2667"/>
    <cellStyle name="Normal 9 4 12 2 2" xfId="2668"/>
    <cellStyle name="Normal 9 4 12 3" xfId="2669"/>
    <cellStyle name="Normal 9 4 12 3 2" xfId="2670"/>
    <cellStyle name="Normal 9 4 12 4" xfId="2671"/>
    <cellStyle name="Normal 9 4 12 4 2" xfId="2672"/>
    <cellStyle name="Normal 9 4 12 5" xfId="2673"/>
    <cellStyle name="Normal 9 4 12 5 2" xfId="2674"/>
    <cellStyle name="Normal 9 4 12 6" xfId="2675"/>
    <cellStyle name="Normal 9 4 12 6 2" xfId="2676"/>
    <cellStyle name="Normal 9 4 12 7" xfId="2677"/>
    <cellStyle name="Normal 9 4 12 7 2" xfId="2678"/>
    <cellStyle name="Normal 9 4 12 8" xfId="2679"/>
    <cellStyle name="Normal 9 4 12 8 2" xfId="2680"/>
    <cellStyle name="Normal 9 4 12 9" xfId="2681"/>
    <cellStyle name="Normal 9 4 12 9 2" xfId="2682"/>
    <cellStyle name="Normal 9 4 13" xfId="2683"/>
    <cellStyle name="Normal 9 4 13 10" xfId="2684"/>
    <cellStyle name="Normal 9 4 13 10 2" xfId="2685"/>
    <cellStyle name="Normal 9 4 13 11" xfId="2686"/>
    <cellStyle name="Normal 9 4 13 11 2" xfId="2687"/>
    <cellStyle name="Normal 9 4 13 12" xfId="2688"/>
    <cellStyle name="Normal 9 4 13 2" xfId="2689"/>
    <cellStyle name="Normal 9 4 13 2 2" xfId="2690"/>
    <cellStyle name="Normal 9 4 13 3" xfId="2691"/>
    <cellStyle name="Normal 9 4 13 3 2" xfId="2692"/>
    <cellStyle name="Normal 9 4 13 4" xfId="2693"/>
    <cellStyle name="Normal 9 4 13 4 2" xfId="2694"/>
    <cellStyle name="Normal 9 4 13 5" xfId="2695"/>
    <cellStyle name="Normal 9 4 13 5 2" xfId="2696"/>
    <cellStyle name="Normal 9 4 13 6" xfId="2697"/>
    <cellStyle name="Normal 9 4 13 6 2" xfId="2698"/>
    <cellStyle name="Normal 9 4 13 7" xfId="2699"/>
    <cellStyle name="Normal 9 4 13 7 2" xfId="2700"/>
    <cellStyle name="Normal 9 4 13 8" xfId="2701"/>
    <cellStyle name="Normal 9 4 13 8 2" xfId="2702"/>
    <cellStyle name="Normal 9 4 13 9" xfId="2703"/>
    <cellStyle name="Normal 9 4 13 9 2" xfId="2704"/>
    <cellStyle name="Normal 9 4 14" xfId="2705"/>
    <cellStyle name="Normal 9 4 14 10" xfId="2706"/>
    <cellStyle name="Normal 9 4 14 10 2" xfId="2707"/>
    <cellStyle name="Normal 9 4 14 11" xfId="2708"/>
    <cellStyle name="Normal 9 4 14 11 2" xfId="2709"/>
    <cellStyle name="Normal 9 4 14 12" xfId="2710"/>
    <cellStyle name="Normal 9 4 14 2" xfId="2711"/>
    <cellStyle name="Normal 9 4 14 2 2" xfId="2712"/>
    <cellStyle name="Normal 9 4 14 3" xfId="2713"/>
    <cellStyle name="Normal 9 4 14 3 2" xfId="2714"/>
    <cellStyle name="Normal 9 4 14 4" xfId="2715"/>
    <cellStyle name="Normal 9 4 14 4 2" xfId="2716"/>
    <cellStyle name="Normal 9 4 14 5" xfId="2717"/>
    <cellStyle name="Normal 9 4 14 5 2" xfId="2718"/>
    <cellStyle name="Normal 9 4 14 6" xfId="2719"/>
    <cellStyle name="Normal 9 4 14 6 2" xfId="2720"/>
    <cellStyle name="Normal 9 4 14 7" xfId="2721"/>
    <cellStyle name="Normal 9 4 14 7 2" xfId="2722"/>
    <cellStyle name="Normal 9 4 14 8" xfId="2723"/>
    <cellStyle name="Normal 9 4 14 8 2" xfId="2724"/>
    <cellStyle name="Normal 9 4 14 9" xfId="2725"/>
    <cellStyle name="Normal 9 4 14 9 2" xfId="2726"/>
    <cellStyle name="Normal 9 4 15" xfId="2727"/>
    <cellStyle name="Normal 9 4 15 10" xfId="2728"/>
    <cellStyle name="Normal 9 4 15 10 2" xfId="2729"/>
    <cellStyle name="Normal 9 4 15 11" xfId="2730"/>
    <cellStyle name="Normal 9 4 15 11 2" xfId="2731"/>
    <cellStyle name="Normal 9 4 15 12" xfId="2732"/>
    <cellStyle name="Normal 9 4 15 2" xfId="2733"/>
    <cellStyle name="Normal 9 4 15 2 2" xfId="2734"/>
    <cellStyle name="Normal 9 4 15 3" xfId="2735"/>
    <cellStyle name="Normal 9 4 15 3 2" xfId="2736"/>
    <cellStyle name="Normal 9 4 15 4" xfId="2737"/>
    <cellStyle name="Normal 9 4 15 4 2" xfId="2738"/>
    <cellStyle name="Normal 9 4 15 5" xfId="2739"/>
    <cellStyle name="Normal 9 4 15 5 2" xfId="2740"/>
    <cellStyle name="Normal 9 4 15 6" xfId="2741"/>
    <cellStyle name="Normal 9 4 15 6 2" xfId="2742"/>
    <cellStyle name="Normal 9 4 15 7" xfId="2743"/>
    <cellStyle name="Normal 9 4 15 7 2" xfId="2744"/>
    <cellStyle name="Normal 9 4 15 8" xfId="2745"/>
    <cellStyle name="Normal 9 4 15 8 2" xfId="2746"/>
    <cellStyle name="Normal 9 4 15 9" xfId="2747"/>
    <cellStyle name="Normal 9 4 15 9 2" xfId="2748"/>
    <cellStyle name="Normal 9 4 16" xfId="2749"/>
    <cellStyle name="Normal 9 4 16 10" xfId="2750"/>
    <cellStyle name="Normal 9 4 16 10 2" xfId="2751"/>
    <cellStyle name="Normal 9 4 16 11" xfId="2752"/>
    <cellStyle name="Normal 9 4 16 11 2" xfId="2753"/>
    <cellStyle name="Normal 9 4 16 12" xfId="2754"/>
    <cellStyle name="Normal 9 4 16 2" xfId="2755"/>
    <cellStyle name="Normal 9 4 16 2 2" xfId="2756"/>
    <cellStyle name="Normal 9 4 16 3" xfId="2757"/>
    <cellStyle name="Normal 9 4 16 3 2" xfId="2758"/>
    <cellStyle name="Normal 9 4 16 4" xfId="2759"/>
    <cellStyle name="Normal 9 4 16 4 2" xfId="2760"/>
    <cellStyle name="Normal 9 4 16 5" xfId="2761"/>
    <cellStyle name="Normal 9 4 16 5 2" xfId="2762"/>
    <cellStyle name="Normal 9 4 16 6" xfId="2763"/>
    <cellStyle name="Normal 9 4 16 6 2" xfId="2764"/>
    <cellStyle name="Normal 9 4 16 7" xfId="2765"/>
    <cellStyle name="Normal 9 4 16 7 2" xfId="2766"/>
    <cellStyle name="Normal 9 4 16 8" xfId="2767"/>
    <cellStyle name="Normal 9 4 16 8 2" xfId="2768"/>
    <cellStyle name="Normal 9 4 16 9" xfId="2769"/>
    <cellStyle name="Normal 9 4 16 9 2" xfId="2770"/>
    <cellStyle name="Normal 9 4 17" xfId="2771"/>
    <cellStyle name="Normal 9 4 17 10" xfId="2772"/>
    <cellStyle name="Normal 9 4 17 10 2" xfId="2773"/>
    <cellStyle name="Normal 9 4 17 11" xfId="2774"/>
    <cellStyle name="Normal 9 4 17 11 2" xfId="2775"/>
    <cellStyle name="Normal 9 4 17 12" xfId="2776"/>
    <cellStyle name="Normal 9 4 17 2" xfId="2777"/>
    <cellStyle name="Normal 9 4 17 2 2" xfId="2778"/>
    <cellStyle name="Normal 9 4 17 3" xfId="2779"/>
    <cellStyle name="Normal 9 4 17 3 2" xfId="2780"/>
    <cellStyle name="Normal 9 4 17 4" xfId="2781"/>
    <cellStyle name="Normal 9 4 17 4 2" xfId="2782"/>
    <cellStyle name="Normal 9 4 17 5" xfId="2783"/>
    <cellStyle name="Normal 9 4 17 5 2" xfId="2784"/>
    <cellStyle name="Normal 9 4 17 6" xfId="2785"/>
    <cellStyle name="Normal 9 4 17 6 2" xfId="2786"/>
    <cellStyle name="Normal 9 4 17 7" xfId="2787"/>
    <cellStyle name="Normal 9 4 17 7 2" xfId="2788"/>
    <cellStyle name="Normal 9 4 17 8" xfId="2789"/>
    <cellStyle name="Normal 9 4 17 8 2" xfId="2790"/>
    <cellStyle name="Normal 9 4 17 9" xfId="2791"/>
    <cellStyle name="Normal 9 4 17 9 2" xfId="2792"/>
    <cellStyle name="Normal 9 4 18" xfId="2793"/>
    <cellStyle name="Normal 9 4 18 10" xfId="2794"/>
    <cellStyle name="Normal 9 4 18 10 2" xfId="2795"/>
    <cellStyle name="Normal 9 4 18 11" xfId="2796"/>
    <cellStyle name="Normal 9 4 18 11 2" xfId="2797"/>
    <cellStyle name="Normal 9 4 18 12" xfId="2798"/>
    <cellStyle name="Normal 9 4 18 2" xfId="2799"/>
    <cellStyle name="Normal 9 4 18 2 2" xfId="2800"/>
    <cellStyle name="Normal 9 4 18 3" xfId="2801"/>
    <cellStyle name="Normal 9 4 18 3 2" xfId="2802"/>
    <cellStyle name="Normal 9 4 18 4" xfId="2803"/>
    <cellStyle name="Normal 9 4 18 4 2" xfId="2804"/>
    <cellStyle name="Normal 9 4 18 5" xfId="2805"/>
    <cellStyle name="Normal 9 4 18 5 2" xfId="2806"/>
    <cellStyle name="Normal 9 4 18 6" xfId="2807"/>
    <cellStyle name="Normal 9 4 18 6 2" xfId="2808"/>
    <cellStyle name="Normal 9 4 18 7" xfId="2809"/>
    <cellStyle name="Normal 9 4 18 7 2" xfId="2810"/>
    <cellStyle name="Normal 9 4 18 8" xfId="2811"/>
    <cellStyle name="Normal 9 4 18 8 2" xfId="2812"/>
    <cellStyle name="Normal 9 4 18 9" xfId="2813"/>
    <cellStyle name="Normal 9 4 18 9 2" xfId="2814"/>
    <cellStyle name="Normal 9 4 19" xfId="2815"/>
    <cellStyle name="Normal 9 4 19 10" xfId="2816"/>
    <cellStyle name="Normal 9 4 19 10 2" xfId="2817"/>
    <cellStyle name="Normal 9 4 19 11" xfId="2818"/>
    <cellStyle name="Normal 9 4 19 11 2" xfId="2819"/>
    <cellStyle name="Normal 9 4 19 12" xfId="2820"/>
    <cellStyle name="Normal 9 4 19 2" xfId="2821"/>
    <cellStyle name="Normal 9 4 19 2 2" xfId="2822"/>
    <cellStyle name="Normal 9 4 19 3" xfId="2823"/>
    <cellStyle name="Normal 9 4 19 3 2" xfId="2824"/>
    <cellStyle name="Normal 9 4 19 4" xfId="2825"/>
    <cellStyle name="Normal 9 4 19 4 2" xfId="2826"/>
    <cellStyle name="Normal 9 4 19 5" xfId="2827"/>
    <cellStyle name="Normal 9 4 19 5 2" xfId="2828"/>
    <cellStyle name="Normal 9 4 19 6" xfId="2829"/>
    <cellStyle name="Normal 9 4 19 6 2" xfId="2830"/>
    <cellStyle name="Normal 9 4 19 7" xfId="2831"/>
    <cellStyle name="Normal 9 4 19 7 2" xfId="2832"/>
    <cellStyle name="Normal 9 4 19 8" xfId="2833"/>
    <cellStyle name="Normal 9 4 19 8 2" xfId="2834"/>
    <cellStyle name="Normal 9 4 19 9" xfId="2835"/>
    <cellStyle name="Normal 9 4 19 9 2" xfId="2836"/>
    <cellStyle name="Normal 9 4 2" xfId="2837"/>
    <cellStyle name="Normal 9 4 2 10" xfId="2838"/>
    <cellStyle name="Normal 9 4 2 10 2" xfId="2839"/>
    <cellStyle name="Normal 9 4 2 11" xfId="2840"/>
    <cellStyle name="Normal 9 4 2 11 2" xfId="2841"/>
    <cellStyle name="Normal 9 4 2 12" xfId="2842"/>
    <cellStyle name="Normal 9 4 2 2" xfId="2843"/>
    <cellStyle name="Normal 9 4 2 2 2" xfId="2844"/>
    <cellStyle name="Normal 9 4 2 3" xfId="2845"/>
    <cellStyle name="Normal 9 4 2 3 2" xfId="2846"/>
    <cellStyle name="Normal 9 4 2 4" xfId="2847"/>
    <cellStyle name="Normal 9 4 2 4 2" xfId="2848"/>
    <cellStyle name="Normal 9 4 2 5" xfId="2849"/>
    <cellStyle name="Normal 9 4 2 5 2" xfId="2850"/>
    <cellStyle name="Normal 9 4 2 6" xfId="2851"/>
    <cellStyle name="Normal 9 4 2 6 2" xfId="2852"/>
    <cellStyle name="Normal 9 4 2 7" xfId="2853"/>
    <cellStyle name="Normal 9 4 2 7 2" xfId="2854"/>
    <cellStyle name="Normal 9 4 2 8" xfId="2855"/>
    <cellStyle name="Normal 9 4 2 8 2" xfId="2856"/>
    <cellStyle name="Normal 9 4 2 9" xfId="2857"/>
    <cellStyle name="Normal 9 4 2 9 2" xfId="2858"/>
    <cellStyle name="Normal 9 4 20" xfId="2859"/>
    <cellStyle name="Normal 9 4 20 10" xfId="2860"/>
    <cellStyle name="Normal 9 4 20 10 2" xfId="2861"/>
    <cellStyle name="Normal 9 4 20 11" xfId="2862"/>
    <cellStyle name="Normal 9 4 20 11 2" xfId="2863"/>
    <cellStyle name="Normal 9 4 20 12" xfId="2864"/>
    <cellStyle name="Normal 9 4 20 2" xfId="2865"/>
    <cellStyle name="Normal 9 4 20 2 2" xfId="2866"/>
    <cellStyle name="Normal 9 4 20 3" xfId="2867"/>
    <cellStyle name="Normal 9 4 20 3 2" xfId="2868"/>
    <cellStyle name="Normal 9 4 20 4" xfId="2869"/>
    <cellStyle name="Normal 9 4 20 4 2" xfId="2870"/>
    <cellStyle name="Normal 9 4 20 5" xfId="2871"/>
    <cellStyle name="Normal 9 4 20 5 2" xfId="2872"/>
    <cellStyle name="Normal 9 4 20 6" xfId="2873"/>
    <cellStyle name="Normal 9 4 20 6 2" xfId="2874"/>
    <cellStyle name="Normal 9 4 20 7" xfId="2875"/>
    <cellStyle name="Normal 9 4 20 7 2" xfId="2876"/>
    <cellStyle name="Normal 9 4 20 8" xfId="2877"/>
    <cellStyle name="Normal 9 4 20 8 2" xfId="2878"/>
    <cellStyle name="Normal 9 4 20 9" xfId="2879"/>
    <cellStyle name="Normal 9 4 20 9 2" xfId="2880"/>
    <cellStyle name="Normal 9 4 21" xfId="2881"/>
    <cellStyle name="Normal 9 4 21 10" xfId="2882"/>
    <cellStyle name="Normal 9 4 21 10 2" xfId="2883"/>
    <cellStyle name="Normal 9 4 21 11" xfId="2884"/>
    <cellStyle name="Normal 9 4 21 11 2" xfId="2885"/>
    <cellStyle name="Normal 9 4 21 12" xfId="2886"/>
    <cellStyle name="Normal 9 4 21 2" xfId="2887"/>
    <cellStyle name="Normal 9 4 21 2 2" xfId="2888"/>
    <cellStyle name="Normal 9 4 21 3" xfId="2889"/>
    <cellStyle name="Normal 9 4 21 3 2" xfId="2890"/>
    <cellStyle name="Normal 9 4 21 4" xfId="2891"/>
    <cellStyle name="Normal 9 4 21 4 2" xfId="2892"/>
    <cellStyle name="Normal 9 4 21 5" xfId="2893"/>
    <cellStyle name="Normal 9 4 21 5 2" xfId="2894"/>
    <cellStyle name="Normal 9 4 21 6" xfId="2895"/>
    <cellStyle name="Normal 9 4 21 6 2" xfId="2896"/>
    <cellStyle name="Normal 9 4 21 7" xfId="2897"/>
    <cellStyle name="Normal 9 4 21 7 2" xfId="2898"/>
    <cellStyle name="Normal 9 4 21 8" xfId="2899"/>
    <cellStyle name="Normal 9 4 21 8 2" xfId="2900"/>
    <cellStyle name="Normal 9 4 21 9" xfId="2901"/>
    <cellStyle name="Normal 9 4 21 9 2" xfId="2902"/>
    <cellStyle name="Normal 9 4 22" xfId="2903"/>
    <cellStyle name="Normal 9 4 22 10" xfId="2904"/>
    <cellStyle name="Normal 9 4 22 10 2" xfId="2905"/>
    <cellStyle name="Normal 9 4 22 11" xfId="2906"/>
    <cellStyle name="Normal 9 4 22 11 2" xfId="2907"/>
    <cellStyle name="Normal 9 4 22 12" xfId="2908"/>
    <cellStyle name="Normal 9 4 22 2" xfId="2909"/>
    <cellStyle name="Normal 9 4 22 2 2" xfId="2910"/>
    <cellStyle name="Normal 9 4 22 3" xfId="2911"/>
    <cellStyle name="Normal 9 4 22 3 2" xfId="2912"/>
    <cellStyle name="Normal 9 4 22 4" xfId="2913"/>
    <cellStyle name="Normal 9 4 22 4 2" xfId="2914"/>
    <cellStyle name="Normal 9 4 22 5" xfId="2915"/>
    <cellStyle name="Normal 9 4 22 5 2" xfId="2916"/>
    <cellStyle name="Normal 9 4 22 6" xfId="2917"/>
    <cellStyle name="Normal 9 4 22 6 2" xfId="2918"/>
    <cellStyle name="Normal 9 4 22 7" xfId="2919"/>
    <cellStyle name="Normal 9 4 22 7 2" xfId="2920"/>
    <cellStyle name="Normal 9 4 22 8" xfId="2921"/>
    <cellStyle name="Normal 9 4 22 8 2" xfId="2922"/>
    <cellStyle name="Normal 9 4 22 9" xfId="2923"/>
    <cellStyle name="Normal 9 4 22 9 2" xfId="2924"/>
    <cellStyle name="Normal 9 4 23" xfId="2925"/>
    <cellStyle name="Normal 9 4 23 10" xfId="2926"/>
    <cellStyle name="Normal 9 4 23 10 2" xfId="2927"/>
    <cellStyle name="Normal 9 4 23 11" xfId="2928"/>
    <cellStyle name="Normal 9 4 23 11 2" xfId="2929"/>
    <cellStyle name="Normal 9 4 23 12" xfId="2930"/>
    <cellStyle name="Normal 9 4 23 2" xfId="2931"/>
    <cellStyle name="Normal 9 4 23 2 2" xfId="2932"/>
    <cellStyle name="Normal 9 4 23 3" xfId="2933"/>
    <cellStyle name="Normal 9 4 23 3 2" xfId="2934"/>
    <cellStyle name="Normal 9 4 23 4" xfId="2935"/>
    <cellStyle name="Normal 9 4 23 4 2" xfId="2936"/>
    <cellStyle name="Normal 9 4 23 5" xfId="2937"/>
    <cellStyle name="Normal 9 4 23 5 2" xfId="2938"/>
    <cellStyle name="Normal 9 4 23 6" xfId="2939"/>
    <cellStyle name="Normal 9 4 23 6 2" xfId="2940"/>
    <cellStyle name="Normal 9 4 23 7" xfId="2941"/>
    <cellStyle name="Normal 9 4 23 7 2" xfId="2942"/>
    <cellStyle name="Normal 9 4 23 8" xfId="2943"/>
    <cellStyle name="Normal 9 4 23 8 2" xfId="2944"/>
    <cellStyle name="Normal 9 4 23 9" xfId="2945"/>
    <cellStyle name="Normal 9 4 23 9 2" xfId="2946"/>
    <cellStyle name="Normal 9 4 24" xfId="2947"/>
    <cellStyle name="Normal 9 4 24 10" xfId="2948"/>
    <cellStyle name="Normal 9 4 24 10 2" xfId="2949"/>
    <cellStyle name="Normal 9 4 24 11" xfId="2950"/>
    <cellStyle name="Normal 9 4 24 11 2" xfId="2951"/>
    <cellStyle name="Normal 9 4 24 12" xfId="2952"/>
    <cellStyle name="Normal 9 4 24 2" xfId="2953"/>
    <cellStyle name="Normal 9 4 24 2 2" xfId="2954"/>
    <cellStyle name="Normal 9 4 24 3" xfId="2955"/>
    <cellStyle name="Normal 9 4 24 3 2" xfId="2956"/>
    <cellStyle name="Normal 9 4 24 4" xfId="2957"/>
    <cellStyle name="Normal 9 4 24 4 2" xfId="2958"/>
    <cellStyle name="Normal 9 4 24 5" xfId="2959"/>
    <cellStyle name="Normal 9 4 24 5 2" xfId="2960"/>
    <cellStyle name="Normal 9 4 24 6" xfId="2961"/>
    <cellStyle name="Normal 9 4 24 6 2" xfId="2962"/>
    <cellStyle name="Normal 9 4 24 7" xfId="2963"/>
    <cellStyle name="Normal 9 4 24 7 2" xfId="2964"/>
    <cellStyle name="Normal 9 4 24 8" xfId="2965"/>
    <cellStyle name="Normal 9 4 24 8 2" xfId="2966"/>
    <cellStyle name="Normal 9 4 24 9" xfId="2967"/>
    <cellStyle name="Normal 9 4 24 9 2" xfId="2968"/>
    <cellStyle name="Normal 9 4 25" xfId="2969"/>
    <cellStyle name="Normal 9 4 25 10" xfId="2970"/>
    <cellStyle name="Normal 9 4 25 10 2" xfId="2971"/>
    <cellStyle name="Normal 9 4 25 11" xfId="2972"/>
    <cellStyle name="Normal 9 4 25 11 2" xfId="2973"/>
    <cellStyle name="Normal 9 4 25 12" xfId="2974"/>
    <cellStyle name="Normal 9 4 25 2" xfId="2975"/>
    <cellStyle name="Normal 9 4 25 2 2" xfId="2976"/>
    <cellStyle name="Normal 9 4 25 3" xfId="2977"/>
    <cellStyle name="Normal 9 4 25 3 2" xfId="2978"/>
    <cellStyle name="Normal 9 4 25 4" xfId="2979"/>
    <cellStyle name="Normal 9 4 25 4 2" xfId="2980"/>
    <cellStyle name="Normal 9 4 25 5" xfId="2981"/>
    <cellStyle name="Normal 9 4 25 5 2" xfId="2982"/>
    <cellStyle name="Normal 9 4 25 6" xfId="2983"/>
    <cellStyle name="Normal 9 4 25 6 2" xfId="2984"/>
    <cellStyle name="Normal 9 4 25 7" xfId="2985"/>
    <cellStyle name="Normal 9 4 25 7 2" xfId="2986"/>
    <cellStyle name="Normal 9 4 25 8" xfId="2987"/>
    <cellStyle name="Normal 9 4 25 8 2" xfId="2988"/>
    <cellStyle name="Normal 9 4 25 9" xfId="2989"/>
    <cellStyle name="Normal 9 4 25 9 2" xfId="2990"/>
    <cellStyle name="Normal 9 4 26" xfId="2991"/>
    <cellStyle name="Normal 9 4 26 10" xfId="2992"/>
    <cellStyle name="Normal 9 4 26 10 2" xfId="2993"/>
    <cellStyle name="Normal 9 4 26 11" xfId="2994"/>
    <cellStyle name="Normal 9 4 26 11 2" xfId="2995"/>
    <cellStyle name="Normal 9 4 26 12" xfId="2996"/>
    <cellStyle name="Normal 9 4 26 2" xfId="2997"/>
    <cellStyle name="Normal 9 4 26 2 2" xfId="2998"/>
    <cellStyle name="Normal 9 4 26 3" xfId="2999"/>
    <cellStyle name="Normal 9 4 26 3 2" xfId="3000"/>
    <cellStyle name="Normal 9 4 26 4" xfId="3001"/>
    <cellStyle name="Normal 9 4 26 4 2" xfId="3002"/>
    <cellStyle name="Normal 9 4 26 5" xfId="3003"/>
    <cellStyle name="Normal 9 4 26 5 2" xfId="3004"/>
    <cellStyle name="Normal 9 4 26 6" xfId="3005"/>
    <cellStyle name="Normal 9 4 26 6 2" xfId="3006"/>
    <cellStyle name="Normal 9 4 26 7" xfId="3007"/>
    <cellStyle name="Normal 9 4 26 7 2" xfId="3008"/>
    <cellStyle name="Normal 9 4 26 8" xfId="3009"/>
    <cellStyle name="Normal 9 4 26 8 2" xfId="3010"/>
    <cellStyle name="Normal 9 4 26 9" xfId="3011"/>
    <cellStyle name="Normal 9 4 26 9 2" xfId="3012"/>
    <cellStyle name="Normal 9 4 27" xfId="3013"/>
    <cellStyle name="Normal 9 4 27 10" xfId="3014"/>
    <cellStyle name="Normal 9 4 27 10 2" xfId="3015"/>
    <cellStyle name="Normal 9 4 27 11" xfId="3016"/>
    <cellStyle name="Normal 9 4 27 11 2" xfId="3017"/>
    <cellStyle name="Normal 9 4 27 12" xfId="3018"/>
    <cellStyle name="Normal 9 4 27 2" xfId="3019"/>
    <cellStyle name="Normal 9 4 27 2 2" xfId="3020"/>
    <cellStyle name="Normal 9 4 27 3" xfId="3021"/>
    <cellStyle name="Normal 9 4 27 3 2" xfId="3022"/>
    <cellStyle name="Normal 9 4 27 4" xfId="3023"/>
    <cellStyle name="Normal 9 4 27 4 2" xfId="3024"/>
    <cellStyle name="Normal 9 4 27 5" xfId="3025"/>
    <cellStyle name="Normal 9 4 27 5 2" xfId="3026"/>
    <cellStyle name="Normal 9 4 27 6" xfId="3027"/>
    <cellStyle name="Normal 9 4 27 6 2" xfId="3028"/>
    <cellStyle name="Normal 9 4 27 7" xfId="3029"/>
    <cellStyle name="Normal 9 4 27 7 2" xfId="3030"/>
    <cellStyle name="Normal 9 4 27 8" xfId="3031"/>
    <cellStyle name="Normal 9 4 27 8 2" xfId="3032"/>
    <cellStyle name="Normal 9 4 27 9" xfId="3033"/>
    <cellStyle name="Normal 9 4 27 9 2" xfId="3034"/>
    <cellStyle name="Normal 9 4 28" xfId="3035"/>
    <cellStyle name="Normal 9 4 28 10" xfId="3036"/>
    <cellStyle name="Normal 9 4 28 10 2" xfId="3037"/>
    <cellStyle name="Normal 9 4 28 11" xfId="3038"/>
    <cellStyle name="Normal 9 4 28 11 2" xfId="3039"/>
    <cellStyle name="Normal 9 4 28 12" xfId="3040"/>
    <cellStyle name="Normal 9 4 28 2" xfId="3041"/>
    <cellStyle name="Normal 9 4 28 2 2" xfId="3042"/>
    <cellStyle name="Normal 9 4 28 3" xfId="3043"/>
    <cellStyle name="Normal 9 4 28 3 2" xfId="3044"/>
    <cellStyle name="Normal 9 4 28 4" xfId="3045"/>
    <cellStyle name="Normal 9 4 28 4 2" xfId="3046"/>
    <cellStyle name="Normal 9 4 28 5" xfId="3047"/>
    <cellStyle name="Normal 9 4 28 5 2" xfId="3048"/>
    <cellStyle name="Normal 9 4 28 6" xfId="3049"/>
    <cellStyle name="Normal 9 4 28 6 2" xfId="3050"/>
    <cellStyle name="Normal 9 4 28 7" xfId="3051"/>
    <cellStyle name="Normal 9 4 28 7 2" xfId="3052"/>
    <cellStyle name="Normal 9 4 28 8" xfId="3053"/>
    <cellStyle name="Normal 9 4 28 8 2" xfId="3054"/>
    <cellStyle name="Normal 9 4 28 9" xfId="3055"/>
    <cellStyle name="Normal 9 4 28 9 2" xfId="3056"/>
    <cellStyle name="Normal 9 4 29" xfId="3057"/>
    <cellStyle name="Normal 9 4 29 10" xfId="3058"/>
    <cellStyle name="Normal 9 4 29 10 2" xfId="3059"/>
    <cellStyle name="Normal 9 4 29 11" xfId="3060"/>
    <cellStyle name="Normal 9 4 29 11 2" xfId="3061"/>
    <cellStyle name="Normal 9 4 29 12" xfId="3062"/>
    <cellStyle name="Normal 9 4 29 2" xfId="3063"/>
    <cellStyle name="Normal 9 4 29 2 2" xfId="3064"/>
    <cellStyle name="Normal 9 4 29 3" xfId="3065"/>
    <cellStyle name="Normal 9 4 29 3 2" xfId="3066"/>
    <cellStyle name="Normal 9 4 29 4" xfId="3067"/>
    <cellStyle name="Normal 9 4 29 4 2" xfId="3068"/>
    <cellStyle name="Normal 9 4 29 5" xfId="3069"/>
    <cellStyle name="Normal 9 4 29 5 2" xfId="3070"/>
    <cellStyle name="Normal 9 4 29 6" xfId="3071"/>
    <cellStyle name="Normal 9 4 29 6 2" xfId="3072"/>
    <cellStyle name="Normal 9 4 29 7" xfId="3073"/>
    <cellStyle name="Normal 9 4 29 7 2" xfId="3074"/>
    <cellStyle name="Normal 9 4 29 8" xfId="3075"/>
    <cellStyle name="Normal 9 4 29 8 2" xfId="3076"/>
    <cellStyle name="Normal 9 4 29 9" xfId="3077"/>
    <cellStyle name="Normal 9 4 29 9 2" xfId="3078"/>
    <cellStyle name="Normal 9 4 3" xfId="3079"/>
    <cellStyle name="Normal 9 4 3 10" xfId="3080"/>
    <cellStyle name="Normal 9 4 3 10 2" xfId="3081"/>
    <cellStyle name="Normal 9 4 3 11" xfId="3082"/>
    <cellStyle name="Normal 9 4 3 11 2" xfId="3083"/>
    <cellStyle name="Normal 9 4 3 12" xfId="3084"/>
    <cellStyle name="Normal 9 4 3 2" xfId="3085"/>
    <cellStyle name="Normal 9 4 3 2 2" xfId="3086"/>
    <cellStyle name="Normal 9 4 3 3" xfId="3087"/>
    <cellStyle name="Normal 9 4 3 3 2" xfId="3088"/>
    <cellStyle name="Normal 9 4 3 4" xfId="3089"/>
    <cellStyle name="Normal 9 4 3 4 2" xfId="3090"/>
    <cellStyle name="Normal 9 4 3 5" xfId="3091"/>
    <cellStyle name="Normal 9 4 3 5 2" xfId="3092"/>
    <cellStyle name="Normal 9 4 3 6" xfId="3093"/>
    <cellStyle name="Normal 9 4 3 6 2" xfId="3094"/>
    <cellStyle name="Normal 9 4 3 7" xfId="3095"/>
    <cellStyle name="Normal 9 4 3 7 2" xfId="3096"/>
    <cellStyle name="Normal 9 4 3 8" xfId="3097"/>
    <cellStyle name="Normal 9 4 3 8 2" xfId="3098"/>
    <cellStyle name="Normal 9 4 3 9" xfId="3099"/>
    <cellStyle name="Normal 9 4 3 9 2" xfId="3100"/>
    <cellStyle name="Normal 9 4 30" xfId="3101"/>
    <cellStyle name="Normal 9 4 30 10" xfId="3102"/>
    <cellStyle name="Normal 9 4 30 10 2" xfId="3103"/>
    <cellStyle name="Normal 9 4 30 11" xfId="3104"/>
    <cellStyle name="Normal 9 4 30 11 2" xfId="3105"/>
    <cellStyle name="Normal 9 4 30 12" xfId="3106"/>
    <cellStyle name="Normal 9 4 30 2" xfId="3107"/>
    <cellStyle name="Normal 9 4 30 2 2" xfId="3108"/>
    <cellStyle name="Normal 9 4 30 3" xfId="3109"/>
    <cellStyle name="Normal 9 4 30 3 2" xfId="3110"/>
    <cellStyle name="Normal 9 4 30 4" xfId="3111"/>
    <cellStyle name="Normal 9 4 30 4 2" xfId="3112"/>
    <cellStyle name="Normal 9 4 30 5" xfId="3113"/>
    <cellStyle name="Normal 9 4 30 5 2" xfId="3114"/>
    <cellStyle name="Normal 9 4 30 6" xfId="3115"/>
    <cellStyle name="Normal 9 4 30 6 2" xfId="3116"/>
    <cellStyle name="Normal 9 4 30 7" xfId="3117"/>
    <cellStyle name="Normal 9 4 30 7 2" xfId="3118"/>
    <cellStyle name="Normal 9 4 30 8" xfId="3119"/>
    <cellStyle name="Normal 9 4 30 8 2" xfId="3120"/>
    <cellStyle name="Normal 9 4 30 9" xfId="3121"/>
    <cellStyle name="Normal 9 4 30 9 2" xfId="3122"/>
    <cellStyle name="Normal 9 4 31" xfId="3123"/>
    <cellStyle name="Normal 9 4 31 10" xfId="3124"/>
    <cellStyle name="Normal 9 4 31 10 2" xfId="3125"/>
    <cellStyle name="Normal 9 4 31 11" xfId="3126"/>
    <cellStyle name="Normal 9 4 31 11 2" xfId="3127"/>
    <cellStyle name="Normal 9 4 31 12" xfId="3128"/>
    <cellStyle name="Normal 9 4 31 2" xfId="3129"/>
    <cellStyle name="Normal 9 4 31 2 2" xfId="3130"/>
    <cellStyle name="Normal 9 4 31 3" xfId="3131"/>
    <cellStyle name="Normal 9 4 31 3 2" xfId="3132"/>
    <cellStyle name="Normal 9 4 31 4" xfId="3133"/>
    <cellStyle name="Normal 9 4 31 4 2" xfId="3134"/>
    <cellStyle name="Normal 9 4 31 5" xfId="3135"/>
    <cellStyle name="Normal 9 4 31 5 2" xfId="3136"/>
    <cellStyle name="Normal 9 4 31 6" xfId="3137"/>
    <cellStyle name="Normal 9 4 31 6 2" xfId="3138"/>
    <cellStyle name="Normal 9 4 31 7" xfId="3139"/>
    <cellStyle name="Normal 9 4 31 7 2" xfId="3140"/>
    <cellStyle name="Normal 9 4 31 8" xfId="3141"/>
    <cellStyle name="Normal 9 4 31 8 2" xfId="3142"/>
    <cellStyle name="Normal 9 4 31 9" xfId="3143"/>
    <cellStyle name="Normal 9 4 31 9 2" xfId="3144"/>
    <cellStyle name="Normal 9 4 32" xfId="3145"/>
    <cellStyle name="Normal 9 4 32 10" xfId="3146"/>
    <cellStyle name="Normal 9 4 32 10 2" xfId="3147"/>
    <cellStyle name="Normal 9 4 32 11" xfId="3148"/>
    <cellStyle name="Normal 9 4 32 11 2" xfId="3149"/>
    <cellStyle name="Normal 9 4 32 12" xfId="3150"/>
    <cellStyle name="Normal 9 4 32 2" xfId="3151"/>
    <cellStyle name="Normal 9 4 32 2 2" xfId="3152"/>
    <cellStyle name="Normal 9 4 32 3" xfId="3153"/>
    <cellStyle name="Normal 9 4 32 3 2" xfId="3154"/>
    <cellStyle name="Normal 9 4 32 4" xfId="3155"/>
    <cellStyle name="Normal 9 4 32 4 2" xfId="3156"/>
    <cellStyle name="Normal 9 4 32 5" xfId="3157"/>
    <cellStyle name="Normal 9 4 32 5 2" xfId="3158"/>
    <cellStyle name="Normal 9 4 32 6" xfId="3159"/>
    <cellStyle name="Normal 9 4 32 6 2" xfId="3160"/>
    <cellStyle name="Normal 9 4 32 7" xfId="3161"/>
    <cellStyle name="Normal 9 4 32 7 2" xfId="3162"/>
    <cellStyle name="Normal 9 4 32 8" xfId="3163"/>
    <cellStyle name="Normal 9 4 32 8 2" xfId="3164"/>
    <cellStyle name="Normal 9 4 32 9" xfId="3165"/>
    <cellStyle name="Normal 9 4 32 9 2" xfId="3166"/>
    <cellStyle name="Normal 9 4 33" xfId="3167"/>
    <cellStyle name="Normal 9 4 33 10" xfId="3168"/>
    <cellStyle name="Normal 9 4 33 10 2" xfId="3169"/>
    <cellStyle name="Normal 9 4 33 11" xfId="3170"/>
    <cellStyle name="Normal 9 4 33 11 2" xfId="3171"/>
    <cellStyle name="Normal 9 4 33 12" xfId="3172"/>
    <cellStyle name="Normal 9 4 33 2" xfId="3173"/>
    <cellStyle name="Normal 9 4 33 2 2" xfId="3174"/>
    <cellStyle name="Normal 9 4 33 3" xfId="3175"/>
    <cellStyle name="Normal 9 4 33 3 2" xfId="3176"/>
    <cellStyle name="Normal 9 4 33 4" xfId="3177"/>
    <cellStyle name="Normal 9 4 33 4 2" xfId="3178"/>
    <cellStyle name="Normal 9 4 33 5" xfId="3179"/>
    <cellStyle name="Normal 9 4 33 5 2" xfId="3180"/>
    <cellStyle name="Normal 9 4 33 6" xfId="3181"/>
    <cellStyle name="Normal 9 4 33 6 2" xfId="3182"/>
    <cellStyle name="Normal 9 4 33 7" xfId="3183"/>
    <cellStyle name="Normal 9 4 33 7 2" xfId="3184"/>
    <cellStyle name="Normal 9 4 33 8" xfId="3185"/>
    <cellStyle name="Normal 9 4 33 8 2" xfId="3186"/>
    <cellStyle name="Normal 9 4 33 9" xfId="3187"/>
    <cellStyle name="Normal 9 4 33 9 2" xfId="3188"/>
    <cellStyle name="Normal 9 4 34" xfId="3189"/>
    <cellStyle name="Normal 9 4 34 10" xfId="3190"/>
    <cellStyle name="Normal 9 4 34 10 2" xfId="3191"/>
    <cellStyle name="Normal 9 4 34 11" xfId="3192"/>
    <cellStyle name="Normal 9 4 34 11 2" xfId="3193"/>
    <cellStyle name="Normal 9 4 34 12" xfId="3194"/>
    <cellStyle name="Normal 9 4 34 2" xfId="3195"/>
    <cellStyle name="Normal 9 4 34 2 2" xfId="3196"/>
    <cellStyle name="Normal 9 4 34 3" xfId="3197"/>
    <cellStyle name="Normal 9 4 34 3 2" xfId="3198"/>
    <cellStyle name="Normal 9 4 34 4" xfId="3199"/>
    <cellStyle name="Normal 9 4 34 4 2" xfId="3200"/>
    <cellStyle name="Normal 9 4 34 5" xfId="3201"/>
    <cellStyle name="Normal 9 4 34 5 2" xfId="3202"/>
    <cellStyle name="Normal 9 4 34 6" xfId="3203"/>
    <cellStyle name="Normal 9 4 34 6 2" xfId="3204"/>
    <cellStyle name="Normal 9 4 34 7" xfId="3205"/>
    <cellStyle name="Normal 9 4 34 7 2" xfId="3206"/>
    <cellStyle name="Normal 9 4 34 8" xfId="3207"/>
    <cellStyle name="Normal 9 4 34 8 2" xfId="3208"/>
    <cellStyle name="Normal 9 4 34 9" xfId="3209"/>
    <cellStyle name="Normal 9 4 34 9 2" xfId="3210"/>
    <cellStyle name="Normal 9 4 35" xfId="3211"/>
    <cellStyle name="Normal 9 4 35 10" xfId="3212"/>
    <cellStyle name="Normal 9 4 35 10 2" xfId="3213"/>
    <cellStyle name="Normal 9 4 35 11" xfId="3214"/>
    <cellStyle name="Normal 9 4 35 11 2" xfId="3215"/>
    <cellStyle name="Normal 9 4 35 12" xfId="3216"/>
    <cellStyle name="Normal 9 4 35 2" xfId="3217"/>
    <cellStyle name="Normal 9 4 35 2 2" xfId="3218"/>
    <cellStyle name="Normal 9 4 35 3" xfId="3219"/>
    <cellStyle name="Normal 9 4 35 3 2" xfId="3220"/>
    <cellStyle name="Normal 9 4 35 4" xfId="3221"/>
    <cellStyle name="Normal 9 4 35 4 2" xfId="3222"/>
    <cellStyle name="Normal 9 4 35 5" xfId="3223"/>
    <cellStyle name="Normal 9 4 35 5 2" xfId="3224"/>
    <cellStyle name="Normal 9 4 35 6" xfId="3225"/>
    <cellStyle name="Normal 9 4 35 6 2" xfId="3226"/>
    <cellStyle name="Normal 9 4 35 7" xfId="3227"/>
    <cellStyle name="Normal 9 4 35 7 2" xfId="3228"/>
    <cellStyle name="Normal 9 4 35 8" xfId="3229"/>
    <cellStyle name="Normal 9 4 35 8 2" xfId="3230"/>
    <cellStyle name="Normal 9 4 35 9" xfId="3231"/>
    <cellStyle name="Normal 9 4 35 9 2" xfId="3232"/>
    <cellStyle name="Normal 9 4 36" xfId="3233"/>
    <cellStyle name="Normal 9 4 36 10" xfId="3234"/>
    <cellStyle name="Normal 9 4 36 10 2" xfId="3235"/>
    <cellStyle name="Normal 9 4 36 11" xfId="3236"/>
    <cellStyle name="Normal 9 4 36 11 2" xfId="3237"/>
    <cellStyle name="Normal 9 4 36 12" xfId="3238"/>
    <cellStyle name="Normal 9 4 36 2" xfId="3239"/>
    <cellStyle name="Normal 9 4 36 2 2" xfId="3240"/>
    <cellStyle name="Normal 9 4 36 3" xfId="3241"/>
    <cellStyle name="Normal 9 4 36 3 2" xfId="3242"/>
    <cellStyle name="Normal 9 4 36 4" xfId="3243"/>
    <cellStyle name="Normal 9 4 36 4 2" xfId="3244"/>
    <cellStyle name="Normal 9 4 36 5" xfId="3245"/>
    <cellStyle name="Normal 9 4 36 5 2" xfId="3246"/>
    <cellStyle name="Normal 9 4 36 6" xfId="3247"/>
    <cellStyle name="Normal 9 4 36 6 2" xfId="3248"/>
    <cellStyle name="Normal 9 4 36 7" xfId="3249"/>
    <cellStyle name="Normal 9 4 36 7 2" xfId="3250"/>
    <cellStyle name="Normal 9 4 36 8" xfId="3251"/>
    <cellStyle name="Normal 9 4 36 8 2" xfId="3252"/>
    <cellStyle name="Normal 9 4 36 9" xfId="3253"/>
    <cellStyle name="Normal 9 4 36 9 2" xfId="3254"/>
    <cellStyle name="Normal 9 4 37" xfId="3255"/>
    <cellStyle name="Normal 9 4 37 10" xfId="3256"/>
    <cellStyle name="Normal 9 4 37 10 2" xfId="3257"/>
    <cellStyle name="Normal 9 4 37 11" xfId="3258"/>
    <cellStyle name="Normal 9 4 37 11 2" xfId="3259"/>
    <cellStyle name="Normal 9 4 37 12" xfId="3260"/>
    <cellStyle name="Normal 9 4 37 2" xfId="3261"/>
    <cellStyle name="Normal 9 4 37 2 2" xfId="3262"/>
    <cellStyle name="Normal 9 4 37 3" xfId="3263"/>
    <cellStyle name="Normal 9 4 37 3 2" xfId="3264"/>
    <cellStyle name="Normal 9 4 37 4" xfId="3265"/>
    <cellStyle name="Normal 9 4 37 4 2" xfId="3266"/>
    <cellStyle name="Normal 9 4 37 5" xfId="3267"/>
    <cellStyle name="Normal 9 4 37 5 2" xfId="3268"/>
    <cellStyle name="Normal 9 4 37 6" xfId="3269"/>
    <cellStyle name="Normal 9 4 37 6 2" xfId="3270"/>
    <cellStyle name="Normal 9 4 37 7" xfId="3271"/>
    <cellStyle name="Normal 9 4 37 7 2" xfId="3272"/>
    <cellStyle name="Normal 9 4 37 8" xfId="3273"/>
    <cellStyle name="Normal 9 4 37 8 2" xfId="3274"/>
    <cellStyle name="Normal 9 4 37 9" xfId="3275"/>
    <cellStyle name="Normal 9 4 37 9 2" xfId="3276"/>
    <cellStyle name="Normal 9 4 38" xfId="3277"/>
    <cellStyle name="Normal 9 4 38 10" xfId="3278"/>
    <cellStyle name="Normal 9 4 38 10 2" xfId="3279"/>
    <cellStyle name="Normal 9 4 38 11" xfId="3280"/>
    <cellStyle name="Normal 9 4 38 11 2" xfId="3281"/>
    <cellStyle name="Normal 9 4 38 12" xfId="3282"/>
    <cellStyle name="Normal 9 4 38 2" xfId="3283"/>
    <cellStyle name="Normal 9 4 38 2 2" xfId="3284"/>
    <cellStyle name="Normal 9 4 38 3" xfId="3285"/>
    <cellStyle name="Normal 9 4 38 3 2" xfId="3286"/>
    <cellStyle name="Normal 9 4 38 4" xfId="3287"/>
    <cellStyle name="Normal 9 4 38 4 2" xfId="3288"/>
    <cellStyle name="Normal 9 4 38 5" xfId="3289"/>
    <cellStyle name="Normal 9 4 38 5 2" xfId="3290"/>
    <cellStyle name="Normal 9 4 38 6" xfId="3291"/>
    <cellStyle name="Normal 9 4 38 6 2" xfId="3292"/>
    <cellStyle name="Normal 9 4 38 7" xfId="3293"/>
    <cellStyle name="Normal 9 4 38 7 2" xfId="3294"/>
    <cellStyle name="Normal 9 4 38 8" xfId="3295"/>
    <cellStyle name="Normal 9 4 38 8 2" xfId="3296"/>
    <cellStyle name="Normal 9 4 38 9" xfId="3297"/>
    <cellStyle name="Normal 9 4 38 9 2" xfId="3298"/>
    <cellStyle name="Normal 9 4 39" xfId="3299"/>
    <cellStyle name="Normal 9 4 39 10" xfId="3300"/>
    <cellStyle name="Normal 9 4 39 10 2" xfId="3301"/>
    <cellStyle name="Normal 9 4 39 11" xfId="3302"/>
    <cellStyle name="Normal 9 4 39 11 2" xfId="3303"/>
    <cellStyle name="Normal 9 4 39 12" xfId="3304"/>
    <cellStyle name="Normal 9 4 39 2" xfId="3305"/>
    <cellStyle name="Normal 9 4 39 2 2" xfId="3306"/>
    <cellStyle name="Normal 9 4 39 3" xfId="3307"/>
    <cellStyle name="Normal 9 4 39 3 2" xfId="3308"/>
    <cellStyle name="Normal 9 4 39 4" xfId="3309"/>
    <cellStyle name="Normal 9 4 39 4 2" xfId="3310"/>
    <cellStyle name="Normal 9 4 39 5" xfId="3311"/>
    <cellStyle name="Normal 9 4 39 5 2" xfId="3312"/>
    <cellStyle name="Normal 9 4 39 6" xfId="3313"/>
    <cellStyle name="Normal 9 4 39 6 2" xfId="3314"/>
    <cellStyle name="Normal 9 4 39 7" xfId="3315"/>
    <cellStyle name="Normal 9 4 39 7 2" xfId="3316"/>
    <cellStyle name="Normal 9 4 39 8" xfId="3317"/>
    <cellStyle name="Normal 9 4 39 8 2" xfId="3318"/>
    <cellStyle name="Normal 9 4 39 9" xfId="3319"/>
    <cellStyle name="Normal 9 4 39 9 2" xfId="3320"/>
    <cellStyle name="Normal 9 4 4" xfId="3321"/>
    <cellStyle name="Normal 9 4 4 10" xfId="3322"/>
    <cellStyle name="Normal 9 4 4 10 2" xfId="3323"/>
    <cellStyle name="Normal 9 4 4 11" xfId="3324"/>
    <cellStyle name="Normal 9 4 4 11 2" xfId="3325"/>
    <cellStyle name="Normal 9 4 4 12" xfId="3326"/>
    <cellStyle name="Normal 9 4 4 2" xfId="3327"/>
    <cellStyle name="Normal 9 4 4 2 2" xfId="3328"/>
    <cellStyle name="Normal 9 4 4 3" xfId="3329"/>
    <cellStyle name="Normal 9 4 4 3 2" xfId="3330"/>
    <cellStyle name="Normal 9 4 4 4" xfId="3331"/>
    <cellStyle name="Normal 9 4 4 4 2" xfId="3332"/>
    <cellStyle name="Normal 9 4 4 5" xfId="3333"/>
    <cellStyle name="Normal 9 4 4 5 2" xfId="3334"/>
    <cellStyle name="Normal 9 4 4 6" xfId="3335"/>
    <cellStyle name="Normal 9 4 4 6 2" xfId="3336"/>
    <cellStyle name="Normal 9 4 4 7" xfId="3337"/>
    <cellStyle name="Normal 9 4 4 7 2" xfId="3338"/>
    <cellStyle name="Normal 9 4 4 8" xfId="3339"/>
    <cellStyle name="Normal 9 4 4 8 2" xfId="3340"/>
    <cellStyle name="Normal 9 4 4 9" xfId="3341"/>
    <cellStyle name="Normal 9 4 4 9 2" xfId="3342"/>
    <cellStyle name="Normal 9 4 40" xfId="3343"/>
    <cellStyle name="Normal 9 4 40 2" xfId="3344"/>
    <cellStyle name="Normal 9 4 41" xfId="3345"/>
    <cellStyle name="Normal 9 4 41 2" xfId="3346"/>
    <cellStyle name="Normal 9 4 42" xfId="3347"/>
    <cellStyle name="Normal 9 4 42 2" xfId="3348"/>
    <cellStyle name="Normal 9 4 43" xfId="3349"/>
    <cellStyle name="Normal 9 4 43 2" xfId="3350"/>
    <cellStyle name="Normal 9 4 44" xfId="3351"/>
    <cellStyle name="Normal 9 4 44 2" xfId="3352"/>
    <cellStyle name="Normal 9 4 45" xfId="3353"/>
    <cellStyle name="Normal 9 4 45 2" xfId="3354"/>
    <cellStyle name="Normal 9 4 46" xfId="3355"/>
    <cellStyle name="Normal 9 4 46 2" xfId="3356"/>
    <cellStyle name="Normal 9 4 47" xfId="3357"/>
    <cellStyle name="Normal 9 4 47 2" xfId="3358"/>
    <cellStyle name="Normal 9 4 48" xfId="3359"/>
    <cellStyle name="Normal 9 4 48 2" xfId="3360"/>
    <cellStyle name="Normal 9 4 49" xfId="3361"/>
    <cellStyle name="Normal 9 4 49 2" xfId="3362"/>
    <cellStyle name="Normal 9 4 5" xfId="3363"/>
    <cellStyle name="Normal 9 4 5 10" xfId="3364"/>
    <cellStyle name="Normal 9 4 5 10 2" xfId="3365"/>
    <cellStyle name="Normal 9 4 5 11" xfId="3366"/>
    <cellStyle name="Normal 9 4 5 11 2" xfId="3367"/>
    <cellStyle name="Normal 9 4 5 12" xfId="3368"/>
    <cellStyle name="Normal 9 4 5 2" xfId="3369"/>
    <cellStyle name="Normal 9 4 5 2 2" xfId="3370"/>
    <cellStyle name="Normal 9 4 5 3" xfId="3371"/>
    <cellStyle name="Normal 9 4 5 3 2" xfId="3372"/>
    <cellStyle name="Normal 9 4 5 4" xfId="3373"/>
    <cellStyle name="Normal 9 4 5 4 2" xfId="3374"/>
    <cellStyle name="Normal 9 4 5 5" xfId="3375"/>
    <cellStyle name="Normal 9 4 5 5 2" xfId="3376"/>
    <cellStyle name="Normal 9 4 5 6" xfId="3377"/>
    <cellStyle name="Normal 9 4 5 6 2" xfId="3378"/>
    <cellStyle name="Normal 9 4 5 7" xfId="3379"/>
    <cellStyle name="Normal 9 4 5 7 2" xfId="3380"/>
    <cellStyle name="Normal 9 4 5 8" xfId="3381"/>
    <cellStyle name="Normal 9 4 5 8 2" xfId="3382"/>
    <cellStyle name="Normal 9 4 5 9" xfId="3383"/>
    <cellStyle name="Normal 9 4 5 9 2" xfId="3384"/>
    <cellStyle name="Normal 9 4 50" xfId="3385"/>
    <cellStyle name="Normal 9 4 50 2" xfId="3386"/>
    <cellStyle name="Normal 9 4 51" xfId="3387"/>
    <cellStyle name="Normal 9 4 51 2" xfId="3388"/>
    <cellStyle name="Normal 9 4 52" xfId="3389"/>
    <cellStyle name="Normal 9 4 6" xfId="3390"/>
    <cellStyle name="Normal 9 4 6 10" xfId="3391"/>
    <cellStyle name="Normal 9 4 6 10 2" xfId="3392"/>
    <cellStyle name="Normal 9 4 6 11" xfId="3393"/>
    <cellStyle name="Normal 9 4 6 11 2" xfId="3394"/>
    <cellStyle name="Normal 9 4 6 12" xfId="3395"/>
    <cellStyle name="Normal 9 4 6 2" xfId="3396"/>
    <cellStyle name="Normal 9 4 6 2 2" xfId="3397"/>
    <cellStyle name="Normal 9 4 6 3" xfId="3398"/>
    <cellStyle name="Normal 9 4 6 3 2" xfId="3399"/>
    <cellStyle name="Normal 9 4 6 4" xfId="3400"/>
    <cellStyle name="Normal 9 4 6 4 2" xfId="3401"/>
    <cellStyle name="Normal 9 4 6 5" xfId="3402"/>
    <cellStyle name="Normal 9 4 6 5 2" xfId="3403"/>
    <cellStyle name="Normal 9 4 6 6" xfId="3404"/>
    <cellStyle name="Normal 9 4 6 6 2" xfId="3405"/>
    <cellStyle name="Normal 9 4 6 7" xfId="3406"/>
    <cellStyle name="Normal 9 4 6 7 2" xfId="3407"/>
    <cellStyle name="Normal 9 4 6 8" xfId="3408"/>
    <cellStyle name="Normal 9 4 6 8 2" xfId="3409"/>
    <cellStyle name="Normal 9 4 6 9" xfId="3410"/>
    <cellStyle name="Normal 9 4 6 9 2" xfId="3411"/>
    <cellStyle name="Normal 9 4 7" xfId="3412"/>
    <cellStyle name="Normal 9 4 7 10" xfId="3413"/>
    <cellStyle name="Normal 9 4 7 10 2" xfId="3414"/>
    <cellStyle name="Normal 9 4 7 11" xfId="3415"/>
    <cellStyle name="Normal 9 4 7 11 2" xfId="3416"/>
    <cellStyle name="Normal 9 4 7 12" xfId="3417"/>
    <cellStyle name="Normal 9 4 7 2" xfId="3418"/>
    <cellStyle name="Normal 9 4 7 2 2" xfId="3419"/>
    <cellStyle name="Normal 9 4 7 3" xfId="3420"/>
    <cellStyle name="Normal 9 4 7 3 2" xfId="3421"/>
    <cellStyle name="Normal 9 4 7 4" xfId="3422"/>
    <cellStyle name="Normal 9 4 7 4 2" xfId="3423"/>
    <cellStyle name="Normal 9 4 7 5" xfId="3424"/>
    <cellStyle name="Normal 9 4 7 5 2" xfId="3425"/>
    <cellStyle name="Normal 9 4 7 6" xfId="3426"/>
    <cellStyle name="Normal 9 4 7 6 2" xfId="3427"/>
    <cellStyle name="Normal 9 4 7 7" xfId="3428"/>
    <cellStyle name="Normal 9 4 7 7 2" xfId="3429"/>
    <cellStyle name="Normal 9 4 7 8" xfId="3430"/>
    <cellStyle name="Normal 9 4 7 8 2" xfId="3431"/>
    <cellStyle name="Normal 9 4 7 9" xfId="3432"/>
    <cellStyle name="Normal 9 4 7 9 2" xfId="3433"/>
    <cellStyle name="Normal 9 4 8" xfId="3434"/>
    <cellStyle name="Normal 9 4 8 10" xfId="3435"/>
    <cellStyle name="Normal 9 4 8 10 2" xfId="3436"/>
    <cellStyle name="Normal 9 4 8 11" xfId="3437"/>
    <cellStyle name="Normal 9 4 8 11 2" xfId="3438"/>
    <cellStyle name="Normal 9 4 8 12" xfId="3439"/>
    <cellStyle name="Normal 9 4 8 2" xfId="3440"/>
    <cellStyle name="Normal 9 4 8 2 2" xfId="3441"/>
    <cellStyle name="Normal 9 4 8 3" xfId="3442"/>
    <cellStyle name="Normal 9 4 8 3 2" xfId="3443"/>
    <cellStyle name="Normal 9 4 8 4" xfId="3444"/>
    <cellStyle name="Normal 9 4 8 4 2" xfId="3445"/>
    <cellStyle name="Normal 9 4 8 5" xfId="3446"/>
    <cellStyle name="Normal 9 4 8 5 2" xfId="3447"/>
    <cellStyle name="Normal 9 4 8 6" xfId="3448"/>
    <cellStyle name="Normal 9 4 8 6 2" xfId="3449"/>
    <cellStyle name="Normal 9 4 8 7" xfId="3450"/>
    <cellStyle name="Normal 9 4 8 7 2" xfId="3451"/>
    <cellStyle name="Normal 9 4 8 8" xfId="3452"/>
    <cellStyle name="Normal 9 4 8 8 2" xfId="3453"/>
    <cellStyle name="Normal 9 4 8 9" xfId="3454"/>
    <cellStyle name="Normal 9 4 8 9 2" xfId="3455"/>
    <cellStyle name="Normal 9 4 9" xfId="3456"/>
    <cellStyle name="Normal 9 4 9 10" xfId="3457"/>
    <cellStyle name="Normal 9 4 9 10 2" xfId="3458"/>
    <cellStyle name="Normal 9 4 9 11" xfId="3459"/>
    <cellStyle name="Normal 9 4 9 11 2" xfId="3460"/>
    <cellStyle name="Normal 9 4 9 12" xfId="3461"/>
    <cellStyle name="Normal 9 4 9 2" xfId="3462"/>
    <cellStyle name="Normal 9 4 9 2 2" xfId="3463"/>
    <cellStyle name="Normal 9 4 9 3" xfId="3464"/>
    <cellStyle name="Normal 9 4 9 3 2" xfId="3465"/>
    <cellStyle name="Normal 9 4 9 4" xfId="3466"/>
    <cellStyle name="Normal 9 4 9 4 2" xfId="3467"/>
    <cellStyle name="Normal 9 4 9 5" xfId="3468"/>
    <cellStyle name="Normal 9 4 9 5 2" xfId="3469"/>
    <cellStyle name="Normal 9 4 9 6" xfId="3470"/>
    <cellStyle name="Normal 9 4 9 6 2" xfId="3471"/>
    <cellStyle name="Normal 9 4 9 7" xfId="3472"/>
    <cellStyle name="Normal 9 4 9 7 2" xfId="3473"/>
    <cellStyle name="Normal 9 4 9 8" xfId="3474"/>
    <cellStyle name="Normal 9 4 9 8 2" xfId="3475"/>
    <cellStyle name="Normal 9 4 9 9" xfId="3476"/>
    <cellStyle name="Normal 9 4 9 9 2" xfId="3477"/>
    <cellStyle name="Normal 9 40" xfId="3478"/>
    <cellStyle name="Normal 9 40 10" xfId="3479"/>
    <cellStyle name="Normal 9 40 10 2" xfId="3480"/>
    <cellStyle name="Normal 9 40 11" xfId="3481"/>
    <cellStyle name="Normal 9 40 11 2" xfId="3482"/>
    <cellStyle name="Normal 9 40 12" xfId="3483"/>
    <cellStyle name="Normal 9 40 2" xfId="3484"/>
    <cellStyle name="Normal 9 40 2 2" xfId="3485"/>
    <cellStyle name="Normal 9 40 3" xfId="3486"/>
    <cellStyle name="Normal 9 40 3 2" xfId="3487"/>
    <cellStyle name="Normal 9 40 4" xfId="3488"/>
    <cellStyle name="Normal 9 40 4 2" xfId="3489"/>
    <cellStyle name="Normal 9 40 5" xfId="3490"/>
    <cellStyle name="Normal 9 40 5 2" xfId="3491"/>
    <cellStyle name="Normal 9 40 6" xfId="3492"/>
    <cellStyle name="Normal 9 40 6 2" xfId="3493"/>
    <cellStyle name="Normal 9 40 7" xfId="3494"/>
    <cellStyle name="Normal 9 40 7 2" xfId="3495"/>
    <cellStyle name="Normal 9 40 8" xfId="3496"/>
    <cellStyle name="Normal 9 40 8 2" xfId="3497"/>
    <cellStyle name="Normal 9 40 9" xfId="3498"/>
    <cellStyle name="Normal 9 40 9 2" xfId="3499"/>
    <cellStyle name="Normal 9 41" xfId="3500"/>
    <cellStyle name="Normal 9 41 10" xfId="3501"/>
    <cellStyle name="Normal 9 41 10 2" xfId="3502"/>
    <cellStyle name="Normal 9 41 11" xfId="3503"/>
    <cellStyle name="Normal 9 41 11 2" xfId="3504"/>
    <cellStyle name="Normal 9 41 12" xfId="3505"/>
    <cellStyle name="Normal 9 41 2" xfId="3506"/>
    <cellStyle name="Normal 9 41 2 2" xfId="3507"/>
    <cellStyle name="Normal 9 41 3" xfId="3508"/>
    <cellStyle name="Normal 9 41 3 2" xfId="3509"/>
    <cellStyle name="Normal 9 41 4" xfId="3510"/>
    <cellStyle name="Normal 9 41 4 2" xfId="3511"/>
    <cellStyle name="Normal 9 41 5" xfId="3512"/>
    <cellStyle name="Normal 9 41 5 2" xfId="3513"/>
    <cellStyle name="Normal 9 41 6" xfId="3514"/>
    <cellStyle name="Normal 9 41 6 2" xfId="3515"/>
    <cellStyle name="Normal 9 41 7" xfId="3516"/>
    <cellStyle name="Normal 9 41 7 2" xfId="3517"/>
    <cellStyle name="Normal 9 41 8" xfId="3518"/>
    <cellStyle name="Normal 9 41 8 2" xfId="3519"/>
    <cellStyle name="Normal 9 41 9" xfId="3520"/>
    <cellStyle name="Normal 9 41 9 2" xfId="3521"/>
    <cellStyle name="Normal 9 42" xfId="3522"/>
    <cellStyle name="Normal 9 42 10" xfId="3523"/>
    <cellStyle name="Normal 9 42 10 2" xfId="3524"/>
    <cellStyle name="Normal 9 42 11" xfId="3525"/>
    <cellStyle name="Normal 9 42 11 2" xfId="3526"/>
    <cellStyle name="Normal 9 42 12" xfId="3527"/>
    <cellStyle name="Normal 9 42 2" xfId="3528"/>
    <cellStyle name="Normal 9 42 2 2" xfId="3529"/>
    <cellStyle name="Normal 9 42 3" xfId="3530"/>
    <cellStyle name="Normal 9 42 3 2" xfId="3531"/>
    <cellStyle name="Normal 9 42 4" xfId="3532"/>
    <cellStyle name="Normal 9 42 4 2" xfId="3533"/>
    <cellStyle name="Normal 9 42 5" xfId="3534"/>
    <cellStyle name="Normal 9 42 5 2" xfId="3535"/>
    <cellStyle name="Normal 9 42 6" xfId="3536"/>
    <cellStyle name="Normal 9 42 6 2" xfId="3537"/>
    <cellStyle name="Normal 9 42 7" xfId="3538"/>
    <cellStyle name="Normal 9 42 7 2" xfId="3539"/>
    <cellStyle name="Normal 9 42 8" xfId="3540"/>
    <cellStyle name="Normal 9 42 8 2" xfId="3541"/>
    <cellStyle name="Normal 9 42 9" xfId="3542"/>
    <cellStyle name="Normal 9 42 9 2" xfId="3543"/>
    <cellStyle name="Normal 9 43" xfId="3544"/>
    <cellStyle name="Normal 9 43 10" xfId="3545"/>
    <cellStyle name="Normal 9 43 10 2" xfId="3546"/>
    <cellStyle name="Normal 9 43 11" xfId="3547"/>
    <cellStyle name="Normal 9 43 11 2" xfId="3548"/>
    <cellStyle name="Normal 9 43 12" xfId="3549"/>
    <cellStyle name="Normal 9 43 2" xfId="3550"/>
    <cellStyle name="Normal 9 43 2 2" xfId="3551"/>
    <cellStyle name="Normal 9 43 3" xfId="3552"/>
    <cellStyle name="Normal 9 43 3 2" xfId="3553"/>
    <cellStyle name="Normal 9 43 4" xfId="3554"/>
    <cellStyle name="Normal 9 43 4 2" xfId="3555"/>
    <cellStyle name="Normal 9 43 5" xfId="3556"/>
    <cellStyle name="Normal 9 43 5 2" xfId="3557"/>
    <cellStyle name="Normal 9 43 6" xfId="3558"/>
    <cellStyle name="Normal 9 43 6 2" xfId="3559"/>
    <cellStyle name="Normal 9 43 7" xfId="3560"/>
    <cellStyle name="Normal 9 43 7 2" xfId="3561"/>
    <cellStyle name="Normal 9 43 8" xfId="3562"/>
    <cellStyle name="Normal 9 43 8 2" xfId="3563"/>
    <cellStyle name="Normal 9 43 9" xfId="3564"/>
    <cellStyle name="Normal 9 43 9 2" xfId="3565"/>
    <cellStyle name="Normal 9 44" xfId="3566"/>
    <cellStyle name="Normal 9 44 10" xfId="3567"/>
    <cellStyle name="Normal 9 44 10 2" xfId="3568"/>
    <cellStyle name="Normal 9 44 11" xfId="3569"/>
    <cellStyle name="Normal 9 44 11 2" xfId="3570"/>
    <cellStyle name="Normal 9 44 12" xfId="3571"/>
    <cellStyle name="Normal 9 44 2" xfId="3572"/>
    <cellStyle name="Normal 9 44 2 2" xfId="3573"/>
    <cellStyle name="Normal 9 44 3" xfId="3574"/>
    <cellStyle name="Normal 9 44 3 2" xfId="3575"/>
    <cellStyle name="Normal 9 44 4" xfId="3576"/>
    <cellStyle name="Normal 9 44 4 2" xfId="3577"/>
    <cellStyle name="Normal 9 44 5" xfId="3578"/>
    <cellStyle name="Normal 9 44 5 2" xfId="3579"/>
    <cellStyle name="Normal 9 44 6" xfId="3580"/>
    <cellStyle name="Normal 9 44 6 2" xfId="3581"/>
    <cellStyle name="Normal 9 44 7" xfId="3582"/>
    <cellStyle name="Normal 9 44 7 2" xfId="3583"/>
    <cellStyle name="Normal 9 44 8" xfId="3584"/>
    <cellStyle name="Normal 9 44 8 2" xfId="3585"/>
    <cellStyle name="Normal 9 44 9" xfId="3586"/>
    <cellStyle name="Normal 9 44 9 2" xfId="3587"/>
    <cellStyle name="Normal 9 45" xfId="3588"/>
    <cellStyle name="Normal 9 45 2" xfId="3589"/>
    <cellStyle name="Normal 9 46" xfId="3590"/>
    <cellStyle name="Normal 9 46 2" xfId="3591"/>
    <cellStyle name="Normal 9 47" xfId="3592"/>
    <cellStyle name="Normal 9 47 2" xfId="3593"/>
    <cellStyle name="Normal 9 48" xfId="3594"/>
    <cellStyle name="Normal 9 48 2" xfId="3595"/>
    <cellStyle name="Normal 9 49" xfId="3596"/>
    <cellStyle name="Normal 9 49 2" xfId="3597"/>
    <cellStyle name="Normal 9 5" xfId="3598"/>
    <cellStyle name="Normal 9 5 10" xfId="3599"/>
    <cellStyle name="Normal 9 5 10 10" xfId="3600"/>
    <cellStyle name="Normal 9 5 10 10 2" xfId="3601"/>
    <cellStyle name="Normal 9 5 10 11" xfId="3602"/>
    <cellStyle name="Normal 9 5 10 11 2" xfId="3603"/>
    <cellStyle name="Normal 9 5 10 12" xfId="3604"/>
    <cellStyle name="Normal 9 5 10 2" xfId="3605"/>
    <cellStyle name="Normal 9 5 10 2 2" xfId="3606"/>
    <cellStyle name="Normal 9 5 10 3" xfId="3607"/>
    <cellStyle name="Normal 9 5 10 3 2" xfId="3608"/>
    <cellStyle name="Normal 9 5 10 4" xfId="3609"/>
    <cellStyle name="Normal 9 5 10 4 2" xfId="3610"/>
    <cellStyle name="Normal 9 5 10 5" xfId="3611"/>
    <cellStyle name="Normal 9 5 10 5 2" xfId="3612"/>
    <cellStyle name="Normal 9 5 10 6" xfId="3613"/>
    <cellStyle name="Normal 9 5 10 6 2" xfId="3614"/>
    <cellStyle name="Normal 9 5 10 7" xfId="3615"/>
    <cellStyle name="Normal 9 5 10 7 2" xfId="3616"/>
    <cellStyle name="Normal 9 5 10 8" xfId="3617"/>
    <cellStyle name="Normal 9 5 10 8 2" xfId="3618"/>
    <cellStyle name="Normal 9 5 10 9" xfId="3619"/>
    <cellStyle name="Normal 9 5 10 9 2" xfId="3620"/>
    <cellStyle name="Normal 9 5 11" xfId="3621"/>
    <cellStyle name="Normal 9 5 11 10" xfId="3622"/>
    <cellStyle name="Normal 9 5 11 10 2" xfId="3623"/>
    <cellStyle name="Normal 9 5 11 11" xfId="3624"/>
    <cellStyle name="Normal 9 5 11 11 2" xfId="3625"/>
    <cellStyle name="Normal 9 5 11 12" xfId="3626"/>
    <cellStyle name="Normal 9 5 11 2" xfId="3627"/>
    <cellStyle name="Normal 9 5 11 2 2" xfId="3628"/>
    <cellStyle name="Normal 9 5 11 3" xfId="3629"/>
    <cellStyle name="Normal 9 5 11 3 2" xfId="3630"/>
    <cellStyle name="Normal 9 5 11 4" xfId="3631"/>
    <cellStyle name="Normal 9 5 11 4 2" xfId="3632"/>
    <cellStyle name="Normal 9 5 11 5" xfId="3633"/>
    <cellStyle name="Normal 9 5 11 5 2" xfId="3634"/>
    <cellStyle name="Normal 9 5 11 6" xfId="3635"/>
    <cellStyle name="Normal 9 5 11 6 2" xfId="3636"/>
    <cellStyle name="Normal 9 5 11 7" xfId="3637"/>
    <cellStyle name="Normal 9 5 11 7 2" xfId="3638"/>
    <cellStyle name="Normal 9 5 11 8" xfId="3639"/>
    <cellStyle name="Normal 9 5 11 8 2" xfId="3640"/>
    <cellStyle name="Normal 9 5 11 9" xfId="3641"/>
    <cellStyle name="Normal 9 5 11 9 2" xfId="3642"/>
    <cellStyle name="Normal 9 5 12" xfId="3643"/>
    <cellStyle name="Normal 9 5 12 10" xfId="3644"/>
    <cellStyle name="Normal 9 5 12 10 2" xfId="3645"/>
    <cellStyle name="Normal 9 5 12 11" xfId="3646"/>
    <cellStyle name="Normal 9 5 12 11 2" xfId="3647"/>
    <cellStyle name="Normal 9 5 12 12" xfId="3648"/>
    <cellStyle name="Normal 9 5 12 2" xfId="3649"/>
    <cellStyle name="Normal 9 5 12 2 2" xfId="3650"/>
    <cellStyle name="Normal 9 5 12 3" xfId="3651"/>
    <cellStyle name="Normal 9 5 12 3 2" xfId="3652"/>
    <cellStyle name="Normal 9 5 12 4" xfId="3653"/>
    <cellStyle name="Normal 9 5 12 4 2" xfId="3654"/>
    <cellStyle name="Normal 9 5 12 5" xfId="3655"/>
    <cellStyle name="Normal 9 5 12 5 2" xfId="3656"/>
    <cellStyle name="Normal 9 5 12 6" xfId="3657"/>
    <cellStyle name="Normal 9 5 12 6 2" xfId="3658"/>
    <cellStyle name="Normal 9 5 12 7" xfId="3659"/>
    <cellStyle name="Normal 9 5 12 7 2" xfId="3660"/>
    <cellStyle name="Normal 9 5 12 8" xfId="3661"/>
    <cellStyle name="Normal 9 5 12 8 2" xfId="3662"/>
    <cellStyle name="Normal 9 5 12 9" xfId="3663"/>
    <cellStyle name="Normal 9 5 12 9 2" xfId="3664"/>
    <cellStyle name="Normal 9 5 13" xfId="3665"/>
    <cellStyle name="Normal 9 5 13 10" xfId="3666"/>
    <cellStyle name="Normal 9 5 13 10 2" xfId="3667"/>
    <cellStyle name="Normal 9 5 13 11" xfId="3668"/>
    <cellStyle name="Normal 9 5 13 11 2" xfId="3669"/>
    <cellStyle name="Normal 9 5 13 12" xfId="3670"/>
    <cellStyle name="Normal 9 5 13 2" xfId="3671"/>
    <cellStyle name="Normal 9 5 13 2 2" xfId="3672"/>
    <cellStyle name="Normal 9 5 13 3" xfId="3673"/>
    <cellStyle name="Normal 9 5 13 3 2" xfId="3674"/>
    <cellStyle name="Normal 9 5 13 4" xfId="3675"/>
    <cellStyle name="Normal 9 5 13 4 2" xfId="3676"/>
    <cellStyle name="Normal 9 5 13 5" xfId="3677"/>
    <cellStyle name="Normal 9 5 13 5 2" xfId="3678"/>
    <cellStyle name="Normal 9 5 13 6" xfId="3679"/>
    <cellStyle name="Normal 9 5 13 6 2" xfId="3680"/>
    <cellStyle name="Normal 9 5 13 7" xfId="3681"/>
    <cellStyle name="Normal 9 5 13 7 2" xfId="3682"/>
    <cellStyle name="Normal 9 5 13 8" xfId="3683"/>
    <cellStyle name="Normal 9 5 13 8 2" xfId="3684"/>
    <cellStyle name="Normal 9 5 13 9" xfId="3685"/>
    <cellStyle name="Normal 9 5 13 9 2" xfId="3686"/>
    <cellStyle name="Normal 9 5 14" xfId="3687"/>
    <cellStyle name="Normal 9 5 14 10" xfId="3688"/>
    <cellStyle name="Normal 9 5 14 10 2" xfId="3689"/>
    <cellStyle name="Normal 9 5 14 11" xfId="3690"/>
    <cellStyle name="Normal 9 5 14 11 2" xfId="3691"/>
    <cellStyle name="Normal 9 5 14 12" xfId="3692"/>
    <cellStyle name="Normal 9 5 14 2" xfId="3693"/>
    <cellStyle name="Normal 9 5 14 2 2" xfId="3694"/>
    <cellStyle name="Normal 9 5 14 3" xfId="3695"/>
    <cellStyle name="Normal 9 5 14 3 2" xfId="3696"/>
    <cellStyle name="Normal 9 5 14 4" xfId="3697"/>
    <cellStyle name="Normal 9 5 14 4 2" xfId="3698"/>
    <cellStyle name="Normal 9 5 14 5" xfId="3699"/>
    <cellStyle name="Normal 9 5 14 5 2" xfId="3700"/>
    <cellStyle name="Normal 9 5 14 6" xfId="3701"/>
    <cellStyle name="Normal 9 5 14 6 2" xfId="3702"/>
    <cellStyle name="Normal 9 5 14 7" xfId="3703"/>
    <cellStyle name="Normal 9 5 14 7 2" xfId="3704"/>
    <cellStyle name="Normal 9 5 14 8" xfId="3705"/>
    <cellStyle name="Normal 9 5 14 8 2" xfId="3706"/>
    <cellStyle name="Normal 9 5 14 9" xfId="3707"/>
    <cellStyle name="Normal 9 5 14 9 2" xfId="3708"/>
    <cellStyle name="Normal 9 5 15" xfId="3709"/>
    <cellStyle name="Normal 9 5 15 10" xfId="3710"/>
    <cellStyle name="Normal 9 5 15 10 2" xfId="3711"/>
    <cellStyle name="Normal 9 5 15 11" xfId="3712"/>
    <cellStyle name="Normal 9 5 15 11 2" xfId="3713"/>
    <cellStyle name="Normal 9 5 15 12" xfId="3714"/>
    <cellStyle name="Normal 9 5 15 2" xfId="3715"/>
    <cellStyle name="Normal 9 5 15 2 2" xfId="3716"/>
    <cellStyle name="Normal 9 5 15 3" xfId="3717"/>
    <cellStyle name="Normal 9 5 15 3 2" xfId="3718"/>
    <cellStyle name="Normal 9 5 15 4" xfId="3719"/>
    <cellStyle name="Normal 9 5 15 4 2" xfId="3720"/>
    <cellStyle name="Normal 9 5 15 5" xfId="3721"/>
    <cellStyle name="Normal 9 5 15 5 2" xfId="3722"/>
    <cellStyle name="Normal 9 5 15 6" xfId="3723"/>
    <cellStyle name="Normal 9 5 15 6 2" xfId="3724"/>
    <cellStyle name="Normal 9 5 15 7" xfId="3725"/>
    <cellStyle name="Normal 9 5 15 7 2" xfId="3726"/>
    <cellStyle name="Normal 9 5 15 8" xfId="3727"/>
    <cellStyle name="Normal 9 5 15 8 2" xfId="3728"/>
    <cellStyle name="Normal 9 5 15 9" xfId="3729"/>
    <cellStyle name="Normal 9 5 15 9 2" xfId="3730"/>
    <cellStyle name="Normal 9 5 16" xfId="3731"/>
    <cellStyle name="Normal 9 5 16 2" xfId="3732"/>
    <cellStyle name="Normal 9 5 17" xfId="3733"/>
    <cellStyle name="Normal 9 5 17 2" xfId="3734"/>
    <cellStyle name="Normal 9 5 18" xfId="3735"/>
    <cellStyle name="Normal 9 5 18 2" xfId="3736"/>
    <cellStyle name="Normal 9 5 19" xfId="3737"/>
    <cellStyle name="Normal 9 5 19 2" xfId="3738"/>
    <cellStyle name="Normal 9 5 2" xfId="3739"/>
    <cellStyle name="Normal 9 5 2 10" xfId="3740"/>
    <cellStyle name="Normal 9 5 2 10 2" xfId="3741"/>
    <cellStyle name="Normal 9 5 2 11" xfId="3742"/>
    <cellStyle name="Normal 9 5 2 11 2" xfId="3743"/>
    <cellStyle name="Normal 9 5 2 12" xfId="3744"/>
    <cellStyle name="Normal 9 5 2 2" xfId="3745"/>
    <cellStyle name="Normal 9 5 2 2 2" xfId="3746"/>
    <cellStyle name="Normal 9 5 2 3" xfId="3747"/>
    <cellStyle name="Normal 9 5 2 3 2" xfId="3748"/>
    <cellStyle name="Normal 9 5 2 4" xfId="3749"/>
    <cellStyle name="Normal 9 5 2 4 2" xfId="3750"/>
    <cellStyle name="Normal 9 5 2 5" xfId="3751"/>
    <cellStyle name="Normal 9 5 2 5 2" xfId="3752"/>
    <cellStyle name="Normal 9 5 2 6" xfId="3753"/>
    <cellStyle name="Normal 9 5 2 6 2" xfId="3754"/>
    <cellStyle name="Normal 9 5 2 7" xfId="3755"/>
    <cellStyle name="Normal 9 5 2 7 2" xfId="3756"/>
    <cellStyle name="Normal 9 5 2 8" xfId="3757"/>
    <cellStyle name="Normal 9 5 2 8 2" xfId="3758"/>
    <cellStyle name="Normal 9 5 2 9" xfId="3759"/>
    <cellStyle name="Normal 9 5 2 9 2" xfId="3760"/>
    <cellStyle name="Normal 9 5 20" xfId="3761"/>
    <cellStyle name="Normal 9 5 20 2" xfId="3762"/>
    <cellStyle name="Normal 9 5 21" xfId="3763"/>
    <cellStyle name="Normal 9 5 21 2" xfId="3764"/>
    <cellStyle name="Normal 9 5 22" xfId="3765"/>
    <cellStyle name="Normal 9 5 22 2" xfId="3766"/>
    <cellStyle name="Normal 9 5 23" xfId="3767"/>
    <cellStyle name="Normal 9 5 23 2" xfId="3768"/>
    <cellStyle name="Normal 9 5 24" xfId="3769"/>
    <cellStyle name="Normal 9 5 24 2" xfId="3770"/>
    <cellStyle name="Normal 9 5 25" xfId="3771"/>
    <cellStyle name="Normal 9 5 25 2" xfId="3772"/>
    <cellStyle name="Normal 9 5 26" xfId="3773"/>
    <cellStyle name="Normal 9 5 3" xfId="3774"/>
    <cellStyle name="Normal 9 5 3 10" xfId="3775"/>
    <cellStyle name="Normal 9 5 3 10 2" xfId="3776"/>
    <cellStyle name="Normal 9 5 3 11" xfId="3777"/>
    <cellStyle name="Normal 9 5 3 11 2" xfId="3778"/>
    <cellStyle name="Normal 9 5 3 12" xfId="3779"/>
    <cellStyle name="Normal 9 5 3 2" xfId="3780"/>
    <cellStyle name="Normal 9 5 3 2 2" xfId="3781"/>
    <cellStyle name="Normal 9 5 3 3" xfId="3782"/>
    <cellStyle name="Normal 9 5 3 3 2" xfId="3783"/>
    <cellStyle name="Normal 9 5 3 4" xfId="3784"/>
    <cellStyle name="Normal 9 5 3 4 2" xfId="3785"/>
    <cellStyle name="Normal 9 5 3 5" xfId="3786"/>
    <cellStyle name="Normal 9 5 3 5 2" xfId="3787"/>
    <cellStyle name="Normal 9 5 3 6" xfId="3788"/>
    <cellStyle name="Normal 9 5 3 6 2" xfId="3789"/>
    <cellStyle name="Normal 9 5 3 7" xfId="3790"/>
    <cellStyle name="Normal 9 5 3 7 2" xfId="3791"/>
    <cellStyle name="Normal 9 5 3 8" xfId="3792"/>
    <cellStyle name="Normal 9 5 3 8 2" xfId="3793"/>
    <cellStyle name="Normal 9 5 3 9" xfId="3794"/>
    <cellStyle name="Normal 9 5 3 9 2" xfId="3795"/>
    <cellStyle name="Normal 9 5 4" xfId="3796"/>
    <cellStyle name="Normal 9 5 4 10" xfId="3797"/>
    <cellStyle name="Normal 9 5 4 10 2" xfId="3798"/>
    <cellStyle name="Normal 9 5 4 11" xfId="3799"/>
    <cellStyle name="Normal 9 5 4 11 2" xfId="3800"/>
    <cellStyle name="Normal 9 5 4 12" xfId="3801"/>
    <cellStyle name="Normal 9 5 4 2" xfId="3802"/>
    <cellStyle name="Normal 9 5 4 2 2" xfId="3803"/>
    <cellStyle name="Normal 9 5 4 3" xfId="3804"/>
    <cellStyle name="Normal 9 5 4 3 2" xfId="3805"/>
    <cellStyle name="Normal 9 5 4 4" xfId="3806"/>
    <cellStyle name="Normal 9 5 4 4 2" xfId="3807"/>
    <cellStyle name="Normal 9 5 4 5" xfId="3808"/>
    <cellStyle name="Normal 9 5 4 5 2" xfId="3809"/>
    <cellStyle name="Normal 9 5 4 6" xfId="3810"/>
    <cellStyle name="Normal 9 5 4 6 2" xfId="3811"/>
    <cellStyle name="Normal 9 5 4 7" xfId="3812"/>
    <cellStyle name="Normal 9 5 4 7 2" xfId="3813"/>
    <cellStyle name="Normal 9 5 4 8" xfId="3814"/>
    <cellStyle name="Normal 9 5 4 8 2" xfId="3815"/>
    <cellStyle name="Normal 9 5 4 9" xfId="3816"/>
    <cellStyle name="Normal 9 5 4 9 2" xfId="3817"/>
    <cellStyle name="Normal 9 5 5" xfId="3818"/>
    <cellStyle name="Normal 9 5 5 10" xfId="3819"/>
    <cellStyle name="Normal 9 5 5 10 2" xfId="3820"/>
    <cellStyle name="Normal 9 5 5 11" xfId="3821"/>
    <cellStyle name="Normal 9 5 5 11 2" xfId="3822"/>
    <cellStyle name="Normal 9 5 5 12" xfId="3823"/>
    <cellStyle name="Normal 9 5 5 2" xfId="3824"/>
    <cellStyle name="Normal 9 5 5 2 2" xfId="3825"/>
    <cellStyle name="Normal 9 5 5 3" xfId="3826"/>
    <cellStyle name="Normal 9 5 5 3 2" xfId="3827"/>
    <cellStyle name="Normal 9 5 5 4" xfId="3828"/>
    <cellStyle name="Normal 9 5 5 4 2" xfId="3829"/>
    <cellStyle name="Normal 9 5 5 5" xfId="3830"/>
    <cellStyle name="Normal 9 5 5 5 2" xfId="3831"/>
    <cellStyle name="Normal 9 5 5 6" xfId="3832"/>
    <cellStyle name="Normal 9 5 5 6 2" xfId="3833"/>
    <cellStyle name="Normal 9 5 5 7" xfId="3834"/>
    <cellStyle name="Normal 9 5 5 7 2" xfId="3835"/>
    <cellStyle name="Normal 9 5 5 8" xfId="3836"/>
    <cellStyle name="Normal 9 5 5 8 2" xfId="3837"/>
    <cellStyle name="Normal 9 5 5 9" xfId="3838"/>
    <cellStyle name="Normal 9 5 5 9 2" xfId="3839"/>
    <cellStyle name="Normal 9 5 6" xfId="3840"/>
    <cellStyle name="Normal 9 5 6 10" xfId="3841"/>
    <cellStyle name="Normal 9 5 6 10 2" xfId="3842"/>
    <cellStyle name="Normal 9 5 6 11" xfId="3843"/>
    <cellStyle name="Normal 9 5 6 11 2" xfId="3844"/>
    <cellStyle name="Normal 9 5 6 12" xfId="3845"/>
    <cellStyle name="Normal 9 5 6 2" xfId="3846"/>
    <cellStyle name="Normal 9 5 6 2 2" xfId="3847"/>
    <cellStyle name="Normal 9 5 6 3" xfId="3848"/>
    <cellStyle name="Normal 9 5 6 3 2" xfId="3849"/>
    <cellStyle name="Normal 9 5 6 4" xfId="3850"/>
    <cellStyle name="Normal 9 5 6 4 2" xfId="3851"/>
    <cellStyle name="Normal 9 5 6 5" xfId="3852"/>
    <cellStyle name="Normal 9 5 6 5 2" xfId="3853"/>
    <cellStyle name="Normal 9 5 6 6" xfId="3854"/>
    <cellStyle name="Normal 9 5 6 6 2" xfId="3855"/>
    <cellStyle name="Normal 9 5 6 7" xfId="3856"/>
    <cellStyle name="Normal 9 5 6 7 2" xfId="3857"/>
    <cellStyle name="Normal 9 5 6 8" xfId="3858"/>
    <cellStyle name="Normal 9 5 6 8 2" xfId="3859"/>
    <cellStyle name="Normal 9 5 6 9" xfId="3860"/>
    <cellStyle name="Normal 9 5 6 9 2" xfId="3861"/>
    <cellStyle name="Normal 9 5 7" xfId="3862"/>
    <cellStyle name="Normal 9 5 7 10" xfId="3863"/>
    <cellStyle name="Normal 9 5 7 10 2" xfId="3864"/>
    <cellStyle name="Normal 9 5 7 11" xfId="3865"/>
    <cellStyle name="Normal 9 5 7 11 2" xfId="3866"/>
    <cellStyle name="Normal 9 5 7 12" xfId="3867"/>
    <cellStyle name="Normal 9 5 7 2" xfId="3868"/>
    <cellStyle name="Normal 9 5 7 2 2" xfId="3869"/>
    <cellStyle name="Normal 9 5 7 3" xfId="3870"/>
    <cellStyle name="Normal 9 5 7 3 2" xfId="3871"/>
    <cellStyle name="Normal 9 5 7 4" xfId="3872"/>
    <cellStyle name="Normal 9 5 7 4 2" xfId="3873"/>
    <cellStyle name="Normal 9 5 7 5" xfId="3874"/>
    <cellStyle name="Normal 9 5 7 5 2" xfId="3875"/>
    <cellStyle name="Normal 9 5 7 6" xfId="3876"/>
    <cellStyle name="Normal 9 5 7 6 2" xfId="3877"/>
    <cellStyle name="Normal 9 5 7 7" xfId="3878"/>
    <cellStyle name="Normal 9 5 7 7 2" xfId="3879"/>
    <cellStyle name="Normal 9 5 7 8" xfId="3880"/>
    <cellStyle name="Normal 9 5 7 8 2" xfId="3881"/>
    <cellStyle name="Normal 9 5 7 9" xfId="3882"/>
    <cellStyle name="Normal 9 5 7 9 2" xfId="3883"/>
    <cellStyle name="Normal 9 5 8" xfId="3884"/>
    <cellStyle name="Normal 9 5 8 10" xfId="3885"/>
    <cellStyle name="Normal 9 5 8 10 2" xfId="3886"/>
    <cellStyle name="Normal 9 5 8 11" xfId="3887"/>
    <cellStyle name="Normal 9 5 8 11 2" xfId="3888"/>
    <cellStyle name="Normal 9 5 8 12" xfId="3889"/>
    <cellStyle name="Normal 9 5 8 2" xfId="3890"/>
    <cellStyle name="Normal 9 5 8 2 2" xfId="3891"/>
    <cellStyle name="Normal 9 5 8 3" xfId="3892"/>
    <cellStyle name="Normal 9 5 8 3 2" xfId="3893"/>
    <cellStyle name="Normal 9 5 8 4" xfId="3894"/>
    <cellStyle name="Normal 9 5 8 4 2" xfId="3895"/>
    <cellStyle name="Normal 9 5 8 5" xfId="3896"/>
    <cellStyle name="Normal 9 5 8 5 2" xfId="3897"/>
    <cellStyle name="Normal 9 5 8 6" xfId="3898"/>
    <cellStyle name="Normal 9 5 8 6 2" xfId="3899"/>
    <cellStyle name="Normal 9 5 8 7" xfId="3900"/>
    <cellStyle name="Normal 9 5 8 7 2" xfId="3901"/>
    <cellStyle name="Normal 9 5 8 8" xfId="3902"/>
    <cellStyle name="Normal 9 5 8 8 2" xfId="3903"/>
    <cellStyle name="Normal 9 5 8 9" xfId="3904"/>
    <cellStyle name="Normal 9 5 8 9 2" xfId="3905"/>
    <cellStyle name="Normal 9 5 9" xfId="3906"/>
    <cellStyle name="Normal 9 5 9 10" xfId="3907"/>
    <cellStyle name="Normal 9 5 9 10 2" xfId="3908"/>
    <cellStyle name="Normal 9 5 9 11" xfId="3909"/>
    <cellStyle name="Normal 9 5 9 11 2" xfId="3910"/>
    <cellStyle name="Normal 9 5 9 12" xfId="3911"/>
    <cellStyle name="Normal 9 5 9 2" xfId="3912"/>
    <cellStyle name="Normal 9 5 9 2 2" xfId="3913"/>
    <cellStyle name="Normal 9 5 9 3" xfId="3914"/>
    <cellStyle name="Normal 9 5 9 3 2" xfId="3915"/>
    <cellStyle name="Normal 9 5 9 4" xfId="3916"/>
    <cellStyle name="Normal 9 5 9 4 2" xfId="3917"/>
    <cellStyle name="Normal 9 5 9 5" xfId="3918"/>
    <cellStyle name="Normal 9 5 9 5 2" xfId="3919"/>
    <cellStyle name="Normal 9 5 9 6" xfId="3920"/>
    <cellStyle name="Normal 9 5 9 6 2" xfId="3921"/>
    <cellStyle name="Normal 9 5 9 7" xfId="3922"/>
    <cellStyle name="Normal 9 5 9 7 2" xfId="3923"/>
    <cellStyle name="Normal 9 5 9 8" xfId="3924"/>
    <cellStyle name="Normal 9 5 9 8 2" xfId="3925"/>
    <cellStyle name="Normal 9 5 9 9" xfId="3926"/>
    <cellStyle name="Normal 9 5 9 9 2" xfId="3927"/>
    <cellStyle name="Normal 9 50" xfId="3928"/>
    <cellStyle name="Normal 9 50 2" xfId="3929"/>
    <cellStyle name="Normal 9 51" xfId="3930"/>
    <cellStyle name="Normal 9 51 2" xfId="3931"/>
    <cellStyle name="Normal 9 52" xfId="3932"/>
    <cellStyle name="Normal 9 52 2" xfId="3933"/>
    <cellStyle name="Normal 9 53" xfId="3934"/>
    <cellStyle name="Normal 9 53 2" xfId="3935"/>
    <cellStyle name="Normal 9 54" xfId="3936"/>
    <cellStyle name="Normal 9 54 2" xfId="3937"/>
    <cellStyle name="Normal 9 55" xfId="3938"/>
    <cellStyle name="Normal 9 55 2" xfId="3939"/>
    <cellStyle name="Normal 9 56" xfId="3940"/>
    <cellStyle name="Normal 9 56 2" xfId="3941"/>
    <cellStyle name="Normal 9 57" xfId="3942"/>
    <cellStyle name="Normal 9 58" xfId="231"/>
    <cellStyle name="Normal 9 59" xfId="4491"/>
    <cellStyle name="Normal 9 6" xfId="3943"/>
    <cellStyle name="Normal 9 6 10" xfId="3944"/>
    <cellStyle name="Normal 9 6 10 10" xfId="3945"/>
    <cellStyle name="Normal 9 6 10 10 2" xfId="3946"/>
    <cellStyle name="Normal 9 6 10 11" xfId="3947"/>
    <cellStyle name="Normal 9 6 10 11 2" xfId="3948"/>
    <cellStyle name="Normal 9 6 10 12" xfId="3949"/>
    <cellStyle name="Normal 9 6 10 2" xfId="3950"/>
    <cellStyle name="Normal 9 6 10 2 2" xfId="3951"/>
    <cellStyle name="Normal 9 6 10 3" xfId="3952"/>
    <cellStyle name="Normal 9 6 10 3 2" xfId="3953"/>
    <cellStyle name="Normal 9 6 10 4" xfId="3954"/>
    <cellStyle name="Normal 9 6 10 4 2" xfId="3955"/>
    <cellStyle name="Normal 9 6 10 5" xfId="3956"/>
    <cellStyle name="Normal 9 6 10 5 2" xfId="3957"/>
    <cellStyle name="Normal 9 6 10 6" xfId="3958"/>
    <cellStyle name="Normal 9 6 10 6 2" xfId="3959"/>
    <cellStyle name="Normal 9 6 10 7" xfId="3960"/>
    <cellStyle name="Normal 9 6 10 7 2" xfId="3961"/>
    <cellStyle name="Normal 9 6 10 8" xfId="3962"/>
    <cellStyle name="Normal 9 6 10 8 2" xfId="3963"/>
    <cellStyle name="Normal 9 6 10 9" xfId="3964"/>
    <cellStyle name="Normal 9 6 10 9 2" xfId="3965"/>
    <cellStyle name="Normal 9 6 11" xfId="3966"/>
    <cellStyle name="Normal 9 6 11 10" xfId="3967"/>
    <cellStyle name="Normal 9 6 11 10 2" xfId="3968"/>
    <cellStyle name="Normal 9 6 11 11" xfId="3969"/>
    <cellStyle name="Normal 9 6 11 11 2" xfId="3970"/>
    <cellStyle name="Normal 9 6 11 12" xfId="3971"/>
    <cellStyle name="Normal 9 6 11 2" xfId="3972"/>
    <cellStyle name="Normal 9 6 11 2 2" xfId="3973"/>
    <cellStyle name="Normal 9 6 11 3" xfId="3974"/>
    <cellStyle name="Normal 9 6 11 3 2" xfId="3975"/>
    <cellStyle name="Normal 9 6 11 4" xfId="3976"/>
    <cellStyle name="Normal 9 6 11 4 2" xfId="3977"/>
    <cellStyle name="Normal 9 6 11 5" xfId="3978"/>
    <cellStyle name="Normal 9 6 11 5 2" xfId="3979"/>
    <cellStyle name="Normal 9 6 11 6" xfId="3980"/>
    <cellStyle name="Normal 9 6 11 6 2" xfId="3981"/>
    <cellStyle name="Normal 9 6 11 7" xfId="3982"/>
    <cellStyle name="Normal 9 6 11 7 2" xfId="3983"/>
    <cellStyle name="Normal 9 6 11 8" xfId="3984"/>
    <cellStyle name="Normal 9 6 11 8 2" xfId="3985"/>
    <cellStyle name="Normal 9 6 11 9" xfId="3986"/>
    <cellStyle name="Normal 9 6 11 9 2" xfId="3987"/>
    <cellStyle name="Normal 9 6 12" xfId="3988"/>
    <cellStyle name="Normal 9 6 12 10" xfId="3989"/>
    <cellStyle name="Normal 9 6 12 10 2" xfId="3990"/>
    <cellStyle name="Normal 9 6 12 11" xfId="3991"/>
    <cellStyle name="Normal 9 6 12 11 2" xfId="3992"/>
    <cellStyle name="Normal 9 6 12 12" xfId="3993"/>
    <cellStyle name="Normal 9 6 12 2" xfId="3994"/>
    <cellStyle name="Normal 9 6 12 2 2" xfId="3995"/>
    <cellStyle name="Normal 9 6 12 3" xfId="3996"/>
    <cellStyle name="Normal 9 6 12 3 2" xfId="3997"/>
    <cellStyle name="Normal 9 6 12 4" xfId="3998"/>
    <cellStyle name="Normal 9 6 12 4 2" xfId="3999"/>
    <cellStyle name="Normal 9 6 12 5" xfId="4000"/>
    <cellStyle name="Normal 9 6 12 5 2" xfId="4001"/>
    <cellStyle name="Normal 9 6 12 6" xfId="4002"/>
    <cellStyle name="Normal 9 6 12 6 2" xfId="4003"/>
    <cellStyle name="Normal 9 6 12 7" xfId="4004"/>
    <cellStyle name="Normal 9 6 12 7 2" xfId="4005"/>
    <cellStyle name="Normal 9 6 12 8" xfId="4006"/>
    <cellStyle name="Normal 9 6 12 8 2" xfId="4007"/>
    <cellStyle name="Normal 9 6 12 9" xfId="4008"/>
    <cellStyle name="Normal 9 6 12 9 2" xfId="4009"/>
    <cellStyle name="Normal 9 6 13" xfId="4010"/>
    <cellStyle name="Normal 9 6 13 10" xfId="4011"/>
    <cellStyle name="Normal 9 6 13 10 2" xfId="4012"/>
    <cellStyle name="Normal 9 6 13 11" xfId="4013"/>
    <cellStyle name="Normal 9 6 13 11 2" xfId="4014"/>
    <cellStyle name="Normal 9 6 13 12" xfId="4015"/>
    <cellStyle name="Normal 9 6 13 2" xfId="4016"/>
    <cellStyle name="Normal 9 6 13 2 2" xfId="4017"/>
    <cellStyle name="Normal 9 6 13 3" xfId="4018"/>
    <cellStyle name="Normal 9 6 13 3 2" xfId="4019"/>
    <cellStyle name="Normal 9 6 13 4" xfId="4020"/>
    <cellStyle name="Normal 9 6 13 4 2" xfId="4021"/>
    <cellStyle name="Normal 9 6 13 5" xfId="4022"/>
    <cellStyle name="Normal 9 6 13 5 2" xfId="4023"/>
    <cellStyle name="Normal 9 6 13 6" xfId="4024"/>
    <cellStyle name="Normal 9 6 13 6 2" xfId="4025"/>
    <cellStyle name="Normal 9 6 13 7" xfId="4026"/>
    <cellStyle name="Normal 9 6 13 7 2" xfId="4027"/>
    <cellStyle name="Normal 9 6 13 8" xfId="4028"/>
    <cellStyle name="Normal 9 6 13 8 2" xfId="4029"/>
    <cellStyle name="Normal 9 6 13 9" xfId="4030"/>
    <cellStyle name="Normal 9 6 13 9 2" xfId="4031"/>
    <cellStyle name="Normal 9 6 14" xfId="4032"/>
    <cellStyle name="Normal 9 6 14 10" xfId="4033"/>
    <cellStyle name="Normal 9 6 14 10 2" xfId="4034"/>
    <cellStyle name="Normal 9 6 14 11" xfId="4035"/>
    <cellStyle name="Normal 9 6 14 11 2" xfId="4036"/>
    <cellStyle name="Normal 9 6 14 12" xfId="4037"/>
    <cellStyle name="Normal 9 6 14 2" xfId="4038"/>
    <cellStyle name="Normal 9 6 14 2 2" xfId="4039"/>
    <cellStyle name="Normal 9 6 14 3" xfId="4040"/>
    <cellStyle name="Normal 9 6 14 3 2" xfId="4041"/>
    <cellStyle name="Normal 9 6 14 4" xfId="4042"/>
    <cellStyle name="Normal 9 6 14 4 2" xfId="4043"/>
    <cellStyle name="Normal 9 6 14 5" xfId="4044"/>
    <cellStyle name="Normal 9 6 14 5 2" xfId="4045"/>
    <cellStyle name="Normal 9 6 14 6" xfId="4046"/>
    <cellStyle name="Normal 9 6 14 6 2" xfId="4047"/>
    <cellStyle name="Normal 9 6 14 7" xfId="4048"/>
    <cellStyle name="Normal 9 6 14 7 2" xfId="4049"/>
    <cellStyle name="Normal 9 6 14 8" xfId="4050"/>
    <cellStyle name="Normal 9 6 14 8 2" xfId="4051"/>
    <cellStyle name="Normal 9 6 14 9" xfId="4052"/>
    <cellStyle name="Normal 9 6 14 9 2" xfId="4053"/>
    <cellStyle name="Normal 9 6 15" xfId="4054"/>
    <cellStyle name="Normal 9 6 15 10" xfId="4055"/>
    <cellStyle name="Normal 9 6 15 10 2" xfId="4056"/>
    <cellStyle name="Normal 9 6 15 11" xfId="4057"/>
    <cellStyle name="Normal 9 6 15 11 2" xfId="4058"/>
    <cellStyle name="Normal 9 6 15 12" xfId="4059"/>
    <cellStyle name="Normal 9 6 15 2" xfId="4060"/>
    <cellStyle name="Normal 9 6 15 2 2" xfId="4061"/>
    <cellStyle name="Normal 9 6 15 3" xfId="4062"/>
    <cellStyle name="Normal 9 6 15 3 2" xfId="4063"/>
    <cellStyle name="Normal 9 6 15 4" xfId="4064"/>
    <cellStyle name="Normal 9 6 15 4 2" xfId="4065"/>
    <cellStyle name="Normal 9 6 15 5" xfId="4066"/>
    <cellStyle name="Normal 9 6 15 5 2" xfId="4067"/>
    <cellStyle name="Normal 9 6 15 6" xfId="4068"/>
    <cellStyle name="Normal 9 6 15 6 2" xfId="4069"/>
    <cellStyle name="Normal 9 6 15 7" xfId="4070"/>
    <cellStyle name="Normal 9 6 15 7 2" xfId="4071"/>
    <cellStyle name="Normal 9 6 15 8" xfId="4072"/>
    <cellStyle name="Normal 9 6 15 8 2" xfId="4073"/>
    <cellStyle name="Normal 9 6 15 9" xfId="4074"/>
    <cellStyle name="Normal 9 6 15 9 2" xfId="4075"/>
    <cellStyle name="Normal 9 6 16" xfId="4076"/>
    <cellStyle name="Normal 9 6 16 2" xfId="4077"/>
    <cellStyle name="Normal 9 6 17" xfId="4078"/>
    <cellStyle name="Normal 9 6 17 2" xfId="4079"/>
    <cellStyle name="Normal 9 6 18" xfId="4080"/>
    <cellStyle name="Normal 9 6 18 2" xfId="4081"/>
    <cellStyle name="Normal 9 6 19" xfId="4082"/>
    <cellStyle name="Normal 9 6 19 2" xfId="4083"/>
    <cellStyle name="Normal 9 6 2" xfId="4084"/>
    <cellStyle name="Normal 9 6 2 10" xfId="4085"/>
    <cellStyle name="Normal 9 6 2 10 2" xfId="4086"/>
    <cellStyle name="Normal 9 6 2 11" xfId="4087"/>
    <cellStyle name="Normal 9 6 2 11 2" xfId="4088"/>
    <cellStyle name="Normal 9 6 2 12" xfId="4089"/>
    <cellStyle name="Normal 9 6 2 2" xfId="4090"/>
    <cellStyle name="Normal 9 6 2 2 2" xfId="4091"/>
    <cellStyle name="Normal 9 6 2 3" xfId="4092"/>
    <cellStyle name="Normal 9 6 2 3 2" xfId="4093"/>
    <cellStyle name="Normal 9 6 2 4" xfId="4094"/>
    <cellStyle name="Normal 9 6 2 4 2" xfId="4095"/>
    <cellStyle name="Normal 9 6 2 5" xfId="4096"/>
    <cellStyle name="Normal 9 6 2 5 2" xfId="4097"/>
    <cellStyle name="Normal 9 6 2 6" xfId="4098"/>
    <cellStyle name="Normal 9 6 2 6 2" xfId="4099"/>
    <cellStyle name="Normal 9 6 2 7" xfId="4100"/>
    <cellStyle name="Normal 9 6 2 7 2" xfId="4101"/>
    <cellStyle name="Normal 9 6 2 8" xfId="4102"/>
    <cellStyle name="Normal 9 6 2 8 2" xfId="4103"/>
    <cellStyle name="Normal 9 6 2 9" xfId="4104"/>
    <cellStyle name="Normal 9 6 2 9 2" xfId="4105"/>
    <cellStyle name="Normal 9 6 20" xfId="4106"/>
    <cellStyle name="Normal 9 6 20 2" xfId="4107"/>
    <cellStyle name="Normal 9 6 21" xfId="4108"/>
    <cellStyle name="Normal 9 6 21 2" xfId="4109"/>
    <cellStyle name="Normal 9 6 22" xfId="4110"/>
    <cellStyle name="Normal 9 6 22 2" xfId="4111"/>
    <cellStyle name="Normal 9 6 23" xfId="4112"/>
    <cellStyle name="Normal 9 6 23 2" xfId="4113"/>
    <cellStyle name="Normal 9 6 24" xfId="4114"/>
    <cellStyle name="Normal 9 6 24 2" xfId="4115"/>
    <cellStyle name="Normal 9 6 25" xfId="4116"/>
    <cellStyle name="Normal 9 6 25 2" xfId="4117"/>
    <cellStyle name="Normal 9 6 26" xfId="4118"/>
    <cellStyle name="Normal 9 6 3" xfId="4119"/>
    <cellStyle name="Normal 9 6 3 10" xfId="4120"/>
    <cellStyle name="Normal 9 6 3 10 2" xfId="4121"/>
    <cellStyle name="Normal 9 6 3 11" xfId="4122"/>
    <cellStyle name="Normal 9 6 3 11 2" xfId="4123"/>
    <cellStyle name="Normal 9 6 3 12" xfId="4124"/>
    <cellStyle name="Normal 9 6 3 2" xfId="4125"/>
    <cellStyle name="Normal 9 6 3 2 2" xfId="4126"/>
    <cellStyle name="Normal 9 6 3 3" xfId="4127"/>
    <cellStyle name="Normal 9 6 3 3 2" xfId="4128"/>
    <cellStyle name="Normal 9 6 3 4" xfId="4129"/>
    <cellStyle name="Normal 9 6 3 4 2" xfId="4130"/>
    <cellStyle name="Normal 9 6 3 5" xfId="4131"/>
    <cellStyle name="Normal 9 6 3 5 2" xfId="4132"/>
    <cellStyle name="Normal 9 6 3 6" xfId="4133"/>
    <cellStyle name="Normal 9 6 3 6 2" xfId="4134"/>
    <cellStyle name="Normal 9 6 3 7" xfId="4135"/>
    <cellStyle name="Normal 9 6 3 7 2" xfId="4136"/>
    <cellStyle name="Normal 9 6 3 8" xfId="4137"/>
    <cellStyle name="Normal 9 6 3 8 2" xfId="4138"/>
    <cellStyle name="Normal 9 6 3 9" xfId="4139"/>
    <cellStyle name="Normal 9 6 3 9 2" xfId="4140"/>
    <cellStyle name="Normal 9 6 4" xfId="4141"/>
    <cellStyle name="Normal 9 6 4 10" xfId="4142"/>
    <cellStyle name="Normal 9 6 4 10 2" xfId="4143"/>
    <cellStyle name="Normal 9 6 4 11" xfId="4144"/>
    <cellStyle name="Normal 9 6 4 11 2" xfId="4145"/>
    <cellStyle name="Normal 9 6 4 12" xfId="4146"/>
    <cellStyle name="Normal 9 6 4 2" xfId="4147"/>
    <cellStyle name="Normal 9 6 4 2 2" xfId="4148"/>
    <cellStyle name="Normal 9 6 4 3" xfId="4149"/>
    <cellStyle name="Normal 9 6 4 3 2" xfId="4150"/>
    <cellStyle name="Normal 9 6 4 4" xfId="4151"/>
    <cellStyle name="Normal 9 6 4 4 2" xfId="4152"/>
    <cellStyle name="Normal 9 6 4 5" xfId="4153"/>
    <cellStyle name="Normal 9 6 4 5 2" xfId="4154"/>
    <cellStyle name="Normal 9 6 4 6" xfId="4155"/>
    <cellStyle name="Normal 9 6 4 6 2" xfId="4156"/>
    <cellStyle name="Normal 9 6 4 7" xfId="4157"/>
    <cellStyle name="Normal 9 6 4 7 2" xfId="4158"/>
    <cellStyle name="Normal 9 6 4 8" xfId="4159"/>
    <cellStyle name="Normal 9 6 4 8 2" xfId="4160"/>
    <cellStyle name="Normal 9 6 4 9" xfId="4161"/>
    <cellStyle name="Normal 9 6 4 9 2" xfId="4162"/>
    <cellStyle name="Normal 9 6 5" xfId="4163"/>
    <cellStyle name="Normal 9 6 5 10" xfId="4164"/>
    <cellStyle name="Normal 9 6 5 10 2" xfId="4165"/>
    <cellStyle name="Normal 9 6 5 11" xfId="4166"/>
    <cellStyle name="Normal 9 6 5 11 2" xfId="4167"/>
    <cellStyle name="Normal 9 6 5 12" xfId="4168"/>
    <cellStyle name="Normal 9 6 5 2" xfId="4169"/>
    <cellStyle name="Normal 9 6 5 2 2" xfId="4170"/>
    <cellStyle name="Normal 9 6 5 3" xfId="4171"/>
    <cellStyle name="Normal 9 6 5 3 2" xfId="4172"/>
    <cellStyle name="Normal 9 6 5 4" xfId="4173"/>
    <cellStyle name="Normal 9 6 5 4 2" xfId="4174"/>
    <cellStyle name="Normal 9 6 5 5" xfId="4175"/>
    <cellStyle name="Normal 9 6 5 5 2" xfId="4176"/>
    <cellStyle name="Normal 9 6 5 6" xfId="4177"/>
    <cellStyle name="Normal 9 6 5 6 2" xfId="4178"/>
    <cellStyle name="Normal 9 6 5 7" xfId="4179"/>
    <cellStyle name="Normal 9 6 5 7 2" xfId="4180"/>
    <cellStyle name="Normal 9 6 5 8" xfId="4181"/>
    <cellStyle name="Normal 9 6 5 8 2" xfId="4182"/>
    <cellStyle name="Normal 9 6 5 9" xfId="4183"/>
    <cellStyle name="Normal 9 6 5 9 2" xfId="4184"/>
    <cellStyle name="Normal 9 6 6" xfId="4185"/>
    <cellStyle name="Normal 9 6 6 10" xfId="4186"/>
    <cellStyle name="Normal 9 6 6 10 2" xfId="4187"/>
    <cellStyle name="Normal 9 6 6 11" xfId="4188"/>
    <cellStyle name="Normal 9 6 6 11 2" xfId="4189"/>
    <cellStyle name="Normal 9 6 6 12" xfId="4190"/>
    <cellStyle name="Normal 9 6 6 2" xfId="4191"/>
    <cellStyle name="Normal 9 6 6 2 2" xfId="4192"/>
    <cellStyle name="Normal 9 6 6 3" xfId="4193"/>
    <cellStyle name="Normal 9 6 6 3 2" xfId="4194"/>
    <cellStyle name="Normal 9 6 6 4" xfId="4195"/>
    <cellStyle name="Normal 9 6 6 4 2" xfId="4196"/>
    <cellStyle name="Normal 9 6 6 5" xfId="4197"/>
    <cellStyle name="Normal 9 6 6 5 2" xfId="4198"/>
    <cellStyle name="Normal 9 6 6 6" xfId="4199"/>
    <cellStyle name="Normal 9 6 6 6 2" xfId="4200"/>
    <cellStyle name="Normal 9 6 6 7" xfId="4201"/>
    <cellStyle name="Normal 9 6 6 7 2" xfId="4202"/>
    <cellStyle name="Normal 9 6 6 8" xfId="4203"/>
    <cellStyle name="Normal 9 6 6 8 2" xfId="4204"/>
    <cellStyle name="Normal 9 6 6 9" xfId="4205"/>
    <cellStyle name="Normal 9 6 6 9 2" xfId="4206"/>
    <cellStyle name="Normal 9 6 7" xfId="4207"/>
    <cellStyle name="Normal 9 6 7 10" xfId="4208"/>
    <cellStyle name="Normal 9 6 7 10 2" xfId="4209"/>
    <cellStyle name="Normal 9 6 7 11" xfId="4210"/>
    <cellStyle name="Normal 9 6 7 11 2" xfId="4211"/>
    <cellStyle name="Normal 9 6 7 12" xfId="4212"/>
    <cellStyle name="Normal 9 6 7 2" xfId="4213"/>
    <cellStyle name="Normal 9 6 7 2 2" xfId="4214"/>
    <cellStyle name="Normal 9 6 7 3" xfId="4215"/>
    <cellStyle name="Normal 9 6 7 3 2" xfId="4216"/>
    <cellStyle name="Normal 9 6 7 4" xfId="4217"/>
    <cellStyle name="Normal 9 6 7 4 2" xfId="4218"/>
    <cellStyle name="Normal 9 6 7 5" xfId="4219"/>
    <cellStyle name="Normal 9 6 7 5 2" xfId="4220"/>
    <cellStyle name="Normal 9 6 7 6" xfId="4221"/>
    <cellStyle name="Normal 9 6 7 6 2" xfId="4222"/>
    <cellStyle name="Normal 9 6 7 7" xfId="4223"/>
    <cellStyle name="Normal 9 6 7 7 2" xfId="4224"/>
    <cellStyle name="Normal 9 6 7 8" xfId="4225"/>
    <cellStyle name="Normal 9 6 7 8 2" xfId="4226"/>
    <cellStyle name="Normal 9 6 7 9" xfId="4227"/>
    <cellStyle name="Normal 9 6 7 9 2" xfId="4228"/>
    <cellStyle name="Normal 9 6 8" xfId="4229"/>
    <cellStyle name="Normal 9 6 8 10" xfId="4230"/>
    <cellStyle name="Normal 9 6 8 10 2" xfId="4231"/>
    <cellStyle name="Normal 9 6 8 11" xfId="4232"/>
    <cellStyle name="Normal 9 6 8 11 2" xfId="4233"/>
    <cellStyle name="Normal 9 6 8 12" xfId="4234"/>
    <cellStyle name="Normal 9 6 8 2" xfId="4235"/>
    <cellStyle name="Normal 9 6 8 2 2" xfId="4236"/>
    <cellStyle name="Normal 9 6 8 3" xfId="4237"/>
    <cellStyle name="Normal 9 6 8 3 2" xfId="4238"/>
    <cellStyle name="Normal 9 6 8 4" xfId="4239"/>
    <cellStyle name="Normal 9 6 8 4 2" xfId="4240"/>
    <cellStyle name="Normal 9 6 8 5" xfId="4241"/>
    <cellStyle name="Normal 9 6 8 5 2" xfId="4242"/>
    <cellStyle name="Normal 9 6 8 6" xfId="4243"/>
    <cellStyle name="Normal 9 6 8 6 2" xfId="4244"/>
    <cellStyle name="Normal 9 6 8 7" xfId="4245"/>
    <cellStyle name="Normal 9 6 8 7 2" xfId="4246"/>
    <cellStyle name="Normal 9 6 8 8" xfId="4247"/>
    <cellStyle name="Normal 9 6 8 8 2" xfId="4248"/>
    <cellStyle name="Normal 9 6 8 9" xfId="4249"/>
    <cellStyle name="Normal 9 6 8 9 2" xfId="4250"/>
    <cellStyle name="Normal 9 6 9" xfId="4251"/>
    <cellStyle name="Normal 9 6 9 10" xfId="4252"/>
    <cellStyle name="Normal 9 6 9 10 2" xfId="4253"/>
    <cellStyle name="Normal 9 6 9 11" xfId="4254"/>
    <cellStyle name="Normal 9 6 9 11 2" xfId="4255"/>
    <cellStyle name="Normal 9 6 9 12" xfId="4256"/>
    <cellStyle name="Normal 9 6 9 2" xfId="4257"/>
    <cellStyle name="Normal 9 6 9 2 2" xfId="4258"/>
    <cellStyle name="Normal 9 6 9 3" xfId="4259"/>
    <cellStyle name="Normal 9 6 9 3 2" xfId="4260"/>
    <cellStyle name="Normal 9 6 9 4" xfId="4261"/>
    <cellStyle name="Normal 9 6 9 4 2" xfId="4262"/>
    <cellStyle name="Normal 9 6 9 5" xfId="4263"/>
    <cellStyle name="Normal 9 6 9 5 2" xfId="4264"/>
    <cellStyle name="Normal 9 6 9 6" xfId="4265"/>
    <cellStyle name="Normal 9 6 9 6 2" xfId="4266"/>
    <cellStyle name="Normal 9 6 9 7" xfId="4267"/>
    <cellStyle name="Normal 9 6 9 7 2" xfId="4268"/>
    <cellStyle name="Normal 9 6 9 8" xfId="4269"/>
    <cellStyle name="Normal 9 6 9 8 2" xfId="4270"/>
    <cellStyle name="Normal 9 6 9 9" xfId="4271"/>
    <cellStyle name="Normal 9 6 9 9 2" xfId="4272"/>
    <cellStyle name="Normal 9 60" xfId="4511"/>
    <cellStyle name="Normal 9 60 2" xfId="35717"/>
    <cellStyle name="Normal 9 60 3" xfId="38774"/>
    <cellStyle name="Normal 9 60 4" xfId="5355"/>
    <cellStyle name="Normal 9 61" xfId="5932"/>
    <cellStyle name="Normal 9 62" xfId="38746"/>
    <cellStyle name="Normal 9 63" xfId="5327"/>
    <cellStyle name="Normal 9 7" xfId="4273"/>
    <cellStyle name="Normal 9 7 10" xfId="4274"/>
    <cellStyle name="Normal 9 7 10 2" xfId="4275"/>
    <cellStyle name="Normal 9 7 11" xfId="4276"/>
    <cellStyle name="Normal 9 7 11 2" xfId="4277"/>
    <cellStyle name="Normal 9 7 12" xfId="4278"/>
    <cellStyle name="Normal 9 7 2" xfId="4279"/>
    <cellStyle name="Normal 9 7 2 2" xfId="4280"/>
    <cellStyle name="Normal 9 7 3" xfId="4281"/>
    <cellStyle name="Normal 9 7 3 2" xfId="4282"/>
    <cellStyle name="Normal 9 7 4" xfId="4283"/>
    <cellStyle name="Normal 9 7 4 2" xfId="4284"/>
    <cellStyle name="Normal 9 7 5" xfId="4285"/>
    <cellStyle name="Normal 9 7 5 2" xfId="4286"/>
    <cellStyle name="Normal 9 7 6" xfId="4287"/>
    <cellStyle name="Normal 9 7 6 2" xfId="4288"/>
    <cellStyle name="Normal 9 7 7" xfId="4289"/>
    <cellStyle name="Normal 9 7 7 2" xfId="4290"/>
    <cellStyle name="Normal 9 7 8" xfId="4291"/>
    <cellStyle name="Normal 9 7 8 2" xfId="4292"/>
    <cellStyle name="Normal 9 7 9" xfId="4293"/>
    <cellStyle name="Normal 9 7 9 2" xfId="4294"/>
    <cellStyle name="Normal 9 8" xfId="4295"/>
    <cellStyle name="Normal 9 8 10" xfId="4296"/>
    <cellStyle name="Normal 9 8 10 2" xfId="4297"/>
    <cellStyle name="Normal 9 8 11" xfId="4298"/>
    <cellStyle name="Normal 9 8 11 2" xfId="4299"/>
    <cellStyle name="Normal 9 8 12" xfId="4300"/>
    <cellStyle name="Normal 9 8 2" xfId="4301"/>
    <cellStyle name="Normal 9 8 2 2" xfId="4302"/>
    <cellStyle name="Normal 9 8 3" xfId="4303"/>
    <cellStyle name="Normal 9 8 3 2" xfId="4304"/>
    <cellStyle name="Normal 9 8 4" xfId="4305"/>
    <cellStyle name="Normal 9 8 4 2" xfId="4306"/>
    <cellStyle name="Normal 9 8 5" xfId="4307"/>
    <cellStyle name="Normal 9 8 5 2" xfId="4308"/>
    <cellStyle name="Normal 9 8 6" xfId="4309"/>
    <cellStyle name="Normal 9 8 6 2" xfId="4310"/>
    <cellStyle name="Normal 9 8 7" xfId="4311"/>
    <cellStyle name="Normal 9 8 7 2" xfId="4312"/>
    <cellStyle name="Normal 9 8 8" xfId="4313"/>
    <cellStyle name="Normal 9 8 8 2" xfId="4314"/>
    <cellStyle name="Normal 9 8 9" xfId="4315"/>
    <cellStyle name="Normal 9 8 9 2" xfId="4316"/>
    <cellStyle name="Normal 9 9" xfId="4317"/>
    <cellStyle name="Normal 9 9 10" xfId="4318"/>
    <cellStyle name="Normal 9 9 10 2" xfId="4319"/>
    <cellStyle name="Normal 9 9 11" xfId="4320"/>
    <cellStyle name="Normal 9 9 11 2" xfId="4321"/>
    <cellStyle name="Normal 9 9 12" xfId="4322"/>
    <cellStyle name="Normal 9 9 2" xfId="4323"/>
    <cellStyle name="Normal 9 9 2 2" xfId="4324"/>
    <cellStyle name="Normal 9 9 3" xfId="4325"/>
    <cellStyle name="Normal 9 9 3 2" xfId="4326"/>
    <cellStyle name="Normal 9 9 4" xfId="4327"/>
    <cellStyle name="Normal 9 9 4 2" xfId="4328"/>
    <cellStyle name="Normal 9 9 5" xfId="4329"/>
    <cellStyle name="Normal 9 9 5 2" xfId="4330"/>
    <cellStyle name="Normal 9 9 6" xfId="4331"/>
    <cellStyle name="Normal 9 9 6 2" xfId="4332"/>
    <cellStyle name="Normal 9 9 7" xfId="4333"/>
    <cellStyle name="Normal 9 9 7 2" xfId="4334"/>
    <cellStyle name="Normal 9 9 8" xfId="4335"/>
    <cellStyle name="Normal 9 9 8 2" xfId="4336"/>
    <cellStyle name="Normal 9 9 9" xfId="4337"/>
    <cellStyle name="Normal 9 9 9 2" xfId="4338"/>
    <cellStyle name="Normal 9_consumption scenario A" xfId="5079"/>
    <cellStyle name="Normal_consumption scenario B" xfId="5088"/>
    <cellStyle name="Normal_consumption scenario B_1" xfId="5291"/>
    <cellStyle name="Normal_consumption scenario C" xfId="5290"/>
    <cellStyle name="Normal_price scenario A" xfId="5085"/>
    <cellStyle name="Normal_price scenario B" xfId="5087"/>
    <cellStyle name="Note" xfId="47" builtinId="10" hidden="1"/>
    <cellStyle name="Note" xfId="98" builtinId="10" customBuiltin="1"/>
    <cellStyle name="Note 10" xfId="4634"/>
    <cellStyle name="Note 11" xfId="4636"/>
    <cellStyle name="Note 12" xfId="4638"/>
    <cellStyle name="Note 13" xfId="4590"/>
    <cellStyle name="Note 13 10" xfId="40885"/>
    <cellStyle name="Note 13 2" xfId="4922"/>
    <cellStyle name="Note 13 2 2" xfId="4923"/>
    <cellStyle name="Note 13 2 2 2" xfId="4924"/>
    <cellStyle name="Note 13 2 2 2 2" xfId="37336"/>
    <cellStyle name="Note 13 2 2 2 3" xfId="38942"/>
    <cellStyle name="Note 13 2 2 2 4" xfId="5523"/>
    <cellStyle name="Note 13 2 2 2 5" xfId="40611"/>
    <cellStyle name="Note 13 2 2 2 6" xfId="42152"/>
    <cellStyle name="Note 13 2 2 3" xfId="5248"/>
    <cellStyle name="Note 13 2 2 3 2" xfId="38597"/>
    <cellStyle name="Note 13 2 2 3 3" xfId="39166"/>
    <cellStyle name="Note 13 2 2 3 4" xfId="5747"/>
    <cellStyle name="Note 13 2 2 4" xfId="37335"/>
    <cellStyle name="Note 13 2 2 5" xfId="38941"/>
    <cellStyle name="Note 13 2 2 6" xfId="5522"/>
    <cellStyle name="Note 13 2 2 7" xfId="39893"/>
    <cellStyle name="Note 13 2 2 8" xfId="41434"/>
    <cellStyle name="Note 13 2 3" xfId="4925"/>
    <cellStyle name="Note 13 2 3 2" xfId="37337"/>
    <cellStyle name="Note 13 2 3 3" xfId="38943"/>
    <cellStyle name="Note 13 2 3 4" xfId="5524"/>
    <cellStyle name="Note 13 2 3 5" xfId="40270"/>
    <cellStyle name="Note 13 2 3 6" xfId="41811"/>
    <cellStyle name="Note 13 2 4" xfId="5188"/>
    <cellStyle name="Note 13 2 4 2" xfId="38255"/>
    <cellStyle name="Note 13 2 4 3" xfId="39108"/>
    <cellStyle name="Note 13 2 4 4" xfId="5689"/>
    <cellStyle name="Note 13 2 5" xfId="37334"/>
    <cellStyle name="Note 13 2 6" xfId="38940"/>
    <cellStyle name="Note 13 2 7" xfId="5521"/>
    <cellStyle name="Note 13 2 8" xfId="39552"/>
    <cellStyle name="Note 13 2 9" xfId="41093"/>
    <cellStyle name="Note 13 3" xfId="4926"/>
    <cellStyle name="Note 13 3 2" xfId="4927"/>
    <cellStyle name="Note 13 3 2 2" xfId="37339"/>
    <cellStyle name="Note 13 3 2 3" xfId="38945"/>
    <cellStyle name="Note 13 3 2 4" xfId="5526"/>
    <cellStyle name="Note 13 3 2 5" xfId="40610"/>
    <cellStyle name="Note 13 3 2 6" xfId="42151"/>
    <cellStyle name="Note 13 3 3" xfId="5247"/>
    <cellStyle name="Note 13 3 3 2" xfId="38596"/>
    <cellStyle name="Note 13 3 3 3" xfId="39165"/>
    <cellStyle name="Note 13 3 3 4" xfId="5746"/>
    <cellStyle name="Note 13 3 4" xfId="37338"/>
    <cellStyle name="Note 13 3 5" xfId="38944"/>
    <cellStyle name="Note 13 3 6" xfId="5525"/>
    <cellStyle name="Note 13 3 7" xfId="39892"/>
    <cellStyle name="Note 13 3 8" xfId="41433"/>
    <cellStyle name="Note 13 4" xfId="4928"/>
    <cellStyle name="Note 13 4 2" xfId="37340"/>
    <cellStyle name="Note 13 4 3" xfId="38946"/>
    <cellStyle name="Note 13 4 4" xfId="5527"/>
    <cellStyle name="Note 13 4 5" xfId="40067"/>
    <cellStyle name="Note 13 4 6" xfId="41608"/>
    <cellStyle name="Note 13 5" xfId="5159"/>
    <cellStyle name="Note 13 5 2" xfId="38052"/>
    <cellStyle name="Note 13 5 3" xfId="39079"/>
    <cellStyle name="Note 13 5 4" xfId="5660"/>
    <cellStyle name="Note 13 6" xfId="35937"/>
    <cellStyle name="Note 13 7" xfId="38825"/>
    <cellStyle name="Note 13 8" xfId="5406"/>
    <cellStyle name="Note 13 9" xfId="39349"/>
    <cellStyle name="Note 14" xfId="4677"/>
    <cellStyle name="Note 14 10" xfId="40907"/>
    <cellStyle name="Note 14 2" xfId="4929"/>
    <cellStyle name="Note 14 2 2" xfId="4930"/>
    <cellStyle name="Note 14 2 2 2" xfId="4931"/>
    <cellStyle name="Note 14 2 2 2 2" xfId="37343"/>
    <cellStyle name="Note 14 2 2 2 3" xfId="38949"/>
    <cellStyle name="Note 14 2 2 2 4" xfId="5530"/>
    <cellStyle name="Note 14 2 2 2 5" xfId="40613"/>
    <cellStyle name="Note 14 2 2 2 6" xfId="42154"/>
    <cellStyle name="Note 14 2 2 3" xfId="5250"/>
    <cellStyle name="Note 14 2 2 3 2" xfId="38599"/>
    <cellStyle name="Note 14 2 2 3 3" xfId="39168"/>
    <cellStyle name="Note 14 2 2 3 4" xfId="5749"/>
    <cellStyle name="Note 14 2 2 4" xfId="37342"/>
    <cellStyle name="Note 14 2 2 5" xfId="38948"/>
    <cellStyle name="Note 14 2 2 6" xfId="5529"/>
    <cellStyle name="Note 14 2 2 7" xfId="39895"/>
    <cellStyle name="Note 14 2 2 8" xfId="41436"/>
    <cellStyle name="Note 14 2 3" xfId="4932"/>
    <cellStyle name="Note 14 2 3 2" xfId="37344"/>
    <cellStyle name="Note 14 2 3 3" xfId="38950"/>
    <cellStyle name="Note 14 2 3 4" xfId="5531"/>
    <cellStyle name="Note 14 2 3 5" xfId="40271"/>
    <cellStyle name="Note 14 2 3 6" xfId="41812"/>
    <cellStyle name="Note 14 2 4" xfId="5189"/>
    <cellStyle name="Note 14 2 4 2" xfId="38256"/>
    <cellStyle name="Note 14 2 4 3" xfId="39109"/>
    <cellStyle name="Note 14 2 4 4" xfId="5690"/>
    <cellStyle name="Note 14 2 5" xfId="37341"/>
    <cellStyle name="Note 14 2 6" xfId="38947"/>
    <cellStyle name="Note 14 2 7" xfId="5528"/>
    <cellStyle name="Note 14 2 8" xfId="39553"/>
    <cellStyle name="Note 14 2 9" xfId="41094"/>
    <cellStyle name="Note 14 3" xfId="4933"/>
    <cellStyle name="Note 14 3 2" xfId="4934"/>
    <cellStyle name="Note 14 3 2 2" xfId="37346"/>
    <cellStyle name="Note 14 3 2 3" xfId="38952"/>
    <cellStyle name="Note 14 3 2 4" xfId="5533"/>
    <cellStyle name="Note 14 3 2 5" xfId="40612"/>
    <cellStyle name="Note 14 3 2 6" xfId="42153"/>
    <cellStyle name="Note 14 3 3" xfId="5249"/>
    <cellStyle name="Note 14 3 3 2" xfId="38598"/>
    <cellStyle name="Note 14 3 3 3" xfId="39167"/>
    <cellStyle name="Note 14 3 3 4" xfId="5748"/>
    <cellStyle name="Note 14 3 4" xfId="37345"/>
    <cellStyle name="Note 14 3 5" xfId="38951"/>
    <cellStyle name="Note 14 3 6" xfId="5532"/>
    <cellStyle name="Note 14 3 7" xfId="39894"/>
    <cellStyle name="Note 14 3 8" xfId="41435"/>
    <cellStyle name="Note 14 4" xfId="4935"/>
    <cellStyle name="Note 14 4 2" xfId="37347"/>
    <cellStyle name="Note 14 4 3" xfId="38953"/>
    <cellStyle name="Note 14 4 4" xfId="5534"/>
    <cellStyle name="Note 14 4 5" xfId="40084"/>
    <cellStyle name="Note 14 4 6" xfId="41625"/>
    <cellStyle name="Note 14 5" xfId="5163"/>
    <cellStyle name="Note 14 5 2" xfId="38069"/>
    <cellStyle name="Note 14 5 3" xfId="39083"/>
    <cellStyle name="Note 14 5 4" xfId="5664"/>
    <cellStyle name="Note 14 6" xfId="36102"/>
    <cellStyle name="Note 14 7" xfId="38829"/>
    <cellStyle name="Note 14 8" xfId="5410"/>
    <cellStyle name="Note 14 9" xfId="39366"/>
    <cellStyle name="Note 15" xfId="4538"/>
    <cellStyle name="Note 15 10" xfId="40935"/>
    <cellStyle name="Note 15 2" xfId="4936"/>
    <cellStyle name="Note 15 2 2" xfId="4937"/>
    <cellStyle name="Note 15 2 2 2" xfId="4938"/>
    <cellStyle name="Note 15 2 2 2 2" xfId="37350"/>
    <cellStyle name="Note 15 2 2 2 3" xfId="38956"/>
    <cellStyle name="Note 15 2 2 2 4" xfId="5537"/>
    <cellStyle name="Note 15 2 2 2 5" xfId="40615"/>
    <cellStyle name="Note 15 2 2 2 6" xfId="42156"/>
    <cellStyle name="Note 15 2 2 3" xfId="5252"/>
    <cellStyle name="Note 15 2 2 3 2" xfId="38601"/>
    <cellStyle name="Note 15 2 2 3 3" xfId="39170"/>
    <cellStyle name="Note 15 2 2 3 4" xfId="5751"/>
    <cellStyle name="Note 15 2 2 4" xfId="37349"/>
    <cellStyle name="Note 15 2 2 5" xfId="38955"/>
    <cellStyle name="Note 15 2 2 6" xfId="5536"/>
    <cellStyle name="Note 15 2 2 7" xfId="39897"/>
    <cellStyle name="Note 15 2 2 8" xfId="41438"/>
    <cellStyle name="Note 15 2 3" xfId="4939"/>
    <cellStyle name="Note 15 2 3 2" xfId="37351"/>
    <cellStyle name="Note 15 2 3 3" xfId="38957"/>
    <cellStyle name="Note 15 2 3 4" xfId="5538"/>
    <cellStyle name="Note 15 2 3 5" xfId="40272"/>
    <cellStyle name="Note 15 2 3 6" xfId="41813"/>
    <cellStyle name="Note 15 2 4" xfId="5190"/>
    <cellStyle name="Note 15 2 4 2" xfId="38257"/>
    <cellStyle name="Note 15 2 4 3" xfId="39110"/>
    <cellStyle name="Note 15 2 4 4" xfId="5691"/>
    <cellStyle name="Note 15 2 5" xfId="37348"/>
    <cellStyle name="Note 15 2 6" xfId="38954"/>
    <cellStyle name="Note 15 2 7" xfId="5535"/>
    <cellStyle name="Note 15 2 8" xfId="39554"/>
    <cellStyle name="Note 15 2 9" xfId="41095"/>
    <cellStyle name="Note 15 3" xfId="4940"/>
    <cellStyle name="Note 15 3 2" xfId="4941"/>
    <cellStyle name="Note 15 3 2 2" xfId="37353"/>
    <cellStyle name="Note 15 3 2 3" xfId="38959"/>
    <cellStyle name="Note 15 3 2 4" xfId="5540"/>
    <cellStyle name="Note 15 3 2 5" xfId="40614"/>
    <cellStyle name="Note 15 3 2 6" xfId="42155"/>
    <cellStyle name="Note 15 3 3" xfId="5251"/>
    <cellStyle name="Note 15 3 3 2" xfId="38600"/>
    <cellStyle name="Note 15 3 3 3" xfId="39169"/>
    <cellStyle name="Note 15 3 3 4" xfId="5750"/>
    <cellStyle name="Note 15 3 4" xfId="37352"/>
    <cellStyle name="Note 15 3 5" xfId="38958"/>
    <cellStyle name="Note 15 3 6" xfId="5539"/>
    <cellStyle name="Note 15 3 7" xfId="39896"/>
    <cellStyle name="Note 15 3 8" xfId="41437"/>
    <cellStyle name="Note 15 4" xfId="4942"/>
    <cellStyle name="Note 15 4 2" xfId="37354"/>
    <cellStyle name="Note 15 4 3" xfId="38960"/>
    <cellStyle name="Note 15 4 4" xfId="5541"/>
    <cellStyle name="Note 15 4 5" xfId="40112"/>
    <cellStyle name="Note 15 4 6" xfId="41653"/>
    <cellStyle name="Note 15 5" xfId="5166"/>
    <cellStyle name="Note 15 5 2" xfId="38097"/>
    <cellStyle name="Note 15 5 3" xfId="39086"/>
    <cellStyle name="Note 15 5 4" xfId="5667"/>
    <cellStyle name="Note 15 6" xfId="35799"/>
    <cellStyle name="Note 15 7" xfId="38796"/>
    <cellStyle name="Note 15 8" xfId="5377"/>
    <cellStyle name="Note 15 9" xfId="39394"/>
    <cellStyle name="Note 16" xfId="4755"/>
    <cellStyle name="Note 16 2" xfId="4943"/>
    <cellStyle name="Note 16 2 2" xfId="37355"/>
    <cellStyle name="Note 16 2 3" xfId="38961"/>
    <cellStyle name="Note 16 2 4" xfId="5542"/>
    <cellStyle name="Note 16 2 5" xfId="40287"/>
    <cellStyle name="Note 16 2 6" xfId="41828"/>
    <cellStyle name="Note 16 3" xfId="5206"/>
    <cellStyle name="Note 16 3 2" xfId="38272"/>
    <cellStyle name="Note 16 3 3" xfId="39125"/>
    <cellStyle name="Note 16 3 4" xfId="5706"/>
    <cellStyle name="Note 16 4" xfId="36118"/>
    <cellStyle name="Note 16 5" xfId="38833"/>
    <cellStyle name="Note 16 6" xfId="5414"/>
    <cellStyle name="Note 16 7" xfId="39569"/>
    <cellStyle name="Note 16 8" xfId="41110"/>
    <cellStyle name="Note 17" xfId="4944"/>
    <cellStyle name="Note 17 2" xfId="5283"/>
    <cellStyle name="Note 17 2 2" xfId="38632"/>
    <cellStyle name="Note 17 2 3" xfId="39201"/>
    <cellStyle name="Note 17 2 4" xfId="5782"/>
    <cellStyle name="Note 17 3" xfId="37356"/>
    <cellStyle name="Note 17 4" xfId="38962"/>
    <cellStyle name="Note 17 5" xfId="5543"/>
    <cellStyle name="Note 17 6" xfId="40646"/>
    <cellStyle name="Note 17 7" xfId="42187"/>
    <cellStyle name="Note 18" xfId="4945"/>
    <cellStyle name="Note 18 2" xfId="5287"/>
    <cellStyle name="Note 18 2 2" xfId="38648"/>
    <cellStyle name="Note 18 2 3" xfId="39205"/>
    <cellStyle name="Note 18 2 4" xfId="5786"/>
    <cellStyle name="Note 18 3" xfId="37357"/>
    <cellStyle name="Note 18 4" xfId="38963"/>
    <cellStyle name="Note 18 5" xfId="5544"/>
    <cellStyle name="Note 18 6" xfId="40662"/>
    <cellStyle name="Note 18 7" xfId="42203"/>
    <cellStyle name="Note 19" xfId="4946"/>
    <cellStyle name="Note 19 2" xfId="37358"/>
    <cellStyle name="Note 19 3" xfId="38964"/>
    <cellStyle name="Note 19 4" xfId="5545"/>
    <cellStyle name="Note 19 5" xfId="39928"/>
    <cellStyle name="Note 19 6" xfId="41469"/>
    <cellStyle name="Note 2" xfId="155"/>
    <cellStyle name="Note 2 10" xfId="38728"/>
    <cellStyle name="Note 2 11" xfId="5309"/>
    <cellStyle name="Note 2 12" xfId="39225"/>
    <cellStyle name="Note 2 13" xfId="40747"/>
    <cellStyle name="Note 2 2" xfId="167"/>
    <cellStyle name="Note 2 2 10" xfId="39256"/>
    <cellStyle name="Note 2 2 11" xfId="40782"/>
    <cellStyle name="Note 2 2 2" xfId="4499"/>
    <cellStyle name="Note 2 2 2 10" xfId="40846"/>
    <cellStyle name="Note 2 2 2 2" xfId="4570"/>
    <cellStyle name="Note 2 2 2 2 2" xfId="4947"/>
    <cellStyle name="Note 2 2 2 2 2 2" xfId="4948"/>
    <cellStyle name="Note 2 2 2 2 2 2 2" xfId="37360"/>
    <cellStyle name="Note 2 2 2 2 2 2 3" xfId="38966"/>
    <cellStyle name="Note 2 2 2 2 2 2 4" xfId="5547"/>
    <cellStyle name="Note 2 2 2 2 2 2 5" xfId="40619"/>
    <cellStyle name="Note 2 2 2 2 2 2 6" xfId="42160"/>
    <cellStyle name="Note 2 2 2 2 2 3" xfId="5256"/>
    <cellStyle name="Note 2 2 2 2 2 3 2" xfId="38605"/>
    <cellStyle name="Note 2 2 2 2 2 3 3" xfId="39174"/>
    <cellStyle name="Note 2 2 2 2 2 3 4" xfId="5755"/>
    <cellStyle name="Note 2 2 2 2 2 4" xfId="37359"/>
    <cellStyle name="Note 2 2 2 2 2 5" xfId="38965"/>
    <cellStyle name="Note 2 2 2 2 2 6" xfId="5546"/>
    <cellStyle name="Note 2 2 2 2 2 7" xfId="39901"/>
    <cellStyle name="Note 2 2 2 2 2 8" xfId="41442"/>
    <cellStyle name="Note 2 2 2 2 3" xfId="4949"/>
    <cellStyle name="Note 2 2 2 2 3 2" xfId="37361"/>
    <cellStyle name="Note 2 2 2 2 3 3" xfId="38967"/>
    <cellStyle name="Note 2 2 2 2 3 4" xfId="5548"/>
    <cellStyle name="Note 2 2 2 2 3 5" xfId="40275"/>
    <cellStyle name="Note 2 2 2 2 3 6" xfId="41816"/>
    <cellStyle name="Note 2 2 2 2 4" xfId="5193"/>
    <cellStyle name="Note 2 2 2 2 4 2" xfId="38260"/>
    <cellStyle name="Note 2 2 2 2 4 3" xfId="39113"/>
    <cellStyle name="Note 2 2 2 2 4 4" xfId="5694"/>
    <cellStyle name="Note 2 2 2 2 5" xfId="35906"/>
    <cellStyle name="Note 2 2 2 2 6" xfId="38819"/>
    <cellStyle name="Note 2 2 2 2 7" xfId="5400"/>
    <cellStyle name="Note 2 2 2 2 8" xfId="39557"/>
    <cellStyle name="Note 2 2 2 2 9" xfId="41098"/>
    <cellStyle name="Note 2 2 2 3" xfId="4950"/>
    <cellStyle name="Note 2 2 2 3 2" xfId="4951"/>
    <cellStyle name="Note 2 2 2 3 2 2" xfId="37363"/>
    <cellStyle name="Note 2 2 2 3 2 3" xfId="38969"/>
    <cellStyle name="Note 2 2 2 3 2 4" xfId="5550"/>
    <cellStyle name="Note 2 2 2 3 2 5" xfId="40618"/>
    <cellStyle name="Note 2 2 2 3 2 6" xfId="42159"/>
    <cellStyle name="Note 2 2 2 3 3" xfId="5255"/>
    <cellStyle name="Note 2 2 2 3 3 2" xfId="38604"/>
    <cellStyle name="Note 2 2 2 3 3 3" xfId="39173"/>
    <cellStyle name="Note 2 2 2 3 3 4" xfId="5754"/>
    <cellStyle name="Note 2 2 2 3 4" xfId="37362"/>
    <cellStyle name="Note 2 2 2 3 5" xfId="38968"/>
    <cellStyle name="Note 2 2 2 3 6" xfId="5549"/>
    <cellStyle name="Note 2 2 2 3 7" xfId="39900"/>
    <cellStyle name="Note 2 2 2 3 8" xfId="41441"/>
    <cellStyle name="Note 2 2 2 4" xfId="4952"/>
    <cellStyle name="Note 2 2 2 4 2" xfId="37364"/>
    <cellStyle name="Note 2 2 2 4 3" xfId="38970"/>
    <cellStyle name="Note 2 2 2 4 4" xfId="5551"/>
    <cellStyle name="Note 2 2 2 4 5" xfId="40035"/>
    <cellStyle name="Note 2 2 2 4 6" xfId="41576"/>
    <cellStyle name="Note 2 2 2 5" xfId="5153"/>
    <cellStyle name="Note 2 2 2 5 2" xfId="38020"/>
    <cellStyle name="Note 2 2 2 5 3" xfId="39073"/>
    <cellStyle name="Note 2 2 2 5 4" xfId="5654"/>
    <cellStyle name="Note 2 2 2 6" xfId="35645"/>
    <cellStyle name="Note 2 2 2 7" xfId="38763"/>
    <cellStyle name="Note 2 2 2 8" xfId="5344"/>
    <cellStyle name="Note 2 2 2 9" xfId="39317"/>
    <cellStyle name="Note 2 2 3" xfId="4526"/>
    <cellStyle name="Note 2 2 3 2" xfId="4953"/>
    <cellStyle name="Note 2 2 3 2 2" xfId="4954"/>
    <cellStyle name="Note 2 2 3 2 2 2" xfId="37366"/>
    <cellStyle name="Note 2 2 3 2 2 3" xfId="38972"/>
    <cellStyle name="Note 2 2 3 2 2 4" xfId="5553"/>
    <cellStyle name="Note 2 2 3 2 2 5" xfId="40620"/>
    <cellStyle name="Note 2 2 3 2 2 6" xfId="42161"/>
    <cellStyle name="Note 2 2 3 2 3" xfId="5257"/>
    <cellStyle name="Note 2 2 3 2 3 2" xfId="38606"/>
    <cellStyle name="Note 2 2 3 2 3 3" xfId="39175"/>
    <cellStyle name="Note 2 2 3 2 3 4" xfId="5756"/>
    <cellStyle name="Note 2 2 3 2 4" xfId="37365"/>
    <cellStyle name="Note 2 2 3 2 5" xfId="38971"/>
    <cellStyle name="Note 2 2 3 2 6" xfId="5552"/>
    <cellStyle name="Note 2 2 3 2 7" xfId="39902"/>
    <cellStyle name="Note 2 2 3 2 8" xfId="41443"/>
    <cellStyle name="Note 2 2 3 3" xfId="4955"/>
    <cellStyle name="Note 2 2 3 3 2" xfId="37367"/>
    <cellStyle name="Note 2 2 3 3 3" xfId="38973"/>
    <cellStyle name="Note 2 2 3 3 4" xfId="5554"/>
    <cellStyle name="Note 2 2 3 3 5" xfId="40274"/>
    <cellStyle name="Note 2 2 3 3 6" xfId="41815"/>
    <cellStyle name="Note 2 2 3 4" xfId="5192"/>
    <cellStyle name="Note 2 2 3 4 2" xfId="38259"/>
    <cellStyle name="Note 2 2 3 4 3" xfId="39112"/>
    <cellStyle name="Note 2 2 3 4 4" xfId="5693"/>
    <cellStyle name="Note 2 2 3 5" xfId="35778"/>
    <cellStyle name="Note 2 2 3 6" xfId="38787"/>
    <cellStyle name="Note 2 2 3 7" xfId="5368"/>
    <cellStyle name="Note 2 2 3 8" xfId="39556"/>
    <cellStyle name="Note 2 2 3 9" xfId="41097"/>
    <cellStyle name="Note 2 2 4" xfId="4551"/>
    <cellStyle name="Note 2 2 4 2" xfId="4956"/>
    <cellStyle name="Note 2 2 4 2 2" xfId="37368"/>
    <cellStyle name="Note 2 2 4 2 3" xfId="38974"/>
    <cellStyle name="Note 2 2 4 2 4" xfId="5555"/>
    <cellStyle name="Note 2 2 4 2 5" xfId="40617"/>
    <cellStyle name="Note 2 2 4 2 6" xfId="42158"/>
    <cellStyle name="Note 2 2 4 3" xfId="5254"/>
    <cellStyle name="Note 2 2 4 3 2" xfId="38603"/>
    <cellStyle name="Note 2 2 4 3 3" xfId="39172"/>
    <cellStyle name="Note 2 2 4 3 4" xfId="5753"/>
    <cellStyle name="Note 2 2 4 4" xfId="35845"/>
    <cellStyle name="Note 2 2 4 5" xfId="38806"/>
    <cellStyle name="Note 2 2 4 6" xfId="5387"/>
    <cellStyle name="Note 2 2 4 7" xfId="39899"/>
    <cellStyle name="Note 2 2 4 8" xfId="41440"/>
    <cellStyle name="Note 2 2 5" xfId="4957"/>
    <cellStyle name="Note 2 2 5 2" xfId="37369"/>
    <cellStyle name="Note 2 2 5 3" xfId="38975"/>
    <cellStyle name="Note 2 2 5 4" xfId="5556"/>
    <cellStyle name="Note 2 2 5 5" xfId="39974"/>
    <cellStyle name="Note 2 2 5 6" xfId="41515"/>
    <cellStyle name="Note 2 2 6" xfId="5140"/>
    <cellStyle name="Note 2 2 6 2" xfId="37959"/>
    <cellStyle name="Note 2 2 6 3" xfId="39060"/>
    <cellStyle name="Note 2 2 6 4" xfId="5641"/>
    <cellStyle name="Note 2 2 7" xfId="5847"/>
    <cellStyle name="Note 2 2 8" xfId="38733"/>
    <cellStyle name="Note 2 2 9" xfId="5314"/>
    <cellStyle name="Note 2 3" xfId="176"/>
    <cellStyle name="Note 2 3 10" xfId="40815"/>
    <cellStyle name="Note 2 3 2" xfId="4517"/>
    <cellStyle name="Note 2 3 2 2" xfId="4958"/>
    <cellStyle name="Note 2 3 2 2 2" xfId="4959"/>
    <cellStyle name="Note 2 3 2 2 2 2" xfId="37371"/>
    <cellStyle name="Note 2 3 2 2 2 3" xfId="38977"/>
    <cellStyle name="Note 2 3 2 2 2 4" xfId="5558"/>
    <cellStyle name="Note 2 3 2 2 2 5" xfId="40622"/>
    <cellStyle name="Note 2 3 2 2 2 6" xfId="42163"/>
    <cellStyle name="Note 2 3 2 2 3" xfId="5259"/>
    <cellStyle name="Note 2 3 2 2 3 2" xfId="38608"/>
    <cellStyle name="Note 2 3 2 2 3 3" xfId="39177"/>
    <cellStyle name="Note 2 3 2 2 3 4" xfId="5758"/>
    <cellStyle name="Note 2 3 2 2 4" xfId="37370"/>
    <cellStyle name="Note 2 3 2 2 5" xfId="38976"/>
    <cellStyle name="Note 2 3 2 2 6" xfId="5557"/>
    <cellStyle name="Note 2 3 2 2 7" xfId="39904"/>
    <cellStyle name="Note 2 3 2 2 8" xfId="41445"/>
    <cellStyle name="Note 2 3 2 3" xfId="4960"/>
    <cellStyle name="Note 2 3 2 3 2" xfId="37372"/>
    <cellStyle name="Note 2 3 2 3 3" xfId="38978"/>
    <cellStyle name="Note 2 3 2 3 4" xfId="5559"/>
    <cellStyle name="Note 2 3 2 3 5" xfId="40276"/>
    <cellStyle name="Note 2 3 2 3 6" xfId="41817"/>
    <cellStyle name="Note 2 3 2 4" xfId="5194"/>
    <cellStyle name="Note 2 3 2 4 2" xfId="38261"/>
    <cellStyle name="Note 2 3 2 4 3" xfId="39114"/>
    <cellStyle name="Note 2 3 2 4 4" xfId="5695"/>
    <cellStyle name="Note 2 3 2 5" xfId="35747"/>
    <cellStyle name="Note 2 3 2 6" xfId="38780"/>
    <cellStyle name="Note 2 3 2 7" xfId="5361"/>
    <cellStyle name="Note 2 3 2 8" xfId="39558"/>
    <cellStyle name="Note 2 3 2 9" xfId="41099"/>
    <cellStyle name="Note 2 3 3" xfId="4563"/>
    <cellStyle name="Note 2 3 3 2" xfId="4961"/>
    <cellStyle name="Note 2 3 3 2 2" xfId="37373"/>
    <cellStyle name="Note 2 3 3 2 3" xfId="38979"/>
    <cellStyle name="Note 2 3 3 2 4" xfId="5560"/>
    <cellStyle name="Note 2 3 3 2 5" xfId="40621"/>
    <cellStyle name="Note 2 3 3 2 6" xfId="42162"/>
    <cellStyle name="Note 2 3 3 3" xfId="5258"/>
    <cellStyle name="Note 2 3 3 3 2" xfId="38607"/>
    <cellStyle name="Note 2 3 3 3 3" xfId="39176"/>
    <cellStyle name="Note 2 3 3 3 4" xfId="5757"/>
    <cellStyle name="Note 2 3 3 4" xfId="35875"/>
    <cellStyle name="Note 2 3 3 5" xfId="38812"/>
    <cellStyle name="Note 2 3 3 6" xfId="5393"/>
    <cellStyle name="Note 2 3 3 7" xfId="39903"/>
    <cellStyle name="Note 2 3 3 8" xfId="41444"/>
    <cellStyle name="Note 2 3 4" xfId="4962"/>
    <cellStyle name="Note 2 3 4 2" xfId="37374"/>
    <cellStyle name="Note 2 3 4 3" xfId="38980"/>
    <cellStyle name="Note 2 3 4 4" xfId="5561"/>
    <cellStyle name="Note 2 3 4 5" xfId="40004"/>
    <cellStyle name="Note 2 3 4 6" xfId="41545"/>
    <cellStyle name="Note 2 3 5" xfId="5146"/>
    <cellStyle name="Note 2 3 5 2" xfId="37989"/>
    <cellStyle name="Note 2 3 5 3" xfId="39066"/>
    <cellStyle name="Note 2 3 5 4" xfId="5647"/>
    <cellStyle name="Note 2 3 6" xfId="5890"/>
    <cellStyle name="Note 2 3 7" xfId="38740"/>
    <cellStyle name="Note 2 3 8" xfId="5321"/>
    <cellStyle name="Note 2 3 9" xfId="39286"/>
    <cellStyle name="Note 2 4" xfId="4477"/>
    <cellStyle name="Note 2 4 2" xfId="4610"/>
    <cellStyle name="Note 2 4 3" xfId="35584"/>
    <cellStyle name="Note 2 4 4" xfId="38751"/>
    <cellStyle name="Note 2 4 5" xfId="5332"/>
    <cellStyle name="Note 2 5" xfId="4485"/>
    <cellStyle name="Note 2 5 2" xfId="4963"/>
    <cellStyle name="Note 2 5 2 2" xfId="4964"/>
    <cellStyle name="Note 2 5 2 2 2" xfId="37376"/>
    <cellStyle name="Note 2 5 2 2 3" xfId="38982"/>
    <cellStyle name="Note 2 5 2 2 4" xfId="5563"/>
    <cellStyle name="Note 2 5 2 2 5" xfId="40623"/>
    <cellStyle name="Note 2 5 2 2 6" xfId="42164"/>
    <cellStyle name="Note 2 5 2 3" xfId="5260"/>
    <cellStyle name="Note 2 5 2 3 2" xfId="38609"/>
    <cellStyle name="Note 2 5 2 3 3" xfId="39178"/>
    <cellStyle name="Note 2 5 2 3 4" xfId="5759"/>
    <cellStyle name="Note 2 5 2 4" xfId="37375"/>
    <cellStyle name="Note 2 5 2 5" xfId="38981"/>
    <cellStyle name="Note 2 5 2 6" xfId="5562"/>
    <cellStyle name="Note 2 5 2 7" xfId="39905"/>
    <cellStyle name="Note 2 5 2 8" xfId="41446"/>
    <cellStyle name="Note 2 5 3" xfId="4965"/>
    <cellStyle name="Note 2 5 3 2" xfId="37377"/>
    <cellStyle name="Note 2 5 3 3" xfId="38983"/>
    <cellStyle name="Note 2 5 3 4" xfId="5564"/>
    <cellStyle name="Note 2 5 3 5" xfId="40273"/>
    <cellStyle name="Note 2 5 3 6" xfId="41814"/>
    <cellStyle name="Note 2 5 4" xfId="5191"/>
    <cellStyle name="Note 2 5 4 2" xfId="38258"/>
    <cellStyle name="Note 2 5 4 3" xfId="39111"/>
    <cellStyle name="Note 2 5 4 4" xfId="5692"/>
    <cellStyle name="Note 2 5 5" xfId="35614"/>
    <cellStyle name="Note 2 5 6" xfId="38756"/>
    <cellStyle name="Note 2 5 7" xfId="5337"/>
    <cellStyle name="Note 2 5 8" xfId="39555"/>
    <cellStyle name="Note 2 5 9" xfId="41096"/>
    <cellStyle name="Note 2 6" xfId="4505"/>
    <cellStyle name="Note 2 6 2" xfId="4966"/>
    <cellStyle name="Note 2 6 2 2" xfId="37378"/>
    <cellStyle name="Note 2 6 2 3" xfId="38984"/>
    <cellStyle name="Note 2 6 2 4" xfId="5565"/>
    <cellStyle name="Note 2 6 2 5" xfId="40616"/>
    <cellStyle name="Note 2 6 2 6" xfId="42157"/>
    <cellStyle name="Note 2 6 3" xfId="5253"/>
    <cellStyle name="Note 2 6 3 2" xfId="38602"/>
    <cellStyle name="Note 2 6 3 3" xfId="39171"/>
    <cellStyle name="Note 2 6 3 4" xfId="5752"/>
    <cellStyle name="Note 2 6 4" xfId="35675"/>
    <cellStyle name="Note 2 6 5" xfId="38768"/>
    <cellStyle name="Note 2 6 6" xfId="5349"/>
    <cellStyle name="Note 2 6 7" xfId="39898"/>
    <cellStyle name="Note 2 6 8" xfId="41439"/>
    <cellStyle name="Note 2 7" xfId="4542"/>
    <cellStyle name="Note 2 7 2" xfId="35814"/>
    <cellStyle name="Note 2 7 3" xfId="38799"/>
    <cellStyle name="Note 2 7 4" xfId="5380"/>
    <cellStyle name="Note 2 7 5" xfId="39943"/>
    <cellStyle name="Note 2 7 6" xfId="41484"/>
    <cellStyle name="Note 2 8" xfId="5133"/>
    <cellStyle name="Note 2 8 2" xfId="37928"/>
    <cellStyle name="Note 2 8 3" xfId="39053"/>
    <cellStyle name="Note 2 8 4" xfId="5634"/>
    <cellStyle name="Note 2 9" xfId="5818"/>
    <cellStyle name="Note 20" xfId="5130"/>
    <cellStyle name="Note 20 2" xfId="37913"/>
    <cellStyle name="Note 20 3" xfId="39050"/>
    <cellStyle name="Note 20 4" xfId="5631"/>
    <cellStyle name="Note 21" xfId="5801"/>
    <cellStyle name="Note 22" xfId="38723"/>
    <cellStyle name="Note 23" xfId="5304"/>
    <cellStyle name="Note 24" xfId="39210"/>
    <cellStyle name="Note 25" xfId="40730"/>
    <cellStyle name="Note 3" xfId="153"/>
    <cellStyle name="Note 3 10" xfId="5307"/>
    <cellStyle name="Note 3 11" xfId="39241"/>
    <cellStyle name="Note 3 12" xfId="40764"/>
    <cellStyle name="Note 3 2" xfId="170"/>
    <cellStyle name="Note 3 2 10" xfId="40831"/>
    <cellStyle name="Note 3 2 2" xfId="4522"/>
    <cellStyle name="Note 3 2 2 2" xfId="4967"/>
    <cellStyle name="Note 3 2 2 2 2" xfId="4968"/>
    <cellStyle name="Note 3 2 2 2 2 2" xfId="37380"/>
    <cellStyle name="Note 3 2 2 2 2 3" xfId="38986"/>
    <cellStyle name="Note 3 2 2 2 2 4" xfId="5567"/>
    <cellStyle name="Note 3 2 2 2 2 5" xfId="40626"/>
    <cellStyle name="Note 3 2 2 2 2 6" xfId="42167"/>
    <cellStyle name="Note 3 2 2 2 3" xfId="5263"/>
    <cellStyle name="Note 3 2 2 2 3 2" xfId="38612"/>
    <cellStyle name="Note 3 2 2 2 3 3" xfId="39181"/>
    <cellStyle name="Note 3 2 2 2 3 4" xfId="5762"/>
    <cellStyle name="Note 3 2 2 2 4" xfId="37379"/>
    <cellStyle name="Note 3 2 2 2 5" xfId="38985"/>
    <cellStyle name="Note 3 2 2 2 6" xfId="5566"/>
    <cellStyle name="Note 3 2 2 2 7" xfId="39908"/>
    <cellStyle name="Note 3 2 2 2 8" xfId="41449"/>
    <cellStyle name="Note 3 2 2 3" xfId="4969"/>
    <cellStyle name="Note 3 2 2 3 2" xfId="37381"/>
    <cellStyle name="Note 3 2 2 3 3" xfId="38987"/>
    <cellStyle name="Note 3 2 2 3 4" xfId="5568"/>
    <cellStyle name="Note 3 2 2 3 5" xfId="40278"/>
    <cellStyle name="Note 3 2 2 3 6" xfId="41819"/>
    <cellStyle name="Note 3 2 2 4" xfId="5196"/>
    <cellStyle name="Note 3 2 2 4 2" xfId="38263"/>
    <cellStyle name="Note 3 2 2 4 3" xfId="39116"/>
    <cellStyle name="Note 3 2 2 4 4" xfId="5697"/>
    <cellStyle name="Note 3 2 2 5" xfId="35763"/>
    <cellStyle name="Note 3 2 2 6" xfId="38784"/>
    <cellStyle name="Note 3 2 2 7" xfId="5365"/>
    <cellStyle name="Note 3 2 2 8" xfId="39560"/>
    <cellStyle name="Note 3 2 2 9" xfId="41101"/>
    <cellStyle name="Note 3 2 3" xfId="4567"/>
    <cellStyle name="Note 3 2 3 2" xfId="4970"/>
    <cellStyle name="Note 3 2 3 2 2" xfId="37382"/>
    <cellStyle name="Note 3 2 3 2 3" xfId="38988"/>
    <cellStyle name="Note 3 2 3 2 4" xfId="5569"/>
    <cellStyle name="Note 3 2 3 2 5" xfId="40625"/>
    <cellStyle name="Note 3 2 3 2 6" xfId="42166"/>
    <cellStyle name="Note 3 2 3 3" xfId="5262"/>
    <cellStyle name="Note 3 2 3 3 2" xfId="38611"/>
    <cellStyle name="Note 3 2 3 3 3" xfId="39180"/>
    <cellStyle name="Note 3 2 3 3 4" xfId="5761"/>
    <cellStyle name="Note 3 2 3 4" xfId="35891"/>
    <cellStyle name="Note 3 2 3 5" xfId="38816"/>
    <cellStyle name="Note 3 2 3 6" xfId="5397"/>
    <cellStyle name="Note 3 2 3 7" xfId="39907"/>
    <cellStyle name="Note 3 2 3 8" xfId="41448"/>
    <cellStyle name="Note 3 2 4" xfId="4971"/>
    <cellStyle name="Note 3 2 4 2" xfId="37383"/>
    <cellStyle name="Note 3 2 4 3" xfId="38989"/>
    <cellStyle name="Note 3 2 4 4" xfId="5570"/>
    <cellStyle name="Note 3 2 4 5" xfId="40020"/>
    <cellStyle name="Note 3 2 4 6" xfId="41561"/>
    <cellStyle name="Note 3 2 5" xfId="5150"/>
    <cellStyle name="Note 3 2 5 2" xfId="38005"/>
    <cellStyle name="Note 3 2 5 3" xfId="39070"/>
    <cellStyle name="Note 3 2 5 4" xfId="5651"/>
    <cellStyle name="Note 3 2 6" xfId="5862"/>
    <cellStyle name="Note 3 2 7" xfId="38736"/>
    <cellStyle name="Note 3 2 8" xfId="5317"/>
    <cellStyle name="Note 3 2 9" xfId="39302"/>
    <cellStyle name="Note 3 3" xfId="179"/>
    <cellStyle name="Note 3 3 2" xfId="4617"/>
    <cellStyle name="Note 3 3 3" xfId="5905"/>
    <cellStyle name="Note 3 3 4" xfId="38743"/>
    <cellStyle name="Note 3 3 5" xfId="5324"/>
    <cellStyle name="Note 3 4" xfId="4489"/>
    <cellStyle name="Note 3 4 2" xfId="4972"/>
    <cellStyle name="Note 3 4 2 2" xfId="4973"/>
    <cellStyle name="Note 3 4 2 2 2" xfId="37385"/>
    <cellStyle name="Note 3 4 2 2 3" xfId="38991"/>
    <cellStyle name="Note 3 4 2 2 4" xfId="5572"/>
    <cellStyle name="Note 3 4 2 2 5" xfId="40627"/>
    <cellStyle name="Note 3 4 2 2 6" xfId="42168"/>
    <cellStyle name="Note 3 4 2 3" xfId="5264"/>
    <cellStyle name="Note 3 4 2 3 2" xfId="38613"/>
    <cellStyle name="Note 3 4 2 3 3" xfId="39182"/>
    <cellStyle name="Note 3 4 2 3 4" xfId="5763"/>
    <cellStyle name="Note 3 4 2 4" xfId="37384"/>
    <cellStyle name="Note 3 4 2 5" xfId="38990"/>
    <cellStyle name="Note 3 4 2 6" xfId="5571"/>
    <cellStyle name="Note 3 4 2 7" xfId="39909"/>
    <cellStyle name="Note 3 4 2 8" xfId="41450"/>
    <cellStyle name="Note 3 4 3" xfId="4974"/>
    <cellStyle name="Note 3 4 3 2" xfId="37386"/>
    <cellStyle name="Note 3 4 3 3" xfId="38992"/>
    <cellStyle name="Note 3 4 3 4" xfId="5573"/>
    <cellStyle name="Note 3 4 3 5" xfId="40277"/>
    <cellStyle name="Note 3 4 3 6" xfId="41818"/>
    <cellStyle name="Note 3 4 4" xfId="5195"/>
    <cellStyle name="Note 3 4 4 2" xfId="38262"/>
    <cellStyle name="Note 3 4 4 3" xfId="39115"/>
    <cellStyle name="Note 3 4 4 4" xfId="5696"/>
    <cellStyle name="Note 3 4 5" xfId="35630"/>
    <cellStyle name="Note 3 4 6" xfId="38760"/>
    <cellStyle name="Note 3 4 7" xfId="5341"/>
    <cellStyle name="Note 3 4 8" xfId="39559"/>
    <cellStyle name="Note 3 4 9" xfId="41100"/>
    <cellStyle name="Note 3 5" xfId="4508"/>
    <cellStyle name="Note 3 5 2" xfId="4975"/>
    <cellStyle name="Note 3 5 2 2" xfId="37387"/>
    <cellStyle name="Note 3 5 2 3" xfId="38993"/>
    <cellStyle name="Note 3 5 2 4" xfId="5574"/>
    <cellStyle name="Note 3 5 2 5" xfId="40624"/>
    <cellStyle name="Note 3 5 2 6" xfId="42165"/>
    <cellStyle name="Note 3 5 3" xfId="5261"/>
    <cellStyle name="Note 3 5 3 2" xfId="38610"/>
    <cellStyle name="Note 3 5 3 3" xfId="39179"/>
    <cellStyle name="Note 3 5 3 4" xfId="5760"/>
    <cellStyle name="Note 3 5 4" xfId="35690"/>
    <cellStyle name="Note 3 5 5" xfId="38771"/>
    <cellStyle name="Note 3 5 6" xfId="5352"/>
    <cellStyle name="Note 3 5 7" xfId="39906"/>
    <cellStyle name="Note 3 5 8" xfId="41447"/>
    <cellStyle name="Note 3 6" xfId="4547"/>
    <cellStyle name="Note 3 6 2" xfId="35830"/>
    <cellStyle name="Note 3 6 3" xfId="38803"/>
    <cellStyle name="Note 3 6 4" xfId="5384"/>
    <cellStyle name="Note 3 6 5" xfId="39959"/>
    <cellStyle name="Note 3 6 6" xfId="41500"/>
    <cellStyle name="Note 3 7" xfId="5137"/>
    <cellStyle name="Note 3 7 2" xfId="37944"/>
    <cellStyle name="Note 3 7 3" xfId="39057"/>
    <cellStyle name="Note 3 7 4" xfId="5638"/>
    <cellStyle name="Note 3 8" xfId="5804"/>
    <cellStyle name="Note 3 9" xfId="38726"/>
    <cellStyle name="Note 4" xfId="164"/>
    <cellStyle name="Note 4 10" xfId="39271"/>
    <cellStyle name="Note 4 11" xfId="40800"/>
    <cellStyle name="Note 4 2" xfId="181"/>
    <cellStyle name="Note 4 2 2" xfId="4619"/>
    <cellStyle name="Note 4 2 3" xfId="5919"/>
    <cellStyle name="Note 4 2 4" xfId="38745"/>
    <cellStyle name="Note 4 2 5" xfId="5326"/>
    <cellStyle name="Note 4 3" xfId="4510"/>
    <cellStyle name="Note 4 3 2" xfId="4976"/>
    <cellStyle name="Note 4 3 2 2" xfId="4977"/>
    <cellStyle name="Note 4 3 2 2 2" xfId="37389"/>
    <cellStyle name="Note 4 3 2 2 3" xfId="38995"/>
    <cellStyle name="Note 4 3 2 2 4" xfId="5576"/>
    <cellStyle name="Note 4 3 2 2 5" xfId="40629"/>
    <cellStyle name="Note 4 3 2 2 6" xfId="42170"/>
    <cellStyle name="Note 4 3 2 3" xfId="5266"/>
    <cellStyle name="Note 4 3 2 3 2" xfId="38615"/>
    <cellStyle name="Note 4 3 2 3 3" xfId="39184"/>
    <cellStyle name="Note 4 3 2 3 4" xfId="5765"/>
    <cellStyle name="Note 4 3 2 4" xfId="37388"/>
    <cellStyle name="Note 4 3 2 5" xfId="38994"/>
    <cellStyle name="Note 4 3 2 6" xfId="5575"/>
    <cellStyle name="Note 4 3 2 7" xfId="39911"/>
    <cellStyle name="Note 4 3 2 8" xfId="41452"/>
    <cellStyle name="Note 4 3 3" xfId="4978"/>
    <cellStyle name="Note 4 3 3 2" xfId="37390"/>
    <cellStyle name="Note 4 3 3 3" xfId="38996"/>
    <cellStyle name="Note 4 3 3 4" xfId="5577"/>
    <cellStyle name="Note 4 3 3 5" xfId="40279"/>
    <cellStyle name="Note 4 3 3 6" xfId="41820"/>
    <cellStyle name="Note 4 3 4" xfId="5197"/>
    <cellStyle name="Note 4 3 4 2" xfId="38264"/>
    <cellStyle name="Note 4 3 4 3" xfId="39117"/>
    <cellStyle name="Note 4 3 4 4" xfId="5698"/>
    <cellStyle name="Note 4 3 5" xfId="35704"/>
    <cellStyle name="Note 4 3 6" xfId="38773"/>
    <cellStyle name="Note 4 3 7" xfId="5354"/>
    <cellStyle name="Note 4 3 8" xfId="39561"/>
    <cellStyle name="Note 4 3 9" xfId="41102"/>
    <cellStyle name="Note 4 4" xfId="4560"/>
    <cellStyle name="Note 4 4 2" xfId="4979"/>
    <cellStyle name="Note 4 4 2 2" xfId="37391"/>
    <cellStyle name="Note 4 4 2 3" xfId="38997"/>
    <cellStyle name="Note 4 4 2 4" xfId="5578"/>
    <cellStyle name="Note 4 4 2 5" xfId="40628"/>
    <cellStyle name="Note 4 4 2 6" xfId="42169"/>
    <cellStyle name="Note 4 4 3" xfId="5265"/>
    <cellStyle name="Note 4 4 3 2" xfId="38614"/>
    <cellStyle name="Note 4 4 3 3" xfId="39183"/>
    <cellStyle name="Note 4 4 3 4" xfId="5764"/>
    <cellStyle name="Note 4 4 4" xfId="35860"/>
    <cellStyle name="Note 4 4 5" xfId="38809"/>
    <cellStyle name="Note 4 4 6" xfId="5390"/>
    <cellStyle name="Note 4 4 7" xfId="39910"/>
    <cellStyle name="Note 4 4 8" xfId="41451"/>
    <cellStyle name="Note 4 5" xfId="4980"/>
    <cellStyle name="Note 4 5 2" xfId="37392"/>
    <cellStyle name="Note 4 5 3" xfId="38998"/>
    <cellStyle name="Note 4 5 4" xfId="5579"/>
    <cellStyle name="Note 4 5 5" xfId="39989"/>
    <cellStyle name="Note 4 5 6" xfId="41530"/>
    <cellStyle name="Note 4 6" xfId="5143"/>
    <cellStyle name="Note 4 6 2" xfId="37974"/>
    <cellStyle name="Note 4 6 3" xfId="39063"/>
    <cellStyle name="Note 4 6 4" xfId="5644"/>
    <cellStyle name="Note 4 7" xfId="5833"/>
    <cellStyle name="Note 4 8" xfId="38731"/>
    <cellStyle name="Note 4 9" xfId="5312"/>
    <cellStyle name="Note 5" xfId="183"/>
    <cellStyle name="Note 5 10" xfId="39333"/>
    <cellStyle name="Note 5 11" xfId="40866"/>
    <cellStyle name="Note 5 2" xfId="4512"/>
    <cellStyle name="Note 5 2 2" xfId="4621"/>
    <cellStyle name="Note 5 2 3" xfId="35718"/>
    <cellStyle name="Note 5 2 4" xfId="38775"/>
    <cellStyle name="Note 5 2 5" xfId="5356"/>
    <cellStyle name="Note 5 3" xfId="4579"/>
    <cellStyle name="Note 5 3 2" xfId="4981"/>
    <cellStyle name="Note 5 3 2 2" xfId="4982"/>
    <cellStyle name="Note 5 3 2 2 2" xfId="37394"/>
    <cellStyle name="Note 5 3 2 2 3" xfId="39000"/>
    <cellStyle name="Note 5 3 2 2 4" xfId="5581"/>
    <cellStyle name="Note 5 3 2 2 5" xfId="40631"/>
    <cellStyle name="Note 5 3 2 2 6" xfId="42172"/>
    <cellStyle name="Note 5 3 2 3" xfId="5268"/>
    <cellStyle name="Note 5 3 2 3 2" xfId="38617"/>
    <cellStyle name="Note 5 3 2 3 3" xfId="39186"/>
    <cellStyle name="Note 5 3 2 3 4" xfId="5767"/>
    <cellStyle name="Note 5 3 2 4" xfId="37393"/>
    <cellStyle name="Note 5 3 2 5" xfId="38999"/>
    <cellStyle name="Note 5 3 2 6" xfId="5580"/>
    <cellStyle name="Note 5 3 2 7" xfId="39913"/>
    <cellStyle name="Note 5 3 2 8" xfId="41454"/>
    <cellStyle name="Note 5 3 3" xfId="4983"/>
    <cellStyle name="Note 5 3 3 2" xfId="37395"/>
    <cellStyle name="Note 5 3 3 3" xfId="39001"/>
    <cellStyle name="Note 5 3 3 4" xfId="5582"/>
    <cellStyle name="Note 5 3 3 5" xfId="40280"/>
    <cellStyle name="Note 5 3 3 6" xfId="41821"/>
    <cellStyle name="Note 5 3 4" xfId="5198"/>
    <cellStyle name="Note 5 3 4 2" xfId="38265"/>
    <cellStyle name="Note 5 3 4 3" xfId="39118"/>
    <cellStyle name="Note 5 3 4 4" xfId="5699"/>
    <cellStyle name="Note 5 3 5" xfId="35921"/>
    <cellStyle name="Note 5 3 6" xfId="38822"/>
    <cellStyle name="Note 5 3 7" xfId="5403"/>
    <cellStyle name="Note 5 3 8" xfId="39562"/>
    <cellStyle name="Note 5 3 9" xfId="41103"/>
    <cellStyle name="Note 5 4" xfId="4984"/>
    <cellStyle name="Note 5 4 2" xfId="4985"/>
    <cellStyle name="Note 5 4 2 2" xfId="37397"/>
    <cellStyle name="Note 5 4 2 3" xfId="39003"/>
    <cellStyle name="Note 5 4 2 4" xfId="5584"/>
    <cellStyle name="Note 5 4 2 5" xfId="40630"/>
    <cellStyle name="Note 5 4 2 6" xfId="42171"/>
    <cellStyle name="Note 5 4 3" xfId="5267"/>
    <cellStyle name="Note 5 4 3 2" xfId="38616"/>
    <cellStyle name="Note 5 4 3 3" xfId="39185"/>
    <cellStyle name="Note 5 4 3 4" xfId="5766"/>
    <cellStyle name="Note 5 4 4" xfId="37396"/>
    <cellStyle name="Note 5 4 5" xfId="39002"/>
    <cellStyle name="Note 5 4 6" xfId="5583"/>
    <cellStyle name="Note 5 4 7" xfId="39912"/>
    <cellStyle name="Note 5 4 8" xfId="41453"/>
    <cellStyle name="Note 5 5" xfId="4986"/>
    <cellStyle name="Note 5 5 2" xfId="37398"/>
    <cellStyle name="Note 5 5 3" xfId="39004"/>
    <cellStyle name="Note 5 5 4" xfId="5585"/>
    <cellStyle name="Note 5 5 5" xfId="40051"/>
    <cellStyle name="Note 5 5 6" xfId="41592"/>
    <cellStyle name="Note 5 6" xfId="5156"/>
    <cellStyle name="Note 5 6 2" xfId="38036"/>
    <cellStyle name="Note 5 6 3" xfId="39076"/>
    <cellStyle name="Note 5 6 4" xfId="5657"/>
    <cellStyle name="Note 5 7" xfId="5933"/>
    <cellStyle name="Note 5 8" xfId="38747"/>
    <cellStyle name="Note 5 9" xfId="5328"/>
    <cellStyle name="Note 6" xfId="174"/>
    <cellStyle name="Note 6 2" xfId="4514"/>
    <cellStyle name="Note 6 2 2" xfId="35732"/>
    <cellStyle name="Note 6 2 3" xfId="38777"/>
    <cellStyle name="Note 6 2 4" xfId="5358"/>
    <cellStyle name="Note 6 3" xfId="4624"/>
    <cellStyle name="Note 6 4" xfId="5876"/>
    <cellStyle name="Note 6 5" xfId="38738"/>
    <cellStyle name="Note 6 6" xfId="5319"/>
    <cellStyle name="Note 7" xfId="4475"/>
    <cellStyle name="Note 7 2" xfId="4626"/>
    <cellStyle name="Note 7 3" xfId="35570"/>
    <cellStyle name="Note 7 4" xfId="38749"/>
    <cellStyle name="Note 7 5" xfId="5330"/>
    <cellStyle name="Note 8" xfId="4483"/>
    <cellStyle name="Note 8 2" xfId="4628"/>
    <cellStyle name="Note 8 3" xfId="35600"/>
    <cellStyle name="Note 8 4" xfId="38754"/>
    <cellStyle name="Note 8 5" xfId="5335"/>
    <cellStyle name="Note 9" xfId="4503"/>
    <cellStyle name="Note 9 2" xfId="4631"/>
    <cellStyle name="Note 9 3" xfId="35661"/>
    <cellStyle name="Note 9 4" xfId="38766"/>
    <cellStyle name="Note 9 5" xfId="5347"/>
    <cellStyle name="Output" xfId="20" builtinId="21" hidden="1" customBuiltin="1"/>
    <cellStyle name="Output" xfId="99" builtinId="21" customBuiltin="1"/>
    <cellStyle name="Output 2" xfId="4611"/>
    <cellStyle name="Parent row" xfId="4592"/>
    <cellStyle name="Percent" xfId="14" builtinId="5" hidden="1"/>
    <cellStyle name="Percent" xfId="4534" builtinId="5"/>
    <cellStyle name="Percent 10" xfId="4987"/>
    <cellStyle name="Percent 10 2" xfId="37399"/>
    <cellStyle name="Percent 10 3" xfId="39005"/>
    <cellStyle name="Percent 10 4" xfId="5586"/>
    <cellStyle name="Percent 10 5" xfId="39942"/>
    <cellStyle name="Percent 10 6" xfId="41483"/>
    <cellStyle name="Percent 11" xfId="5132"/>
    <cellStyle name="Percent 11 2" xfId="37927"/>
    <cellStyle name="Percent 11 3" xfId="39052"/>
    <cellStyle name="Percent 11 4" xfId="5633"/>
    <cellStyle name="Percent 12" xfId="35797"/>
    <cellStyle name="Percent 13" xfId="38794"/>
    <cellStyle name="Percent 14" xfId="5375"/>
    <cellStyle name="Percent 15" xfId="39224"/>
    <cellStyle name="Percent 16" xfId="40746"/>
    <cellStyle name="Percent 2" xfId="4339"/>
    <cellStyle name="Percent 2 2" xfId="4488"/>
    <cellStyle name="Percent 2 2 10" xfId="40830"/>
    <cellStyle name="Percent 2 2 2" xfId="4566"/>
    <cellStyle name="Percent 2 2 2 2" xfId="4988"/>
    <cellStyle name="Percent 2 2 2 2 2" xfId="4989"/>
    <cellStyle name="Percent 2 2 2 2 2 2" xfId="37401"/>
    <cellStyle name="Percent 2 2 2 2 2 3" xfId="39007"/>
    <cellStyle name="Percent 2 2 2 2 2 4" xfId="5588"/>
    <cellStyle name="Percent 2 2 2 2 2 5" xfId="40634"/>
    <cellStyle name="Percent 2 2 2 2 2 6" xfId="42175"/>
    <cellStyle name="Percent 2 2 2 2 3" xfId="5271"/>
    <cellStyle name="Percent 2 2 2 2 3 2" xfId="38620"/>
    <cellStyle name="Percent 2 2 2 2 3 3" xfId="39189"/>
    <cellStyle name="Percent 2 2 2 2 3 4" xfId="5770"/>
    <cellStyle name="Percent 2 2 2 2 4" xfId="37400"/>
    <cellStyle name="Percent 2 2 2 2 5" xfId="39006"/>
    <cellStyle name="Percent 2 2 2 2 6" xfId="5587"/>
    <cellStyle name="Percent 2 2 2 2 7" xfId="39916"/>
    <cellStyle name="Percent 2 2 2 2 8" xfId="41457"/>
    <cellStyle name="Percent 2 2 2 3" xfId="4990"/>
    <cellStyle name="Percent 2 2 2 3 2" xfId="37402"/>
    <cellStyle name="Percent 2 2 2 3 3" xfId="39008"/>
    <cellStyle name="Percent 2 2 2 3 4" xfId="5589"/>
    <cellStyle name="Percent 2 2 2 3 5" xfId="40282"/>
    <cellStyle name="Percent 2 2 2 3 6" xfId="41823"/>
    <cellStyle name="Percent 2 2 2 4" xfId="5200"/>
    <cellStyle name="Percent 2 2 2 4 2" xfId="38267"/>
    <cellStyle name="Percent 2 2 2 4 3" xfId="39120"/>
    <cellStyle name="Percent 2 2 2 4 4" xfId="5701"/>
    <cellStyle name="Percent 2 2 2 5" xfId="35890"/>
    <cellStyle name="Percent 2 2 2 6" xfId="38815"/>
    <cellStyle name="Percent 2 2 2 7" xfId="5396"/>
    <cellStyle name="Percent 2 2 2 8" xfId="39564"/>
    <cellStyle name="Percent 2 2 2 9" xfId="41105"/>
    <cellStyle name="Percent 2 2 3" xfId="4991"/>
    <cellStyle name="Percent 2 2 3 2" xfId="4992"/>
    <cellStyle name="Percent 2 2 3 2 2" xfId="37404"/>
    <cellStyle name="Percent 2 2 3 2 3" xfId="39010"/>
    <cellStyle name="Percent 2 2 3 2 4" xfId="5591"/>
    <cellStyle name="Percent 2 2 3 2 5" xfId="40633"/>
    <cellStyle name="Percent 2 2 3 2 6" xfId="42174"/>
    <cellStyle name="Percent 2 2 3 3" xfId="5270"/>
    <cellStyle name="Percent 2 2 3 3 2" xfId="38619"/>
    <cellStyle name="Percent 2 2 3 3 3" xfId="39188"/>
    <cellStyle name="Percent 2 2 3 3 4" xfId="5769"/>
    <cellStyle name="Percent 2 2 3 4" xfId="37403"/>
    <cellStyle name="Percent 2 2 3 5" xfId="39009"/>
    <cellStyle name="Percent 2 2 3 6" xfId="5590"/>
    <cellStyle name="Percent 2 2 3 7" xfId="39915"/>
    <cellStyle name="Percent 2 2 3 8" xfId="41456"/>
    <cellStyle name="Percent 2 2 4" xfId="4993"/>
    <cellStyle name="Percent 2 2 4 2" xfId="37405"/>
    <cellStyle name="Percent 2 2 4 3" xfId="39011"/>
    <cellStyle name="Percent 2 2 4 4" xfId="5592"/>
    <cellStyle name="Percent 2 2 4 5" xfId="40019"/>
    <cellStyle name="Percent 2 2 4 6" xfId="41560"/>
    <cellStyle name="Percent 2 2 5" xfId="5149"/>
    <cellStyle name="Percent 2 2 5 2" xfId="38004"/>
    <cellStyle name="Percent 2 2 5 3" xfId="39069"/>
    <cellStyle name="Percent 2 2 5 4" xfId="5650"/>
    <cellStyle name="Percent 2 2 6" xfId="35629"/>
    <cellStyle name="Percent 2 2 7" xfId="38759"/>
    <cellStyle name="Percent 2 2 8" xfId="5340"/>
    <cellStyle name="Percent 2 2 9" xfId="39301"/>
    <cellStyle name="Percent 2 3" xfId="4521"/>
    <cellStyle name="Percent 2 3 2" xfId="4623"/>
    <cellStyle name="Percent 2 3 3" xfId="35762"/>
    <cellStyle name="Percent 2 3 4" xfId="38783"/>
    <cellStyle name="Percent 2 3 5" xfId="5364"/>
    <cellStyle name="Percent 2 4" xfId="4546"/>
    <cellStyle name="Percent 2 4 2" xfId="4994"/>
    <cellStyle name="Percent 2 4 2 2" xfId="4995"/>
    <cellStyle name="Percent 2 4 2 2 2" xfId="37407"/>
    <cellStyle name="Percent 2 4 2 2 3" xfId="39013"/>
    <cellStyle name="Percent 2 4 2 2 4" xfId="5594"/>
    <cellStyle name="Percent 2 4 2 2 5" xfId="40635"/>
    <cellStyle name="Percent 2 4 2 2 6" xfId="42176"/>
    <cellStyle name="Percent 2 4 2 3" xfId="5272"/>
    <cellStyle name="Percent 2 4 2 3 2" xfId="38621"/>
    <cellStyle name="Percent 2 4 2 3 3" xfId="39190"/>
    <cellStyle name="Percent 2 4 2 3 4" xfId="5771"/>
    <cellStyle name="Percent 2 4 2 4" xfId="37406"/>
    <cellStyle name="Percent 2 4 2 5" xfId="39012"/>
    <cellStyle name="Percent 2 4 2 6" xfId="5593"/>
    <cellStyle name="Percent 2 4 2 7" xfId="39917"/>
    <cellStyle name="Percent 2 4 2 8" xfId="41458"/>
    <cellStyle name="Percent 2 4 3" xfId="4996"/>
    <cellStyle name="Percent 2 4 3 2" xfId="37408"/>
    <cellStyle name="Percent 2 4 3 3" xfId="39014"/>
    <cellStyle name="Percent 2 4 3 4" xfId="5595"/>
    <cellStyle name="Percent 2 4 3 5" xfId="40281"/>
    <cellStyle name="Percent 2 4 3 6" xfId="41822"/>
    <cellStyle name="Percent 2 4 4" xfId="5199"/>
    <cellStyle name="Percent 2 4 4 2" xfId="38266"/>
    <cellStyle name="Percent 2 4 4 3" xfId="39119"/>
    <cellStyle name="Percent 2 4 4 4" xfId="5700"/>
    <cellStyle name="Percent 2 4 5" xfId="35829"/>
    <cellStyle name="Percent 2 4 6" xfId="38802"/>
    <cellStyle name="Percent 2 4 7" xfId="5383"/>
    <cellStyle name="Percent 2 4 8" xfId="39563"/>
    <cellStyle name="Percent 2 4 9" xfId="41104"/>
    <cellStyle name="Percent 2 5" xfId="4997"/>
    <cellStyle name="Percent 2 5 2" xfId="4998"/>
    <cellStyle name="Percent 2 5 2 2" xfId="37410"/>
    <cellStyle name="Percent 2 5 2 3" xfId="39016"/>
    <cellStyle name="Percent 2 5 2 4" xfId="5597"/>
    <cellStyle name="Percent 2 5 2 5" xfId="40632"/>
    <cellStyle name="Percent 2 5 2 6" xfId="42173"/>
    <cellStyle name="Percent 2 5 3" xfId="5269"/>
    <cellStyle name="Percent 2 5 3 2" xfId="38618"/>
    <cellStyle name="Percent 2 5 3 3" xfId="39187"/>
    <cellStyle name="Percent 2 5 3 4" xfId="5768"/>
    <cellStyle name="Percent 2 5 4" xfId="37409"/>
    <cellStyle name="Percent 2 5 5" xfId="39015"/>
    <cellStyle name="Percent 2 5 6" xfId="5596"/>
    <cellStyle name="Percent 2 5 7" xfId="39914"/>
    <cellStyle name="Percent 2 5 8" xfId="41455"/>
    <cellStyle name="Percent 2 6" xfId="4999"/>
    <cellStyle name="Percent 2 6 2" xfId="37411"/>
    <cellStyle name="Percent 2 6 3" xfId="39017"/>
    <cellStyle name="Percent 2 6 4" xfId="5598"/>
    <cellStyle name="Percent 2 6 5" xfId="39958"/>
    <cellStyle name="Percent 2 6 6" xfId="41499"/>
    <cellStyle name="Percent 2 7" xfId="5136"/>
    <cellStyle name="Percent 2 7 2" xfId="37943"/>
    <cellStyle name="Percent 2 7 3" xfId="39056"/>
    <cellStyle name="Percent 2 7 4" xfId="5637"/>
    <cellStyle name="Percent 2 8" xfId="39240"/>
    <cellStyle name="Percent 2 9" xfId="40763"/>
    <cellStyle name="Percent 2_consumption scenario A" xfId="5081"/>
    <cellStyle name="Percent 3" xfId="4340"/>
    <cellStyle name="Percent 3 2" xfId="4516"/>
    <cellStyle name="Percent 3 2 2" xfId="4629"/>
    <cellStyle name="Percent 3 2 3" xfId="35746"/>
    <cellStyle name="Percent 3 2 4" xfId="38779"/>
    <cellStyle name="Percent 3 2 5" xfId="5360"/>
    <cellStyle name="Percent 3 3" xfId="4562"/>
    <cellStyle name="Percent 3 3 2" xfId="5000"/>
    <cellStyle name="Percent 3 3 2 2" xfId="5001"/>
    <cellStyle name="Percent 3 3 2 2 2" xfId="37413"/>
    <cellStyle name="Percent 3 3 2 2 3" xfId="39019"/>
    <cellStyle name="Percent 3 3 2 2 4" xfId="5600"/>
    <cellStyle name="Percent 3 3 2 2 5" xfId="40637"/>
    <cellStyle name="Percent 3 3 2 2 6" xfId="42178"/>
    <cellStyle name="Percent 3 3 2 3" xfId="5274"/>
    <cellStyle name="Percent 3 3 2 3 2" xfId="38623"/>
    <cellStyle name="Percent 3 3 2 3 3" xfId="39192"/>
    <cellStyle name="Percent 3 3 2 3 4" xfId="5773"/>
    <cellStyle name="Percent 3 3 2 4" xfId="37412"/>
    <cellStyle name="Percent 3 3 2 5" xfId="39018"/>
    <cellStyle name="Percent 3 3 2 6" xfId="5599"/>
    <cellStyle name="Percent 3 3 2 7" xfId="39919"/>
    <cellStyle name="Percent 3 3 2 8" xfId="41460"/>
    <cellStyle name="Percent 3 3 3" xfId="5002"/>
    <cellStyle name="Percent 3 3 3 2" xfId="37414"/>
    <cellStyle name="Percent 3 3 3 3" xfId="39020"/>
    <cellStyle name="Percent 3 3 3 4" xfId="5601"/>
    <cellStyle name="Percent 3 3 3 5" xfId="40283"/>
    <cellStyle name="Percent 3 3 3 6" xfId="41824"/>
    <cellStyle name="Percent 3 3 4" xfId="5201"/>
    <cellStyle name="Percent 3 3 4 2" xfId="38268"/>
    <cellStyle name="Percent 3 3 4 3" xfId="39121"/>
    <cellStyle name="Percent 3 3 4 4" xfId="5702"/>
    <cellStyle name="Percent 3 3 5" xfId="35874"/>
    <cellStyle name="Percent 3 3 6" xfId="38811"/>
    <cellStyle name="Percent 3 3 7" xfId="5392"/>
    <cellStyle name="Percent 3 3 8" xfId="39565"/>
    <cellStyle name="Percent 3 3 9" xfId="41106"/>
    <cellStyle name="Percent 3 4" xfId="5003"/>
    <cellStyle name="Percent 3 4 2" xfId="5004"/>
    <cellStyle name="Percent 3 4 2 2" xfId="37416"/>
    <cellStyle name="Percent 3 4 2 3" xfId="39022"/>
    <cellStyle name="Percent 3 4 2 4" xfId="5603"/>
    <cellStyle name="Percent 3 4 2 5" xfId="40636"/>
    <cellStyle name="Percent 3 4 2 6" xfId="42177"/>
    <cellStyle name="Percent 3 4 3" xfId="5273"/>
    <cellStyle name="Percent 3 4 3 2" xfId="38622"/>
    <cellStyle name="Percent 3 4 3 3" xfId="39191"/>
    <cellStyle name="Percent 3 4 3 4" xfId="5772"/>
    <cellStyle name="Percent 3 4 4" xfId="37415"/>
    <cellStyle name="Percent 3 4 5" xfId="39021"/>
    <cellStyle name="Percent 3 4 6" xfId="5602"/>
    <cellStyle name="Percent 3 4 7" xfId="39918"/>
    <cellStyle name="Percent 3 4 8" xfId="41459"/>
    <cellStyle name="Percent 3 5" xfId="5005"/>
    <cellStyle name="Percent 3 5 2" xfId="37417"/>
    <cellStyle name="Percent 3 5 3" xfId="39023"/>
    <cellStyle name="Percent 3 5 4" xfId="5604"/>
    <cellStyle name="Percent 3 5 5" xfId="40003"/>
    <cellStyle name="Percent 3 5 6" xfId="41544"/>
    <cellStyle name="Percent 3 6" xfId="5145"/>
    <cellStyle name="Percent 3 6 2" xfId="37988"/>
    <cellStyle name="Percent 3 6 3" xfId="39065"/>
    <cellStyle name="Percent 3 6 4" xfId="5646"/>
    <cellStyle name="Percent 3 7" xfId="39285"/>
    <cellStyle name="Percent 3 8" xfId="40814"/>
    <cellStyle name="Percent 3_consumption scenario A" xfId="5082"/>
    <cellStyle name="Percent 4" xfId="4529"/>
    <cellStyle name="Percent 4 2" xfId="4632"/>
    <cellStyle name="Percent 4 3" xfId="35792"/>
    <cellStyle name="Percent 4 4" xfId="38789"/>
    <cellStyle name="Percent 4 5" xfId="5370"/>
    <cellStyle name="Percent 5" xfId="4612"/>
    <cellStyle name="Percent 6" xfId="4583"/>
    <cellStyle name="Percent 6 10" xfId="40882"/>
    <cellStyle name="Percent 6 2" xfId="5006"/>
    <cellStyle name="Percent 6 2 2" xfId="5007"/>
    <cellStyle name="Percent 6 2 2 2" xfId="5008"/>
    <cellStyle name="Percent 6 2 2 2 2" xfId="37420"/>
    <cellStyle name="Percent 6 2 2 2 3" xfId="39026"/>
    <cellStyle name="Percent 6 2 2 2 4" xfId="5607"/>
    <cellStyle name="Percent 6 2 2 2 5" xfId="40639"/>
    <cellStyle name="Percent 6 2 2 2 6" xfId="42180"/>
    <cellStyle name="Percent 6 2 2 3" xfId="5276"/>
    <cellStyle name="Percent 6 2 2 3 2" xfId="38625"/>
    <cellStyle name="Percent 6 2 2 3 3" xfId="39194"/>
    <cellStyle name="Percent 6 2 2 3 4" xfId="5775"/>
    <cellStyle name="Percent 6 2 2 4" xfId="37419"/>
    <cellStyle name="Percent 6 2 2 5" xfId="39025"/>
    <cellStyle name="Percent 6 2 2 6" xfId="5606"/>
    <cellStyle name="Percent 6 2 2 7" xfId="39921"/>
    <cellStyle name="Percent 6 2 2 8" xfId="41462"/>
    <cellStyle name="Percent 6 2 3" xfId="5009"/>
    <cellStyle name="Percent 6 2 3 2" xfId="37421"/>
    <cellStyle name="Percent 6 2 3 3" xfId="39027"/>
    <cellStyle name="Percent 6 2 3 4" xfId="5608"/>
    <cellStyle name="Percent 6 2 3 5" xfId="40284"/>
    <cellStyle name="Percent 6 2 3 6" xfId="41825"/>
    <cellStyle name="Percent 6 2 4" xfId="5202"/>
    <cellStyle name="Percent 6 2 4 2" xfId="38269"/>
    <cellStyle name="Percent 6 2 4 3" xfId="39122"/>
    <cellStyle name="Percent 6 2 4 4" xfId="5703"/>
    <cellStyle name="Percent 6 2 5" xfId="37418"/>
    <cellStyle name="Percent 6 2 6" xfId="39024"/>
    <cellStyle name="Percent 6 2 7" xfId="5605"/>
    <cellStyle name="Percent 6 2 8" xfId="39566"/>
    <cellStyle name="Percent 6 2 9" xfId="41107"/>
    <cellStyle name="Percent 6 3" xfId="5010"/>
    <cellStyle name="Percent 6 3 2" xfId="5011"/>
    <cellStyle name="Percent 6 3 2 2" xfId="37423"/>
    <cellStyle name="Percent 6 3 2 3" xfId="39029"/>
    <cellStyle name="Percent 6 3 2 4" xfId="5610"/>
    <cellStyle name="Percent 6 3 2 5" xfId="40638"/>
    <cellStyle name="Percent 6 3 2 6" xfId="42179"/>
    <cellStyle name="Percent 6 3 3" xfId="5275"/>
    <cellStyle name="Percent 6 3 3 2" xfId="38624"/>
    <cellStyle name="Percent 6 3 3 3" xfId="39193"/>
    <cellStyle name="Percent 6 3 3 4" xfId="5774"/>
    <cellStyle name="Percent 6 3 4" xfId="37422"/>
    <cellStyle name="Percent 6 3 5" xfId="39028"/>
    <cellStyle name="Percent 6 3 6" xfId="5609"/>
    <cellStyle name="Percent 6 3 7" xfId="39920"/>
    <cellStyle name="Percent 6 3 8" xfId="41461"/>
    <cellStyle name="Percent 6 4" xfId="5012"/>
    <cellStyle name="Percent 6 4 2" xfId="37424"/>
    <cellStyle name="Percent 6 4 3" xfId="39030"/>
    <cellStyle name="Percent 6 4 4" xfId="5611"/>
    <cellStyle name="Percent 6 4 5" xfId="40066"/>
    <cellStyle name="Percent 6 4 6" xfId="41607"/>
    <cellStyle name="Percent 6 5" xfId="5158"/>
    <cellStyle name="Percent 6 5 2" xfId="38051"/>
    <cellStyle name="Percent 6 5 3" xfId="39078"/>
    <cellStyle name="Percent 6 5 4" xfId="5659"/>
    <cellStyle name="Percent 6 6" xfId="35936"/>
    <cellStyle name="Percent 6 7" xfId="38824"/>
    <cellStyle name="Percent 6 8" xfId="5405"/>
    <cellStyle name="Percent 6 9" xfId="39348"/>
    <cellStyle name="Percent 7" xfId="4669"/>
    <cellStyle name="Percent 7 10" xfId="40905"/>
    <cellStyle name="Percent 7 2" xfId="5013"/>
    <cellStyle name="Percent 7 2 2" xfId="5014"/>
    <cellStyle name="Percent 7 2 2 2" xfId="5015"/>
    <cellStyle name="Percent 7 2 2 2 2" xfId="37427"/>
    <cellStyle name="Percent 7 2 2 2 3" xfId="39033"/>
    <cellStyle name="Percent 7 2 2 2 4" xfId="5614"/>
    <cellStyle name="Percent 7 2 2 2 5" xfId="40641"/>
    <cellStyle name="Percent 7 2 2 2 6" xfId="42182"/>
    <cellStyle name="Percent 7 2 2 3" xfId="5278"/>
    <cellStyle name="Percent 7 2 2 3 2" xfId="38627"/>
    <cellStyle name="Percent 7 2 2 3 3" xfId="39196"/>
    <cellStyle name="Percent 7 2 2 3 4" xfId="5777"/>
    <cellStyle name="Percent 7 2 2 4" xfId="37426"/>
    <cellStyle name="Percent 7 2 2 5" xfId="39032"/>
    <cellStyle name="Percent 7 2 2 6" xfId="5613"/>
    <cellStyle name="Percent 7 2 2 7" xfId="39923"/>
    <cellStyle name="Percent 7 2 2 8" xfId="41464"/>
    <cellStyle name="Percent 7 2 3" xfId="5016"/>
    <cellStyle name="Percent 7 2 3 2" xfId="37428"/>
    <cellStyle name="Percent 7 2 3 3" xfId="39034"/>
    <cellStyle name="Percent 7 2 3 4" xfId="5615"/>
    <cellStyle name="Percent 7 2 3 5" xfId="40285"/>
    <cellStyle name="Percent 7 2 3 6" xfId="41826"/>
    <cellStyle name="Percent 7 2 4" xfId="5203"/>
    <cellStyle name="Percent 7 2 4 2" xfId="38270"/>
    <cellStyle name="Percent 7 2 4 3" xfId="39123"/>
    <cellStyle name="Percent 7 2 4 4" xfId="5704"/>
    <cellStyle name="Percent 7 2 5" xfId="37425"/>
    <cellStyle name="Percent 7 2 6" xfId="39031"/>
    <cellStyle name="Percent 7 2 7" xfId="5612"/>
    <cellStyle name="Percent 7 2 8" xfId="39567"/>
    <cellStyle name="Percent 7 2 9" xfId="41108"/>
    <cellStyle name="Percent 7 3" xfId="5017"/>
    <cellStyle name="Percent 7 3 2" xfId="5018"/>
    <cellStyle name="Percent 7 3 2 2" xfId="37430"/>
    <cellStyle name="Percent 7 3 2 3" xfId="39036"/>
    <cellStyle name="Percent 7 3 2 4" xfId="5617"/>
    <cellStyle name="Percent 7 3 2 5" xfId="40640"/>
    <cellStyle name="Percent 7 3 2 6" xfId="42181"/>
    <cellStyle name="Percent 7 3 3" xfId="5277"/>
    <cellStyle name="Percent 7 3 3 2" xfId="38626"/>
    <cellStyle name="Percent 7 3 3 3" xfId="39195"/>
    <cellStyle name="Percent 7 3 3 4" xfId="5776"/>
    <cellStyle name="Percent 7 3 4" xfId="37429"/>
    <cellStyle name="Percent 7 3 5" xfId="39035"/>
    <cellStyle name="Percent 7 3 6" xfId="5616"/>
    <cellStyle name="Percent 7 3 7" xfId="39922"/>
    <cellStyle name="Percent 7 3 8" xfId="41463"/>
    <cellStyle name="Percent 7 4" xfId="5019"/>
    <cellStyle name="Percent 7 4 2" xfId="37431"/>
    <cellStyle name="Percent 7 4 3" xfId="39037"/>
    <cellStyle name="Percent 7 4 4" xfId="5618"/>
    <cellStyle name="Percent 7 4 5" xfId="40082"/>
    <cellStyle name="Percent 7 4 6" xfId="41623"/>
    <cellStyle name="Percent 7 5" xfId="5161"/>
    <cellStyle name="Percent 7 5 2" xfId="38067"/>
    <cellStyle name="Percent 7 5 3" xfId="39081"/>
    <cellStyle name="Percent 7 5 4" xfId="5662"/>
    <cellStyle name="Percent 7 6" xfId="36100"/>
    <cellStyle name="Percent 7 7" xfId="38827"/>
    <cellStyle name="Percent 7 8" xfId="5408"/>
    <cellStyle name="Percent 7 9" xfId="39364"/>
    <cellStyle name="Percent 8" xfId="4541"/>
    <cellStyle name="Percent 8 10" xfId="40922"/>
    <cellStyle name="Percent 8 2" xfId="5020"/>
    <cellStyle name="Percent 8 2 2" xfId="5021"/>
    <cellStyle name="Percent 8 2 2 2" xfId="5022"/>
    <cellStyle name="Percent 8 2 2 2 2" xfId="37434"/>
    <cellStyle name="Percent 8 2 2 2 3" xfId="39040"/>
    <cellStyle name="Percent 8 2 2 2 4" xfId="5621"/>
    <cellStyle name="Percent 8 2 2 2 5" xfId="40643"/>
    <cellStyle name="Percent 8 2 2 2 6" xfId="42184"/>
    <cellStyle name="Percent 8 2 2 3" xfId="5280"/>
    <cellStyle name="Percent 8 2 2 3 2" xfId="38629"/>
    <cellStyle name="Percent 8 2 2 3 3" xfId="39198"/>
    <cellStyle name="Percent 8 2 2 3 4" xfId="5779"/>
    <cellStyle name="Percent 8 2 2 4" xfId="37433"/>
    <cellStyle name="Percent 8 2 2 5" xfId="39039"/>
    <cellStyle name="Percent 8 2 2 6" xfId="5620"/>
    <cellStyle name="Percent 8 2 2 7" xfId="39925"/>
    <cellStyle name="Percent 8 2 2 8" xfId="41466"/>
    <cellStyle name="Percent 8 2 3" xfId="5023"/>
    <cellStyle name="Percent 8 2 3 2" xfId="37435"/>
    <cellStyle name="Percent 8 2 3 3" xfId="39041"/>
    <cellStyle name="Percent 8 2 3 4" xfId="5622"/>
    <cellStyle name="Percent 8 2 3 5" xfId="40286"/>
    <cellStyle name="Percent 8 2 3 6" xfId="41827"/>
    <cellStyle name="Percent 8 2 4" xfId="5204"/>
    <cellStyle name="Percent 8 2 4 2" xfId="38271"/>
    <cellStyle name="Percent 8 2 4 3" xfId="39124"/>
    <cellStyle name="Percent 8 2 4 4" xfId="5705"/>
    <cellStyle name="Percent 8 2 5" xfId="37432"/>
    <cellStyle name="Percent 8 2 6" xfId="39038"/>
    <cellStyle name="Percent 8 2 7" xfId="5619"/>
    <cellStyle name="Percent 8 2 8" xfId="39568"/>
    <cellStyle name="Percent 8 2 9" xfId="41109"/>
    <cellStyle name="Percent 8 3" xfId="5024"/>
    <cellStyle name="Percent 8 3 2" xfId="5025"/>
    <cellStyle name="Percent 8 3 2 2" xfId="37437"/>
    <cellStyle name="Percent 8 3 2 3" xfId="39043"/>
    <cellStyle name="Percent 8 3 2 4" xfId="5624"/>
    <cellStyle name="Percent 8 3 2 5" xfId="40642"/>
    <cellStyle name="Percent 8 3 2 6" xfId="42183"/>
    <cellStyle name="Percent 8 3 3" xfId="5279"/>
    <cellStyle name="Percent 8 3 3 2" xfId="38628"/>
    <cellStyle name="Percent 8 3 3 3" xfId="39197"/>
    <cellStyle name="Percent 8 3 3 4" xfId="5778"/>
    <cellStyle name="Percent 8 3 4" xfId="37436"/>
    <cellStyle name="Percent 8 3 5" xfId="39042"/>
    <cellStyle name="Percent 8 3 6" xfId="5623"/>
    <cellStyle name="Percent 8 3 7" xfId="39924"/>
    <cellStyle name="Percent 8 3 8" xfId="41465"/>
    <cellStyle name="Percent 8 4" xfId="5026"/>
    <cellStyle name="Percent 8 4 2" xfId="37438"/>
    <cellStyle name="Percent 8 4 3" xfId="39044"/>
    <cellStyle name="Percent 8 4 4" xfId="5625"/>
    <cellStyle name="Percent 8 4 5" xfId="40099"/>
    <cellStyle name="Percent 8 4 6" xfId="41640"/>
    <cellStyle name="Percent 8 5" xfId="5165"/>
    <cellStyle name="Percent 8 5 2" xfId="38084"/>
    <cellStyle name="Percent 8 5 3" xfId="39085"/>
    <cellStyle name="Percent 8 5 4" xfId="5666"/>
    <cellStyle name="Percent 8 6" xfId="35813"/>
    <cellStyle name="Percent 8 7" xfId="38798"/>
    <cellStyle name="Percent 8 8" xfId="5379"/>
    <cellStyle name="Percent 8 9" xfId="39381"/>
    <cellStyle name="Percent 9" xfId="5027"/>
    <cellStyle name="Percent 9 2" xfId="5028"/>
    <cellStyle name="Percent 9 2 2" xfId="5029"/>
    <cellStyle name="Percent 9 2 2 2" xfId="37441"/>
    <cellStyle name="Percent 9 2 2 3" xfId="39047"/>
    <cellStyle name="Percent 9 2 2 4" xfId="5628"/>
    <cellStyle name="Percent 9 2 2 5" xfId="40644"/>
    <cellStyle name="Percent 9 2 2 6" xfId="42185"/>
    <cellStyle name="Percent 9 2 3" xfId="5281"/>
    <cellStyle name="Percent 9 2 3 2" xfId="38630"/>
    <cellStyle name="Percent 9 2 3 3" xfId="39199"/>
    <cellStyle name="Percent 9 2 3 4" xfId="5780"/>
    <cellStyle name="Percent 9 2 4" xfId="37440"/>
    <cellStyle name="Percent 9 2 5" xfId="39046"/>
    <cellStyle name="Percent 9 2 6" xfId="5627"/>
    <cellStyle name="Percent 9 2 7" xfId="39926"/>
    <cellStyle name="Percent 9 2 8" xfId="41467"/>
    <cellStyle name="Percent 9 3" xfId="5030"/>
    <cellStyle name="Percent 9 3 2" xfId="37442"/>
    <cellStyle name="Percent 9 3 3" xfId="39048"/>
    <cellStyle name="Percent 9 3 4" xfId="5629"/>
    <cellStyle name="Percent 9 3 5" xfId="40115"/>
    <cellStyle name="Percent 9 3 6" xfId="41656"/>
    <cellStyle name="Percent 9 4" xfId="5168"/>
    <cellStyle name="Percent 9 4 2" xfId="38100"/>
    <cellStyle name="Percent 9 4 3" xfId="39088"/>
    <cellStyle name="Percent 9 4 4" xfId="5669"/>
    <cellStyle name="Percent 9 5" xfId="37439"/>
    <cellStyle name="Percent 9 6" xfId="39045"/>
    <cellStyle name="Percent 9 7" xfId="5626"/>
    <cellStyle name="Percent 9 8" xfId="39397"/>
    <cellStyle name="Percent 9 9" xfId="40938"/>
    <cellStyle name="Style 29" xfId="4341"/>
    <cellStyle name="Style 35" xfId="4342"/>
    <cellStyle name="Style 35 10" xfId="4343"/>
    <cellStyle name="Style 35 11" xfId="4344"/>
    <cellStyle name="Style 35 12" xfId="4345"/>
    <cellStyle name="Style 35 13" xfId="4346"/>
    <cellStyle name="Style 35 14" xfId="4347"/>
    <cellStyle name="Style 35 15" xfId="4348"/>
    <cellStyle name="Style 35 16" xfId="4349"/>
    <cellStyle name="Style 35 17" xfId="4350"/>
    <cellStyle name="Style 35 18" xfId="4351"/>
    <cellStyle name="Style 35 19" xfId="4352"/>
    <cellStyle name="Style 35 2" xfId="4353"/>
    <cellStyle name="Style 35 20" xfId="4354"/>
    <cellStyle name="Style 35 21" xfId="4355"/>
    <cellStyle name="Style 35 22" xfId="4356"/>
    <cellStyle name="Style 35 23" xfId="4357"/>
    <cellStyle name="Style 35 24" xfId="4358"/>
    <cellStyle name="Style 35 25" xfId="4359"/>
    <cellStyle name="Style 35 26" xfId="4360"/>
    <cellStyle name="Style 35 27" xfId="4361"/>
    <cellStyle name="Style 35 28" xfId="4362"/>
    <cellStyle name="Style 35 29" xfId="4363"/>
    <cellStyle name="Style 35 3" xfId="4364"/>
    <cellStyle name="Style 35 30" xfId="4365"/>
    <cellStyle name="Style 35 31" xfId="4366"/>
    <cellStyle name="Style 35 32" xfId="4367"/>
    <cellStyle name="Style 35 33" xfId="4368"/>
    <cellStyle name="Style 35 34" xfId="4369"/>
    <cellStyle name="Style 35 35" xfId="4370"/>
    <cellStyle name="Style 35 36" xfId="4371"/>
    <cellStyle name="Style 35 37" xfId="4372"/>
    <cellStyle name="Style 35 38" xfId="4373"/>
    <cellStyle name="Style 35 39" xfId="4374"/>
    <cellStyle name="Style 35 4" xfId="4375"/>
    <cellStyle name="Style 35 40" xfId="4376"/>
    <cellStyle name="Style 35 41" xfId="4377"/>
    <cellStyle name="Style 35 42" xfId="4378"/>
    <cellStyle name="Style 35 43" xfId="4379"/>
    <cellStyle name="Style 35 44" xfId="4380"/>
    <cellStyle name="Style 35 45" xfId="4381"/>
    <cellStyle name="Style 35 46" xfId="4382"/>
    <cellStyle name="Style 35 47" xfId="4383"/>
    <cellStyle name="Style 35 48" xfId="4384"/>
    <cellStyle name="Style 35 49" xfId="4385"/>
    <cellStyle name="Style 35 5" xfId="4386"/>
    <cellStyle name="Style 35 50" xfId="4387"/>
    <cellStyle name="Style 35 51" xfId="4388"/>
    <cellStyle name="Style 35 52" xfId="4389"/>
    <cellStyle name="Style 35 53" xfId="4390"/>
    <cellStyle name="Style 35 54" xfId="4391"/>
    <cellStyle name="Style 35 55" xfId="4392"/>
    <cellStyle name="Style 35 56" xfId="4393"/>
    <cellStyle name="Style 35 57" xfId="4394"/>
    <cellStyle name="Style 35 58" xfId="4395"/>
    <cellStyle name="Style 35 59" xfId="4396"/>
    <cellStyle name="Style 35 6" xfId="4397"/>
    <cellStyle name="Style 35 60" xfId="4398"/>
    <cellStyle name="Style 35 61" xfId="4399"/>
    <cellStyle name="Style 35 62" xfId="4400"/>
    <cellStyle name="Style 35 63" xfId="4401"/>
    <cellStyle name="Style 35 64" xfId="4402"/>
    <cellStyle name="Style 35 65" xfId="4403"/>
    <cellStyle name="Style 35 66" xfId="4404"/>
    <cellStyle name="Style 35 7" xfId="4405"/>
    <cellStyle name="Style 35 8" xfId="4406"/>
    <cellStyle name="Style 35 9" xfId="4407"/>
    <cellStyle name="Style 36" xfId="4408"/>
    <cellStyle name="Style 36 10" xfId="4409"/>
    <cellStyle name="Style 36 11" xfId="4410"/>
    <cellStyle name="Style 36 12" xfId="4411"/>
    <cellStyle name="Style 36 13" xfId="4412"/>
    <cellStyle name="Style 36 14" xfId="4413"/>
    <cellStyle name="Style 36 15" xfId="4414"/>
    <cellStyle name="Style 36 16" xfId="4415"/>
    <cellStyle name="Style 36 17" xfId="4416"/>
    <cellStyle name="Style 36 18" xfId="4417"/>
    <cellStyle name="Style 36 19" xfId="4418"/>
    <cellStyle name="Style 36 2" xfId="4419"/>
    <cellStyle name="Style 36 20" xfId="4420"/>
    <cellStyle name="Style 36 21" xfId="4421"/>
    <cellStyle name="Style 36 22" xfId="4422"/>
    <cellStyle name="Style 36 23" xfId="4423"/>
    <cellStyle name="Style 36 24" xfId="4424"/>
    <cellStyle name="Style 36 25" xfId="4425"/>
    <cellStyle name="Style 36 26" xfId="4426"/>
    <cellStyle name="Style 36 27" xfId="4427"/>
    <cellStyle name="Style 36 28" xfId="4428"/>
    <cellStyle name="Style 36 29" xfId="4429"/>
    <cellStyle name="Style 36 3" xfId="4430"/>
    <cellStyle name="Style 36 30" xfId="4431"/>
    <cellStyle name="Style 36 31" xfId="4432"/>
    <cellStyle name="Style 36 32" xfId="4433"/>
    <cellStyle name="Style 36 33" xfId="4434"/>
    <cellStyle name="Style 36 34" xfId="4435"/>
    <cellStyle name="Style 36 35" xfId="4436"/>
    <cellStyle name="Style 36 36" xfId="4437"/>
    <cellStyle name="Style 36 37" xfId="4438"/>
    <cellStyle name="Style 36 38" xfId="4439"/>
    <cellStyle name="Style 36 39" xfId="4440"/>
    <cellStyle name="Style 36 4" xfId="4441"/>
    <cellStyle name="Style 36 40" xfId="4442"/>
    <cellStyle name="Style 36 41" xfId="4443"/>
    <cellStyle name="Style 36 42" xfId="4444"/>
    <cellStyle name="Style 36 43" xfId="4445"/>
    <cellStyle name="Style 36 44" xfId="4446"/>
    <cellStyle name="Style 36 45" xfId="4447"/>
    <cellStyle name="Style 36 46" xfId="4448"/>
    <cellStyle name="Style 36 47" xfId="4449"/>
    <cellStyle name="Style 36 48" xfId="4450"/>
    <cellStyle name="Style 36 49" xfId="4451"/>
    <cellStyle name="Style 36 5" xfId="4452"/>
    <cellStyle name="Style 36 50" xfId="4453"/>
    <cellStyle name="Style 36 51" xfId="4454"/>
    <cellStyle name="Style 36 52" xfId="4455"/>
    <cellStyle name="Style 36 53" xfId="4456"/>
    <cellStyle name="Style 36 54" xfId="4457"/>
    <cellStyle name="Style 36 55" xfId="4458"/>
    <cellStyle name="Style 36 56" xfId="4459"/>
    <cellStyle name="Style 36 57" xfId="4460"/>
    <cellStyle name="Style 36 58" xfId="4461"/>
    <cellStyle name="Style 36 59" xfId="4462"/>
    <cellStyle name="Style 36 6" xfId="4463"/>
    <cellStyle name="Style 36 60" xfId="4464"/>
    <cellStyle name="Style 36 61" xfId="4465"/>
    <cellStyle name="Style 36 62" xfId="4466"/>
    <cellStyle name="Style 36 63" xfId="4467"/>
    <cellStyle name="Style 36 64" xfId="4468"/>
    <cellStyle name="Style 36 65" xfId="4469"/>
    <cellStyle name="Style 36 66" xfId="4470"/>
    <cellStyle name="Style 36 7" xfId="4471"/>
    <cellStyle name="Style 36 8" xfId="4472"/>
    <cellStyle name="Style 36 9" xfId="4473"/>
    <cellStyle name="subtitle" xfId="51"/>
    <cellStyle name="subtitle 2" xfId="128"/>
    <cellStyle name="subtitle 3" xfId="110"/>
    <cellStyle name="subtitle_consumption scenario A" xfId="5083"/>
    <cellStyle name="Table title" xfId="4658"/>
    <cellStyle name="Title" xfId="15" builtinId="15" hidden="1" customBuiltin="1"/>
    <cellStyle name="Title" xfId="50" builtinId="15" customBuiltin="1"/>
    <cellStyle name="Title 2" xfId="114"/>
    <cellStyle name="Title 3" xfId="127"/>
    <cellStyle name="Title 4" xfId="102"/>
    <cellStyle name="Title 5" xfId="4492"/>
    <cellStyle name="Title 6" xfId="4752"/>
    <cellStyle name="Total" xfId="26" builtinId="25" hidden="1" customBuiltin="1"/>
    <cellStyle name="Total" xfId="100" builtinId="25" customBuiltin="1"/>
    <cellStyle name="Total 2" xfId="4613"/>
    <cellStyle name="units label" xfId="64"/>
    <cellStyle name="Warning Text" xfId="24" builtinId="11" hidden="1" customBuiltin="1"/>
    <cellStyle name="Warning Text" xfId="149" builtinId="11" customBuiltin="1"/>
    <cellStyle name="Warning Text 2" xfId="122"/>
    <cellStyle name="Warning Text 2 2" xfId="4614"/>
    <cellStyle name="Warning Text 3" xfId="105"/>
    <cellStyle name="Warning Text 4" xfId="4493"/>
    <cellStyle name="work in progress" xfId="108"/>
  </cellStyles>
  <dxfs count="7">
    <dxf>
      <font>
        <b/>
        <i val="0"/>
        <color rgb="FF00441B"/>
      </font>
    </dxf>
    <dxf>
      <font>
        <b/>
        <i val="0"/>
        <color rgb="FF00441B"/>
      </font>
    </dxf>
    <dxf>
      <font>
        <b/>
        <i val="0"/>
        <color rgb="FF00441B"/>
      </font>
    </dxf>
    <dxf>
      <font>
        <b/>
        <i val="0"/>
        <color rgb="FF00441B"/>
      </font>
    </dxf>
    <dxf>
      <font>
        <b/>
        <i val="0"/>
        <color rgb="FF00441B"/>
      </font>
    </dxf>
    <dxf>
      <font>
        <b/>
        <i val="0"/>
        <color rgb="FF00441B"/>
      </font>
    </dxf>
    <dxf>
      <font>
        <b/>
        <i val="0"/>
        <color rgb="FF00441B"/>
      </font>
    </dxf>
  </dxfs>
  <tableStyles count="0" defaultTableStyle="TableStyleMedium9" defaultPivotStyle="PivotStyleLight16"/>
  <colors>
    <mruColors>
      <color rgb="FFDEEBF7"/>
      <color rgb="FF08306B"/>
      <color rgb="FFE5F5E0"/>
      <color rgb="FF6BAED6"/>
      <color rgb="FF800026"/>
      <color rgb="FFD9D9D9"/>
      <color rgb="FF00441B"/>
      <color rgb="FFFD8D3C"/>
      <color rgb="FFFFEDA0"/>
      <color rgb="FFFC4E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1"/>
    <c:plotArea>
      <c:layout>
        <c:manualLayout>
          <c:layoutTarget val="inner"/>
          <c:xMode val="edge"/>
          <c:yMode val="edge"/>
          <c:x val="9.6246450141600201E-2"/>
          <c:y val="2.0146770407188073E-2"/>
          <c:w val="0.86961412212125355"/>
          <c:h val="0.91668586626241622"/>
        </c:manualLayout>
      </c:layout>
      <c:lineChart>
        <c:grouping val="standard"/>
        <c:varyColors val="0"/>
        <c:ser>
          <c:idx val="2"/>
          <c:order val="0"/>
          <c:tx>
            <c:v>2020 &amp; 2035 targets</c:v>
          </c:tx>
          <c:spPr>
            <a:ln>
              <a:solidFill>
                <a:srgbClr val="800026"/>
              </a:solidFill>
              <a:prstDash val="sysDot"/>
            </a:ln>
          </c:spPr>
          <c:marker>
            <c:symbol val="none"/>
          </c:marker>
          <c:dPt>
            <c:idx val="0"/>
            <c:marker>
              <c:symbol val="circle"/>
              <c:size val="14"/>
              <c:spPr>
                <a:solidFill>
                  <a:schemeClr val="tx1"/>
                </a:solidFill>
                <a:ln>
                  <a:noFill/>
                </a:ln>
              </c:spPr>
            </c:marker>
            <c:bubble3D val="0"/>
            <c:extLst>
              <c:ext xmlns:c16="http://schemas.microsoft.com/office/drawing/2014/chart" uri="{C3380CC4-5D6E-409C-BE32-E72D297353CC}">
                <c16:uniqueId val="{00000000-A3AF-46D6-9655-B93A796995BE}"/>
              </c:ext>
            </c:extLst>
          </c:dPt>
          <c:dPt>
            <c:idx val="15"/>
            <c:marker>
              <c:symbol val="circle"/>
              <c:size val="14"/>
              <c:spPr>
                <a:solidFill>
                  <a:schemeClr val="bg1"/>
                </a:solidFill>
                <a:ln w="38100">
                  <a:solidFill>
                    <a:srgbClr val="800026"/>
                  </a:solidFill>
                </a:ln>
              </c:spPr>
            </c:marker>
            <c:bubble3D val="0"/>
            <c:extLst>
              <c:ext xmlns:c16="http://schemas.microsoft.com/office/drawing/2014/chart" uri="{C3380CC4-5D6E-409C-BE32-E72D297353CC}">
                <c16:uniqueId val="{00000001-A3AF-46D6-9655-B93A796995BE}"/>
              </c:ext>
            </c:extLst>
          </c:dPt>
          <c:dPt>
            <c:idx val="30"/>
            <c:marker>
              <c:symbol val="circle"/>
              <c:size val="14"/>
              <c:spPr>
                <a:solidFill>
                  <a:schemeClr val="bg1"/>
                </a:solidFill>
                <a:ln w="38100">
                  <a:solidFill>
                    <a:srgbClr val="800026"/>
                  </a:solidFill>
                </a:ln>
              </c:spPr>
            </c:marker>
            <c:bubble3D val="0"/>
            <c:extLst>
              <c:ext xmlns:c16="http://schemas.microsoft.com/office/drawing/2014/chart" uri="{C3380CC4-5D6E-409C-BE32-E72D297353CC}">
                <c16:uniqueId val="{00000002-A3AF-46D6-9655-B93A796995BE}"/>
              </c:ext>
            </c:extLst>
          </c:dPt>
          <c:dLbls>
            <c:dLbl>
              <c:idx val="15"/>
              <c:layout>
                <c:manualLayout>
                  <c:x val="-0.10762270946675873"/>
                  <c:y val="3.7036161132279879E-2"/>
                </c:manualLayout>
              </c:layout>
              <c:tx>
                <c:strRef>
                  <c:f>'Baseline Emissions'!$Q$99</c:f>
                  <c:strCache>
                    <c:ptCount val="1"/>
                    <c:pt idx="0">
                      <c:v>2020 target</c:v>
                    </c:pt>
                  </c:strCache>
                </c:strRef>
              </c:tx>
              <c:spPr>
                <a:noFill/>
                <a:ln>
                  <a:noFill/>
                </a:ln>
                <a:effectLst/>
              </c:spPr>
              <c:txPr>
                <a:bodyPr vertOverflow="clip" horzOverflow="clip" wrap="square" lIns="38100" tIns="19050" rIns="38100" bIns="19050" anchor="ctr">
                  <a:noAutofit/>
                </a:bodyPr>
                <a:lstStyle/>
                <a:p>
                  <a:pPr>
                    <a:defRPr sz="1100" b="1" i="0" strike="noStrike">
                      <a:latin typeface="Calibri" panose="020F050202020403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6.9891648043643589E-2"/>
                      <c:h val="8.4415002878918538E-2"/>
                    </c:manualLayout>
                  </c15:layout>
                  <c15:dlblFieldTable>
                    <c15:dlblFTEntry>
                      <c15:txfldGUID>{BF01EED2-21A4-40A3-A5F6-1F558C4F20E8}</c15:txfldGUID>
                      <c15:f>'Baseline Emissions'!$Q$99</c15:f>
                      <c15:dlblFieldTableCache>
                        <c:ptCount val="1"/>
                        <c:pt idx="0">
                          <c:v>2020 target</c:v>
                        </c:pt>
                      </c15:dlblFieldTableCache>
                    </c15:dlblFTEntry>
                  </c15:dlblFieldTable>
                  <c15:showDataLabelsRange val="0"/>
                </c:ext>
                <c:ext xmlns:c16="http://schemas.microsoft.com/office/drawing/2014/chart" uri="{C3380CC4-5D6E-409C-BE32-E72D297353CC}">
                  <c16:uniqueId val="{00000001-A3AF-46D6-9655-B93A796995BE}"/>
                </c:ext>
              </c:extLst>
            </c:dLbl>
            <c:dLbl>
              <c:idx val="30"/>
              <c:layout>
                <c:manualLayout>
                  <c:x val="-9.8507086921004086E-2"/>
                  <c:y val="3.9939643188845596E-2"/>
                </c:manualLayout>
              </c:layout>
              <c:tx>
                <c:strRef>
                  <c:f>'Baseline Emissions'!$AF$99</c:f>
                  <c:strCache>
                    <c:ptCount val="1"/>
                    <c:pt idx="0">
                      <c:v>2035 target</c:v>
                    </c:pt>
                  </c:strCache>
                </c:strRef>
              </c:tx>
              <c:spPr>
                <a:noFill/>
                <a:ln>
                  <a:noFill/>
                </a:ln>
                <a:effectLst/>
              </c:spPr>
              <c:txPr>
                <a:bodyPr vertOverflow="clip" horzOverflow="clip" wrap="square" lIns="38100" tIns="19050" rIns="38100" bIns="19050" anchor="ctr">
                  <a:noAutofit/>
                </a:bodyPr>
                <a:lstStyle/>
                <a:p>
                  <a:pPr>
                    <a:defRPr sz="1100" b="1" i="0" strike="noStrike">
                      <a:latin typeface="Calibri" panose="020F050202020403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7.5481489262809981E-2"/>
                      <c:h val="8.4415002878918538E-2"/>
                    </c:manualLayout>
                  </c15:layout>
                  <c15:dlblFieldTable>
                    <c15:dlblFTEntry>
                      <c15:txfldGUID>{6EEF11FF-6F3C-4B2B-A798-56992DCFE230}</c15:txfldGUID>
                      <c15:f>'Baseline Emissions'!$AF$99</c15:f>
                      <c15:dlblFieldTableCache>
                        <c:ptCount val="1"/>
                        <c:pt idx="0">
                          <c:v>2035 target</c:v>
                        </c:pt>
                      </c15:dlblFieldTableCache>
                    </c15:dlblFTEntry>
                  </c15:dlblFieldTable>
                  <c15:showDataLabelsRange val="0"/>
                </c:ext>
                <c:ext xmlns:c16="http://schemas.microsoft.com/office/drawing/2014/chart" uri="{C3380CC4-5D6E-409C-BE32-E72D297353CC}">
                  <c16:uniqueId val="{00000002-A3AF-46D6-9655-B93A796995BE}"/>
                </c:ext>
              </c:extLst>
            </c:dLbl>
            <c:spPr>
              <a:noFill/>
              <a:ln>
                <a:noFill/>
              </a:ln>
              <a:effectLst/>
            </c:spPr>
            <c:txPr>
              <a:bodyPr vertOverflow="clip" horzOverflow="clip" wrap="square" lIns="38100" tIns="19050" rIns="38100" bIns="19050" anchor="ctr">
                <a:noAutofit/>
              </a:bodyPr>
              <a:lstStyle/>
              <a:p>
                <a:pPr>
                  <a:defRPr sz="1100"/>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0"/>
              </c:ext>
            </c:extLst>
          </c:dLbls>
          <c:cat>
            <c:numRef>
              <c:f>'Baseline Emissions'!$B$6:$AK$6</c:f>
              <c:numCache>
                <c:formatCode>General</c:formatCode>
                <c:ptCount val="3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numCache>
            </c:numRef>
          </c:cat>
          <c:val>
            <c:numRef>
              <c:f>'Baseline Emissions'!$B$97:$AK$97</c:f>
              <c:numCache>
                <c:formatCode>General</c:formatCode>
                <c:ptCount val="36"/>
                <c:pt idx="15" formatCode="#,##0.00">
                  <c:v>73</c:v>
                </c:pt>
                <c:pt idx="16" formatCode="#,##0.00">
                  <c:v>71.783333333333331</c:v>
                </c:pt>
                <c:pt idx="17" formatCode="#,##0.00">
                  <c:v>70.566666666666663</c:v>
                </c:pt>
                <c:pt idx="18" formatCode="#,##0.00">
                  <c:v>69.349999999999994</c:v>
                </c:pt>
                <c:pt idx="19" formatCode="#,##0.00">
                  <c:v>68.13333333333334</c:v>
                </c:pt>
                <c:pt idx="20" formatCode="#,##0.00">
                  <c:v>66.916666666666671</c:v>
                </c:pt>
                <c:pt idx="21" formatCode="#,##0.00">
                  <c:v>65.7</c:v>
                </c:pt>
                <c:pt idx="22" formatCode="#,##0.00">
                  <c:v>64.483333333333334</c:v>
                </c:pt>
                <c:pt idx="23" formatCode="#,##0.00">
                  <c:v>63.266666666666666</c:v>
                </c:pt>
                <c:pt idx="24" formatCode="#,##0.00">
                  <c:v>62.05</c:v>
                </c:pt>
                <c:pt idx="25" formatCode="#,##0.00">
                  <c:v>60.833333333333336</c:v>
                </c:pt>
                <c:pt idx="26" formatCode="#,##0.00">
                  <c:v>59.616666666666667</c:v>
                </c:pt>
                <c:pt idx="27" formatCode="#,##0.00">
                  <c:v>58.4</c:v>
                </c:pt>
                <c:pt idx="28" formatCode="#,##0.00">
                  <c:v>57.183333333333337</c:v>
                </c:pt>
                <c:pt idx="29" formatCode="#,##0.00">
                  <c:v>55.966666666666669</c:v>
                </c:pt>
                <c:pt idx="30" formatCode="#,##0.00">
                  <c:v>54.75</c:v>
                </c:pt>
                <c:pt idx="31" formatCode="#,##0.00">
                  <c:v>53.533333333333331</c:v>
                </c:pt>
                <c:pt idx="32" formatCode="#,##0.00">
                  <c:v>52.316666666666663</c:v>
                </c:pt>
                <c:pt idx="33" formatCode="#,##0.00">
                  <c:v>51.1</c:v>
                </c:pt>
                <c:pt idx="34" formatCode="#,##0.00">
                  <c:v>49.883333333333333</c:v>
                </c:pt>
                <c:pt idx="35" formatCode="#,##0.00">
                  <c:v>48.666666666666664</c:v>
                </c:pt>
              </c:numCache>
            </c:numRef>
          </c:val>
          <c:smooth val="0"/>
          <c:extLst>
            <c:ext xmlns:c16="http://schemas.microsoft.com/office/drawing/2014/chart" uri="{C3380CC4-5D6E-409C-BE32-E72D297353CC}">
              <c16:uniqueId val="{00000003-A3AF-46D6-9655-B93A796995BE}"/>
            </c:ext>
          </c:extLst>
        </c:ser>
        <c:ser>
          <c:idx val="0"/>
          <c:order val="1"/>
          <c:tx>
            <c:strRef>
              <c:f>Dashboard!$D$23</c:f>
              <c:strCache>
                <c:ptCount val="1"/>
                <c:pt idx="0">
                  <c:v>reference case: AEO 2018</c:v>
                </c:pt>
              </c:strCache>
            </c:strRef>
          </c:tx>
          <c:spPr>
            <a:ln>
              <a:solidFill>
                <a:srgbClr val="6BAED6"/>
              </a:solidFill>
            </a:ln>
          </c:spPr>
          <c:marker>
            <c:symbol val="none"/>
          </c:marker>
          <c:dLbls>
            <c:dLbl>
              <c:idx val="31"/>
              <c:layout>
                <c:manualLayout>
                  <c:x val="-0.2015388778371332"/>
                  <c:y val="-1.3693871863352977E-2"/>
                </c:manualLayout>
              </c:layout>
              <c:spPr>
                <a:noFill/>
                <a:ln>
                  <a:noFill/>
                </a:ln>
                <a:effectLst/>
              </c:spPr>
              <c:txPr>
                <a:bodyPr wrap="square" lIns="38100" tIns="19050" rIns="38100" bIns="19050" anchor="ctr">
                  <a:noAutofit/>
                </a:bodyPr>
                <a:lstStyle/>
                <a:p>
                  <a:pPr>
                    <a:defRPr sz="1100" b="1"/>
                  </a:pPr>
                  <a:endParaRPr lang="en-US"/>
                </a:p>
              </c:txPr>
              <c:showLegendKey val="0"/>
              <c:showVal val="0"/>
              <c:showCatName val="0"/>
              <c:showSerName val="1"/>
              <c:showPercent val="0"/>
              <c:showBubbleSize val="0"/>
              <c:extLst>
                <c:ext xmlns:c15="http://schemas.microsoft.com/office/drawing/2012/chart" uri="{CE6537A1-D6FC-4f65-9D91-7224C49458BB}">
                  <c15:layout>
                    <c:manualLayout>
                      <c:w val="0.14707107256186885"/>
                      <c:h val="8.3309894122034406E-2"/>
                    </c:manualLayout>
                  </c15:layout>
                </c:ext>
                <c:ext xmlns:c16="http://schemas.microsoft.com/office/drawing/2014/chart" uri="{C3380CC4-5D6E-409C-BE32-E72D297353CC}">
                  <c16:uniqueId val="{00000009-A3AF-46D6-9655-B93A796995BE}"/>
                </c:ext>
              </c:extLst>
            </c:dLbl>
            <c:spPr>
              <a:noFill/>
              <a:ln>
                <a:noFill/>
              </a:ln>
              <a:effectLst/>
            </c:spPr>
            <c:txPr>
              <a:bodyPr wrap="square" lIns="38100" tIns="19050" rIns="38100" bIns="19050" anchor="ctr">
                <a:spAutoFit/>
              </a:bodyPr>
              <a:lstStyle/>
              <a:p>
                <a:pPr>
                  <a:defRPr sz="11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'Baseline Emissions'!$B$6:$AK$6</c:f>
              <c:numCache>
                <c:formatCode>General</c:formatCode>
                <c:ptCount val="3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numCache>
            </c:numRef>
          </c:cat>
          <c:val>
            <c:numRef>
              <c:f>'Baseline Emissions'!$B$75:$AK$75</c:f>
              <c:numCache>
                <c:formatCode>0.00</c:formatCode>
                <c:ptCount val="36"/>
                <c:pt idx="0">
                  <c:v>82.73612947437465</c:v>
                </c:pt>
                <c:pt idx="1">
                  <c:v>82.327272524378401</c:v>
                </c:pt>
                <c:pt idx="2">
                  <c:v>84.116808356664478</c:v>
                </c:pt>
                <c:pt idx="3">
                  <c:v>82.876724056533362</c:v>
                </c:pt>
                <c:pt idx="4">
                  <c:v>81.01574438160111</c:v>
                </c:pt>
                <c:pt idx="5">
                  <c:v>83.225488148816268</c:v>
                </c:pt>
                <c:pt idx="6">
                  <c:v>77.138829752124025</c:v>
                </c:pt>
                <c:pt idx="7">
                  <c:v>74.146476973471323</c:v>
                </c:pt>
                <c:pt idx="8">
                  <c:v>78.621958546988481</c:v>
                </c:pt>
                <c:pt idx="9">
                  <c:v>77.858170035583598</c:v>
                </c:pt>
                <c:pt idx="10">
                  <c:v>79.070679331139445</c:v>
                </c:pt>
                <c:pt idx="11">
                  <c:v>82.10142459021553</c:v>
                </c:pt>
                <c:pt idx="12">
                  <c:v>80.866636140077134</c:v>
                </c:pt>
                <c:pt idx="13">
                  <c:v>81.621149486140069</c:v>
                </c:pt>
                <c:pt idx="14">
                  <c:v>81.281891537751278</c:v>
                </c:pt>
                <c:pt idx="15">
                  <c:v>79.507027122959371</c:v>
                </c:pt>
                <c:pt idx="16">
                  <c:v>78.937282554470841</c:v>
                </c:pt>
                <c:pt idx="17">
                  <c:v>78.208454788119823</c:v>
                </c:pt>
                <c:pt idx="18">
                  <c:v>76.886382495110979</c:v>
                </c:pt>
                <c:pt idx="19">
                  <c:v>76.572416146783468</c:v>
                </c:pt>
                <c:pt idx="20">
                  <c:v>76.094845851865415</c:v>
                </c:pt>
                <c:pt idx="21">
                  <c:v>74.152373453869473</c:v>
                </c:pt>
                <c:pt idx="22">
                  <c:v>73.955059800433787</c:v>
                </c:pt>
                <c:pt idx="23">
                  <c:v>73.822096788982094</c:v>
                </c:pt>
                <c:pt idx="24">
                  <c:v>73.764077928274645</c:v>
                </c:pt>
                <c:pt idx="25">
                  <c:v>73.830168882750996</c:v>
                </c:pt>
                <c:pt idx="26">
                  <c:v>73.974382865246326</c:v>
                </c:pt>
                <c:pt idx="27">
                  <c:v>74.132405597653459</c:v>
                </c:pt>
                <c:pt idx="28">
                  <c:v>74.328415321433667</c:v>
                </c:pt>
                <c:pt idx="29">
                  <c:v>74.591600743189034</c:v>
                </c:pt>
                <c:pt idx="30">
                  <c:v>74.925086570210667</c:v>
                </c:pt>
                <c:pt idx="31">
                  <c:v>75.289550374935857</c:v>
                </c:pt>
                <c:pt idx="32">
                  <c:v>75.593497490026209</c:v>
                </c:pt>
                <c:pt idx="33">
                  <c:v>76.029463832670416</c:v>
                </c:pt>
                <c:pt idx="34">
                  <c:v>76.448468458436849</c:v>
                </c:pt>
                <c:pt idx="35">
                  <c:v>76.917361919751755</c:v>
                </c:pt>
              </c:numCache>
            </c:numRef>
          </c:val>
          <c:smooth val="0"/>
          <c:extLst>
            <c:ext xmlns:c16="http://schemas.microsoft.com/office/drawing/2014/chart" uri="{C3380CC4-5D6E-409C-BE32-E72D297353CC}">
              <c16:uniqueId val="{00000005-A3AF-46D6-9655-B93A796995BE}"/>
            </c:ext>
          </c:extLst>
        </c:ser>
        <c:ser>
          <c:idx val="1"/>
          <c:order val="2"/>
          <c:tx>
            <c:v>adjusted emissions</c:v>
          </c:tx>
          <c:spPr>
            <a:ln>
              <a:solidFill>
                <a:srgbClr val="00441B"/>
              </a:solidFill>
            </a:ln>
          </c:spPr>
          <c:marker>
            <c:symbol val="none"/>
          </c:marker>
          <c:dLbls>
            <c:dLbl>
              <c:idx val="22"/>
              <c:layout>
                <c:manualLayout>
                  <c:x val="5.0429145330770586E-2"/>
                  <c:y val="0.10601391415227554"/>
                </c:manualLayout>
              </c:layout>
              <c:tx>
                <c:rich>
                  <a:bodyPr wrap="square" lIns="38100" tIns="19050" rIns="38100" bIns="19050" anchor="ctr">
                    <a:spAutoFit/>
                  </a:bodyPr>
                  <a:lstStyle/>
                  <a:p>
                    <a:pPr>
                      <a:defRPr sz="1100" b="1"/>
                    </a:pPr>
                    <a:r>
                      <a:rPr lang="en-US" sz="1100" b="1"/>
                      <a:t>adjusted emissions</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AF-46D6-9655-B93A796995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tx1"/>
                      </a:solidFill>
                    </a:ln>
                  </c:spPr>
                </c15:leaderLines>
              </c:ext>
            </c:extLst>
          </c:dLbls>
          <c:cat>
            <c:numRef>
              <c:f>'Baseline Emissions'!$B$6:$AK$6</c:f>
              <c:numCache>
                <c:formatCode>General</c:formatCode>
                <c:ptCount val="3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numCache>
            </c:numRef>
          </c:cat>
          <c:val>
            <c:numRef>
              <c:f>'Adjusted Emissions'!$B$75:$AK$75</c:f>
              <c:numCache>
                <c:formatCode>0.00</c:formatCode>
                <c:ptCount val="36"/>
                <c:pt idx="12">
                  <c:v>80.866636140077134</c:v>
                </c:pt>
                <c:pt idx="13">
                  <c:v>81.621149486140069</c:v>
                </c:pt>
                <c:pt idx="14">
                  <c:v>81.281891537751278</c:v>
                </c:pt>
                <c:pt idx="15">
                  <c:v>79.212042906678619</c:v>
                </c:pt>
                <c:pt idx="16">
                  <c:v>78.336645561774588</c:v>
                </c:pt>
                <c:pt idx="17">
                  <c:v>77.237482694568172</c:v>
                </c:pt>
                <c:pt idx="18">
                  <c:v>75.576748005358269</c:v>
                </c:pt>
                <c:pt idx="19">
                  <c:v>74.918263938186229</c:v>
                </c:pt>
                <c:pt idx="20">
                  <c:v>74.100114891994991</c:v>
                </c:pt>
                <c:pt idx="21">
                  <c:v>72.038880916063476</c:v>
                </c:pt>
                <c:pt idx="22">
                  <c:v>71.488891385959022</c:v>
                </c:pt>
                <c:pt idx="23">
                  <c:v>70.98931842502455</c:v>
                </c:pt>
                <c:pt idx="24">
                  <c:v>70.543868274467982</c:v>
                </c:pt>
                <c:pt idx="25">
                  <c:v>73.830168882750996</c:v>
                </c:pt>
                <c:pt idx="26">
                  <c:v>73.974382865246326</c:v>
                </c:pt>
                <c:pt idx="27">
                  <c:v>74.132405597653459</c:v>
                </c:pt>
                <c:pt idx="28">
                  <c:v>74.328415321433667</c:v>
                </c:pt>
                <c:pt idx="29">
                  <c:v>74.591600743189034</c:v>
                </c:pt>
                <c:pt idx="30">
                  <c:v>74.925086570210667</c:v>
                </c:pt>
                <c:pt idx="31">
                  <c:v>75.289550374935857</c:v>
                </c:pt>
                <c:pt idx="32">
                  <c:v>75.593497490026209</c:v>
                </c:pt>
                <c:pt idx="33">
                  <c:v>76.029463832670416</c:v>
                </c:pt>
                <c:pt idx="34">
                  <c:v>76.448468458436849</c:v>
                </c:pt>
                <c:pt idx="35">
                  <c:v>76.917361919751755</c:v>
                </c:pt>
              </c:numCache>
            </c:numRef>
          </c:val>
          <c:smooth val="0"/>
          <c:extLst>
            <c:ext xmlns:c16="http://schemas.microsoft.com/office/drawing/2014/chart" uri="{C3380CC4-5D6E-409C-BE32-E72D297353CC}">
              <c16:uniqueId val="{00000008-A3AF-46D6-9655-B93A796995BE}"/>
            </c:ext>
          </c:extLst>
        </c:ser>
        <c:dLbls>
          <c:showLegendKey val="0"/>
          <c:showVal val="0"/>
          <c:showCatName val="0"/>
          <c:showSerName val="0"/>
          <c:showPercent val="0"/>
          <c:showBubbleSize val="0"/>
        </c:dLbls>
        <c:smooth val="0"/>
        <c:axId val="361447488"/>
        <c:axId val="361451016"/>
      </c:lineChart>
      <c:dateAx>
        <c:axId val="361447488"/>
        <c:scaling>
          <c:orientation val="minMax"/>
          <c:max val="2040"/>
        </c:scaling>
        <c:delete val="0"/>
        <c:axPos val="b"/>
        <c:majorGridlines>
          <c:spPr>
            <a:ln w="9525">
              <a:solidFill>
                <a:srgbClr val="D9D9D9"/>
              </a:solidFill>
            </a:ln>
          </c:spPr>
        </c:majorGridlines>
        <c:numFmt formatCode="General" sourceLinked="1"/>
        <c:majorTickMark val="cross"/>
        <c:minorTickMark val="out"/>
        <c:tickLblPos val="nextTo"/>
        <c:spPr>
          <a:ln w="25400">
            <a:solidFill>
              <a:schemeClr val="tx1"/>
            </a:solidFill>
          </a:ln>
        </c:spPr>
        <c:txPr>
          <a:bodyPr rot="0" vert="horz"/>
          <a:lstStyle/>
          <a:p>
            <a:pPr>
              <a:defRPr lang="ja-JP" sz="1100" b="1" i="0" u="none" strike="noStrike" baseline="0">
                <a:solidFill>
                  <a:srgbClr val="000000"/>
                </a:solidFill>
                <a:latin typeface="Calibri"/>
                <a:ea typeface="Calibri"/>
                <a:cs typeface="Calibri"/>
              </a:defRPr>
            </a:pPr>
            <a:endParaRPr lang="en-US"/>
          </a:p>
        </c:txPr>
        <c:crossAx val="361451016"/>
        <c:crosses val="autoZero"/>
        <c:auto val="0"/>
        <c:lblOffset val="100"/>
        <c:baseTimeUnit val="days"/>
        <c:majorUnit val="5"/>
      </c:dateAx>
      <c:valAx>
        <c:axId val="361451016"/>
        <c:scaling>
          <c:orientation val="minMax"/>
          <c:max val="90"/>
          <c:min val="50"/>
        </c:scaling>
        <c:delete val="0"/>
        <c:axPos val="l"/>
        <c:majorGridlines>
          <c:spPr>
            <a:ln>
              <a:solidFill>
                <a:srgbClr val="D9D9D9"/>
              </a:solidFill>
            </a:ln>
          </c:spPr>
        </c:majorGridlines>
        <c:title>
          <c:tx>
            <c:rich>
              <a:bodyPr/>
              <a:lstStyle/>
              <a:p>
                <a:pPr>
                  <a:defRPr lang="ja-JP" sz="1100" b="1" i="0" u="none" strike="noStrike" baseline="0">
                    <a:solidFill>
                      <a:srgbClr val="000000"/>
                    </a:solidFill>
                    <a:latin typeface="Calibri"/>
                    <a:ea typeface="Calibri"/>
                    <a:cs typeface="Calibri"/>
                  </a:defRPr>
                </a:pPr>
                <a:r>
                  <a:rPr lang="en-US" altLang="en-US" sz="1100"/>
                  <a:t>emissions,</a:t>
                </a:r>
                <a:r>
                  <a:rPr lang="en-US" altLang="en-US" sz="1100" baseline="0"/>
                  <a:t> million metric tons of </a:t>
                </a:r>
                <a:r>
                  <a:rPr lang="en-US" altLang="en-US" sz="1100"/>
                  <a:t>CO</a:t>
                </a:r>
                <a:r>
                  <a:rPr lang="en-US" altLang="en-US" sz="1100" baseline="-25000"/>
                  <a:t>2</a:t>
                </a:r>
                <a:r>
                  <a:rPr lang="en-US" altLang="en-US" sz="1100" baseline="0"/>
                  <a:t> equivalent</a:t>
                </a:r>
              </a:p>
            </c:rich>
          </c:tx>
          <c:layout>
            <c:manualLayout>
              <c:xMode val="edge"/>
              <c:yMode val="edge"/>
              <c:x val="8.2679757287173142E-3"/>
              <c:y val="0.14260348692277466"/>
            </c:manualLayout>
          </c:layout>
          <c:overlay val="0"/>
          <c:spPr>
            <a:noFill/>
            <a:ln w="25400">
              <a:noFill/>
            </a:ln>
          </c:spPr>
        </c:title>
        <c:numFmt formatCode="0" sourceLinked="0"/>
        <c:majorTickMark val="cross"/>
        <c:minorTickMark val="out"/>
        <c:tickLblPos val="nextTo"/>
        <c:spPr>
          <a:ln w="25400">
            <a:solidFill>
              <a:schemeClr val="tx1"/>
            </a:solidFill>
          </a:ln>
        </c:spPr>
        <c:txPr>
          <a:bodyPr rot="0" vert="horz"/>
          <a:lstStyle/>
          <a:p>
            <a:pPr>
              <a:defRPr lang="ja-JP" sz="1100" b="1" i="0" u="none" strike="noStrike" baseline="0">
                <a:solidFill>
                  <a:srgbClr val="000000"/>
                </a:solidFill>
                <a:latin typeface="Calibri"/>
                <a:ea typeface="Calibri"/>
                <a:cs typeface="Calibri"/>
              </a:defRPr>
            </a:pPr>
            <a:endParaRPr lang="en-US"/>
          </a:p>
        </c:txPr>
        <c:crossAx val="361447488"/>
        <c:crosses val="autoZero"/>
        <c:crossBetween val="midCat"/>
        <c:majorUnit val="5"/>
        <c:minorUnit val="1"/>
      </c:valAx>
      <c:spPr>
        <a:noFill/>
        <a:ln w="25400">
          <a:solidFill>
            <a:schemeClr val="tx1"/>
          </a:solid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1219200</xdr:colOff>
      <xdr:row>1</xdr:row>
      <xdr:rowOff>1267527</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880" y="175260"/>
          <a:ext cx="2293620" cy="1267527"/>
        </a:xfrm>
        <a:prstGeom prst="rect">
          <a:avLst/>
        </a:prstGeom>
      </xdr:spPr>
    </xdr:pic>
    <xdr:clientData/>
  </xdr:twoCellAnchor>
  <xdr:twoCellAnchor editAs="oneCell">
    <xdr:from>
      <xdr:col>2</xdr:col>
      <xdr:colOff>1463040</xdr:colOff>
      <xdr:row>1</xdr:row>
      <xdr:rowOff>259080</xdr:rowOff>
    </xdr:from>
    <xdr:to>
      <xdr:col>4</xdr:col>
      <xdr:colOff>0</xdr:colOff>
      <xdr:row>1</xdr:row>
      <xdr:rowOff>1135380</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20340" y="434340"/>
          <a:ext cx="5486400"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311856</xdr:colOff>
      <xdr:row>1</xdr:row>
      <xdr:rowOff>21167</xdr:rowOff>
    </xdr:from>
    <xdr:to>
      <xdr:col>15</xdr:col>
      <xdr:colOff>279198</xdr:colOff>
      <xdr:row>29</xdr:row>
      <xdr:rowOff>36819</xdr:rowOff>
    </xdr:to>
    <xdr:graphicFrame macro="">
      <xdr:nvGraphicFramePr>
        <xdr:cNvPr id="191897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0.81022</cdr:x>
      <cdr:y>0.05053</cdr:y>
    </cdr:from>
    <cdr:to>
      <cdr:x>0.94851</cdr:x>
      <cdr:y>0.09783</cdr:y>
    </cdr:to>
    <cdr:sp macro="" textlink="">
      <cdr:nvSpPr>
        <cdr:cNvPr id="3" name="TextBox 2"/>
        <cdr:cNvSpPr txBox="1"/>
      </cdr:nvSpPr>
      <cdr:spPr>
        <a:xfrm xmlns:a="http://schemas.openxmlformats.org/drawingml/2006/main">
          <a:off x="4803945" y="213903"/>
          <a:ext cx="819927" cy="200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0%20-%20Commerce\230-07%20WA%20state%20energy%20forecast\230-07b%20WA%20state%20energy%20forecast.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analysis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IA historical"/>
      <sheetName val="FMD historical"/>
      <sheetName val="AEO regional consumption"/>
      <sheetName val="AEO regional price"/>
      <sheetName val="AEO proration factors"/>
      <sheetName val="electricity"/>
      <sheetName val="process emissions"/>
      <sheetName val="price forecast"/>
      <sheetName val="consumption forecast"/>
      <sheetName val="ref"/>
      <sheetName val="units"/>
      <sheetName val="cit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Fundamental parameters of climate and energy analysis</v>
          </cell>
        </row>
        <row r="5">
          <cell r="D5">
            <v>3.6640912818506139</v>
          </cell>
        </row>
        <row r="13">
          <cell r="D13">
            <v>1.8</v>
          </cell>
        </row>
        <row r="14">
          <cell r="D14">
            <v>32</v>
          </cell>
        </row>
        <row r="18">
          <cell r="D18">
            <v>12.011150000000001</v>
          </cell>
        </row>
        <row r="19">
          <cell r="D19">
            <v>1.0079400000000001</v>
          </cell>
        </row>
        <row r="20">
          <cell r="D20">
            <v>14.006740000000001</v>
          </cell>
        </row>
        <row r="21">
          <cell r="D21">
            <v>15.9994</v>
          </cell>
        </row>
        <row r="22">
          <cell r="D22">
            <v>32.066000000000003</v>
          </cell>
        </row>
        <row r="26">
          <cell r="D26">
            <v>16.042909999999999</v>
          </cell>
        </row>
        <row r="28">
          <cell r="D28">
            <v>44.009950000000003</v>
          </cell>
        </row>
        <row r="29">
          <cell r="D29">
            <v>44.012880000000003</v>
          </cell>
        </row>
        <row r="34">
          <cell r="D34">
            <v>8.20578E-2</v>
          </cell>
        </row>
        <row r="35">
          <cell r="D35">
            <v>273.14999999999998</v>
          </cell>
        </row>
        <row r="36">
          <cell r="D36">
            <v>288.14999999999998</v>
          </cell>
        </row>
        <row r="37">
          <cell r="D37">
            <v>288.70555555555552</v>
          </cell>
        </row>
        <row r="39">
          <cell r="D39">
            <v>23.644955069999998</v>
          </cell>
        </row>
        <row r="40">
          <cell r="D40">
            <v>23.690542736666664</v>
          </cell>
        </row>
        <row r="118">
          <cell r="D118">
            <v>34.830611975333802</v>
          </cell>
        </row>
      </sheetData>
      <sheetData sheetId="11" refreshError="1">
        <row r="1">
          <cell r="B1" t="str">
            <v>Conversion factors for physical units</v>
          </cell>
        </row>
        <row r="10">
          <cell r="E10">
            <v>0.62150403977625857</v>
          </cell>
        </row>
        <row r="19">
          <cell r="E19">
            <v>0.4536</v>
          </cell>
        </row>
        <row r="23">
          <cell r="E23">
            <v>1.1023170704821534</v>
          </cell>
        </row>
        <row r="24">
          <cell r="E24">
            <v>16</v>
          </cell>
        </row>
        <row r="27">
          <cell r="E27">
            <v>907.18</v>
          </cell>
        </row>
        <row r="28">
          <cell r="E28">
            <v>0.90717999999999999</v>
          </cell>
        </row>
        <row r="31">
          <cell r="E31">
            <v>1440</v>
          </cell>
        </row>
        <row r="34">
          <cell r="E34">
            <v>60</v>
          </cell>
        </row>
        <row r="35">
          <cell r="E35">
            <v>3600</v>
          </cell>
        </row>
        <row r="36">
          <cell r="E36">
            <v>1.1415525114155251E-4</v>
          </cell>
        </row>
        <row r="43">
          <cell r="E43">
            <v>365.24</v>
          </cell>
        </row>
        <row r="44">
          <cell r="E44">
            <v>8760</v>
          </cell>
        </row>
        <row r="45">
          <cell r="E45">
            <v>12</v>
          </cell>
        </row>
        <row r="51">
          <cell r="E51">
            <v>4.0468600000000002E-3</v>
          </cell>
        </row>
        <row r="56">
          <cell r="E56">
            <v>2.4710455240716898</v>
          </cell>
        </row>
        <row r="57">
          <cell r="E57">
            <v>0.01</v>
          </cell>
        </row>
        <row r="74">
          <cell r="E74">
            <v>42</v>
          </cell>
        </row>
        <row r="75">
          <cell r="E75">
            <v>158.98680000000002</v>
          </cell>
        </row>
        <row r="78">
          <cell r="E78">
            <v>2.8320000000000001E-2</v>
          </cell>
        </row>
        <row r="82">
          <cell r="E82">
            <v>3.7854000000000001</v>
          </cell>
        </row>
        <row r="85">
          <cell r="E85">
            <v>0.2641728747292228</v>
          </cell>
        </row>
        <row r="86">
          <cell r="E86">
            <v>1E-3</v>
          </cell>
        </row>
        <row r="105">
          <cell r="E105">
            <v>1054.18</v>
          </cell>
        </row>
        <row r="106">
          <cell r="E106">
            <v>1.0541800000000001</v>
          </cell>
        </row>
        <row r="107">
          <cell r="E107">
            <v>2.92875E-4</v>
          </cell>
        </row>
        <row r="108">
          <cell r="E108">
            <v>1.05418E-3</v>
          </cell>
        </row>
        <row r="115">
          <cell r="E115">
            <v>0.94860460262953183</v>
          </cell>
        </row>
        <row r="116">
          <cell r="E116">
            <v>9.4860460262953179</v>
          </cell>
        </row>
        <row r="121">
          <cell r="E121">
            <v>0.94860460262953183</v>
          </cell>
        </row>
        <row r="125">
          <cell r="E125">
            <v>0.2778233099313499</v>
          </cell>
        </row>
        <row r="126">
          <cell r="E126">
            <v>239.0057361376673</v>
          </cell>
        </row>
        <row r="128">
          <cell r="E128">
            <v>9.4860460262953181E-3</v>
          </cell>
        </row>
        <row r="129">
          <cell r="E129">
            <v>1054.18</v>
          </cell>
        </row>
        <row r="131">
          <cell r="E131">
            <v>10</v>
          </cell>
        </row>
        <row r="137">
          <cell r="E137">
            <v>3.5994099999999998</v>
          </cell>
        </row>
        <row r="141">
          <cell r="E141">
            <v>1.0541772037499999</v>
          </cell>
        </row>
        <row r="142">
          <cell r="E142">
            <v>292.875</v>
          </cell>
        </row>
        <row r="143">
          <cell r="E143">
            <v>100000</v>
          </cell>
        </row>
        <row r="146">
          <cell r="E146">
            <v>105.41800000000002</v>
          </cell>
        </row>
        <row r="148">
          <cell r="E148">
            <v>3.5994099999999999E-3</v>
          </cell>
        </row>
        <row r="151">
          <cell r="E151">
            <v>3599.41</v>
          </cell>
        </row>
        <row r="154">
          <cell r="E154">
            <v>0.27777777777777779</v>
          </cell>
        </row>
        <row r="168">
          <cell r="E168">
            <v>15.85037248375337</v>
          </cell>
        </row>
        <row r="196">
          <cell r="E196">
            <v>2E-3</v>
          </cell>
        </row>
        <row r="198">
          <cell r="E198">
            <v>430.28704775275571</v>
          </cell>
        </row>
      </sheetData>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
      <sheetName val="ref"/>
      <sheetName val="units"/>
      <sheetName val="cites"/>
    </sheetNames>
    <sheetDataSet>
      <sheetData sheetId="0" refreshError="1"/>
      <sheetData sheetId="1" refreshError="1"/>
      <sheetData sheetId="2">
        <row r="5">
          <cell r="D5">
            <v>3.6640912818506139</v>
          </cell>
        </row>
        <row r="13">
          <cell r="D13">
            <v>1.8</v>
          </cell>
        </row>
        <row r="14">
          <cell r="D14">
            <v>32</v>
          </cell>
        </row>
        <row r="18">
          <cell r="D18">
            <v>12.011150000000001</v>
          </cell>
        </row>
        <row r="19">
          <cell r="D19">
            <v>1.0079400000000001</v>
          </cell>
        </row>
        <row r="20">
          <cell r="D20">
            <v>14.006740000000001</v>
          </cell>
        </row>
        <row r="21">
          <cell r="D21">
            <v>15.9994</v>
          </cell>
        </row>
        <row r="22">
          <cell r="D22">
            <v>32.066000000000003</v>
          </cell>
        </row>
        <row r="26">
          <cell r="D26">
            <v>16.042909999999999</v>
          </cell>
        </row>
        <row r="28">
          <cell r="D28">
            <v>44.009950000000003</v>
          </cell>
        </row>
        <row r="29">
          <cell r="D29">
            <v>44.012880000000003</v>
          </cell>
        </row>
        <row r="34">
          <cell r="D34">
            <v>8.20578E-2</v>
          </cell>
        </row>
        <row r="35">
          <cell r="D35">
            <v>273.14999999999998</v>
          </cell>
        </row>
        <row r="36">
          <cell r="D36">
            <v>288.14999999999998</v>
          </cell>
        </row>
        <row r="37">
          <cell r="D37">
            <v>288.70555555555552</v>
          </cell>
        </row>
        <row r="39">
          <cell r="D39">
            <v>23.644955069999998</v>
          </cell>
        </row>
        <row r="40">
          <cell r="D40">
            <v>23.690542736666664</v>
          </cell>
        </row>
        <row r="118">
          <cell r="D118">
            <v>34.830611975333802</v>
          </cell>
        </row>
      </sheetData>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http://www.tinbergen.nl/discussionpapers/06106.pdf" TargetMode="External"/><Relationship Id="rId13" Type="http://schemas.openxmlformats.org/officeDocument/2006/relationships/hyperlink" Target="https://www.eia.gov/electricity/annual/html/epa_08_02.html" TargetMode="External"/><Relationship Id="rId3" Type="http://schemas.openxmlformats.org/officeDocument/2006/relationships/hyperlink" Target="http://www.census.gov/govs/estimate/" TargetMode="External"/><Relationship Id="rId7" Type="http://schemas.openxmlformats.org/officeDocument/2006/relationships/hyperlink" Target="http://www.eia.doe.gov/oiaf/analysispaper/elasticity/" TargetMode="External"/><Relationship Id="rId12" Type="http://schemas.openxmlformats.org/officeDocument/2006/relationships/hyperlink" Target="http://www.eia.gov/electricity/annual/html/epa_08_01.html" TargetMode="External"/><Relationship Id="rId2" Type="http://schemas.openxmlformats.org/officeDocument/2006/relationships/hyperlink" Target="http://www.dol.wa.gov/vehicleregistration/fueltax.html" TargetMode="External"/><Relationship Id="rId1" Type="http://schemas.openxmlformats.org/officeDocument/2006/relationships/hyperlink" Target="http://www.eia.doe.gov/oiaf/1605/emission_factors.html" TargetMode="External"/><Relationship Id="rId6" Type="http://schemas.openxmlformats.org/officeDocument/2006/relationships/hyperlink" Target="http://www.eia.gov/oiaf/archive/aeo10/aeoref_tab.html" TargetMode="External"/><Relationship Id="rId11" Type="http://schemas.openxmlformats.org/officeDocument/2006/relationships/hyperlink" Target="http://www.eia.gov/forecasts/aeo/" TargetMode="External"/><Relationship Id="rId5" Type="http://schemas.openxmlformats.org/officeDocument/2006/relationships/hyperlink" Target="http://www.ofm.wa.gov/pop/stfc/default.asp" TargetMode="External"/><Relationship Id="rId15" Type="http://schemas.openxmlformats.org/officeDocument/2006/relationships/printerSettings" Target="../printerSettings/printerSettings22.bin"/><Relationship Id="rId10" Type="http://schemas.openxmlformats.org/officeDocument/2006/relationships/hyperlink" Target="http://quickfacts.census.gov/qfd/states/53000.html" TargetMode="External"/><Relationship Id="rId4" Type="http://schemas.openxmlformats.org/officeDocument/2006/relationships/hyperlink" Target="http://www.ofm.wa.gov/economy/longterm/2014/lt2014ch4.pdf" TargetMode="External"/><Relationship Id="rId9" Type="http://schemas.openxmlformats.org/officeDocument/2006/relationships/hyperlink" Target="http://www.nrel.gov/docs/fy06osti/39512.pdf" TargetMode="External"/><Relationship Id="rId14" Type="http://schemas.openxmlformats.org/officeDocument/2006/relationships/hyperlink" Target="https://www.eia.gov/outlooks/aeo/pdf/electricity_generation_2015.pd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122"/>
  <sheetViews>
    <sheetView workbookViewId="0">
      <selection activeCell="D6" sqref="D6"/>
    </sheetView>
  </sheetViews>
  <sheetFormatPr defaultRowHeight="12.75"/>
  <cols>
    <col min="1" max="1" width="2.7109375" customWidth="1"/>
    <col min="2" max="2" width="15.7109375" style="23" customWidth="1"/>
    <col min="3" max="3" width="40.7109375" customWidth="1"/>
    <col min="4" max="4" width="60.7109375" customWidth="1"/>
  </cols>
  <sheetData>
    <row r="1" spans="1:4" s="57" customFormat="1"/>
    <row r="2" spans="1:4" s="57" customFormat="1" ht="108.75" customHeight="1"/>
    <row r="3" spans="1:4" s="57" customFormat="1" ht="32.1" customHeight="1">
      <c r="A3" s="281"/>
      <c r="B3" s="277" t="s">
        <v>1354</v>
      </c>
    </row>
    <row r="4" spans="1:4" s="57" customFormat="1" ht="13.5">
      <c r="A4" s="281"/>
      <c r="B4" s="94" t="s">
        <v>978</v>
      </c>
      <c r="C4" s="57" t="s">
        <v>979</v>
      </c>
      <c r="D4" s="57" t="s">
        <v>1355</v>
      </c>
    </row>
    <row r="5" spans="1:4" s="57" customFormat="1" ht="13.5">
      <c r="A5" s="281"/>
      <c r="B5" s="94" t="s">
        <v>980</v>
      </c>
      <c r="C5" s="57" t="s">
        <v>1248</v>
      </c>
    </row>
    <row r="6" spans="1:4" s="57" customFormat="1" ht="13.5">
      <c r="A6" s="281"/>
      <c r="B6" s="94" t="s">
        <v>981</v>
      </c>
      <c r="C6" s="282">
        <v>43296</v>
      </c>
    </row>
    <row r="7" spans="1:4" s="57" customFormat="1" ht="15">
      <c r="A7" s="281"/>
      <c r="B7" s="94" t="s">
        <v>1078</v>
      </c>
      <c r="C7" s="433" t="s">
        <v>1356</v>
      </c>
    </row>
    <row r="8" spans="1:4" s="57" customFormat="1" ht="13.5">
      <c r="A8" s="281"/>
      <c r="B8" s="283" t="s">
        <v>982</v>
      </c>
      <c r="C8" s="282"/>
    </row>
    <row r="9" spans="1:4" s="292" customFormat="1" ht="13.5">
      <c r="A9" s="281"/>
      <c r="B9" s="297"/>
      <c r="C9" s="298"/>
      <c r="D9" s="6"/>
    </row>
    <row r="10" spans="1:4" s="292" customFormat="1" ht="13.5">
      <c r="A10" s="281"/>
      <c r="B10" s="779" t="s">
        <v>1045</v>
      </c>
      <c r="C10" s="780"/>
      <c r="D10" s="780"/>
    </row>
    <row r="11" spans="1:4" s="57" customFormat="1">
      <c r="B11" s="6"/>
      <c r="C11" s="6"/>
      <c r="D11" s="6"/>
    </row>
    <row r="12" spans="1:4" s="292" customFormat="1" ht="80.25" customHeight="1">
      <c r="B12" s="781" t="s">
        <v>1046</v>
      </c>
      <c r="C12" s="782"/>
      <c r="D12" s="299"/>
    </row>
    <row r="13" spans="1:4" s="57" customFormat="1" ht="80.25" customHeight="1">
      <c r="B13" s="783" t="s">
        <v>1156</v>
      </c>
      <c r="C13" s="784"/>
      <c r="D13" s="299" t="s">
        <v>1047</v>
      </c>
    </row>
    <row r="14" spans="1:4" s="57" customFormat="1" ht="14.25">
      <c r="B14" s="284" t="s">
        <v>983</v>
      </c>
      <c r="C14" s="121"/>
      <c r="D14" s="121"/>
    </row>
    <row r="15" spans="1:4" s="57" customFormat="1" ht="13.5">
      <c r="B15" s="59" t="s">
        <v>984</v>
      </c>
      <c r="C15" s="59" t="s">
        <v>985</v>
      </c>
      <c r="D15" s="59" t="s">
        <v>471</v>
      </c>
    </row>
    <row r="16" spans="1:4" s="57" customFormat="1">
      <c r="B16" s="57" t="s">
        <v>986</v>
      </c>
      <c r="C16" s="21" t="s">
        <v>345</v>
      </c>
    </row>
    <row r="17" spans="2:4" s="57" customFormat="1">
      <c r="B17" s="289" t="s">
        <v>1035</v>
      </c>
      <c r="C17" s="285" t="str">
        <f>Dashboard!A1</f>
        <v>Carbon Tax Analysis Model (CTAM) version 3.5 base case (Washington State)</v>
      </c>
    </row>
    <row r="18" spans="2:4" s="57" customFormat="1">
      <c r="B18" s="289" t="s">
        <v>586</v>
      </c>
      <c r="C18" s="285" t="str">
        <f>parameters!B1</f>
        <v>Parameters</v>
      </c>
    </row>
    <row r="19" spans="2:4" s="57" customFormat="1">
      <c r="B19" s="286" t="s">
        <v>504</v>
      </c>
      <c r="C19" s="285" t="str">
        <f>elasticities!B1</f>
        <v>Price Elasticities of Demand</v>
      </c>
    </row>
    <row r="20" spans="2:4" s="57" customFormat="1">
      <c r="B20" s="286" t="s">
        <v>475</v>
      </c>
      <c r="C20" s="285" t="str">
        <f>ramps!A1</f>
        <v>ramps</v>
      </c>
    </row>
    <row r="21" spans="2:4" s="57" customFormat="1">
      <c r="B21" s="286" t="s">
        <v>453</v>
      </c>
      <c r="C21" s="285"/>
      <c r="D21" s="57" t="s">
        <v>1043</v>
      </c>
    </row>
    <row r="22" spans="2:4" s="57" customFormat="1">
      <c r="B22" s="286" t="s">
        <v>458</v>
      </c>
      <c r="C22" s="285"/>
      <c r="D22" s="292" t="s">
        <v>1043</v>
      </c>
    </row>
    <row r="23" spans="2:4" s="57" customFormat="1">
      <c r="B23" s="286" t="s">
        <v>459</v>
      </c>
      <c r="C23" s="285"/>
      <c r="D23" s="292" t="s">
        <v>1043</v>
      </c>
    </row>
    <row r="24" spans="2:4" s="292" customFormat="1">
      <c r="B24" s="286" t="s">
        <v>455</v>
      </c>
      <c r="C24" s="285"/>
      <c r="D24" s="292" t="s">
        <v>1043</v>
      </c>
    </row>
    <row r="25" spans="2:4" s="292" customFormat="1">
      <c r="B25" s="286" t="s">
        <v>460</v>
      </c>
      <c r="C25" s="285"/>
      <c r="D25" s="292" t="s">
        <v>1043</v>
      </c>
    </row>
    <row r="26" spans="2:4" s="292" customFormat="1">
      <c r="B26" s="286" t="s">
        <v>461</v>
      </c>
      <c r="C26" s="285"/>
      <c r="D26" s="292" t="s">
        <v>1043</v>
      </c>
    </row>
    <row r="27" spans="2:4" s="292" customFormat="1">
      <c r="B27" s="286" t="s">
        <v>1036</v>
      </c>
      <c r="C27" s="285" t="str">
        <f>'Baseline Price'!A1</f>
        <v>Baseline Price, constant $</v>
      </c>
    </row>
    <row r="28" spans="2:4" s="292" customFormat="1">
      <c r="B28" s="286" t="s">
        <v>55</v>
      </c>
      <c r="C28" s="285" t="str">
        <f>'Baseline Consumption'!A1</f>
        <v>Baseline Consumption</v>
      </c>
    </row>
    <row r="29" spans="2:4" s="292" customFormat="1">
      <c r="B29" s="286" t="s">
        <v>413</v>
      </c>
      <c r="C29" s="285" t="str">
        <f>'Baseline Emissions'!A1</f>
        <v>Baseline Emissions</v>
      </c>
    </row>
    <row r="30" spans="2:4" s="292" customFormat="1">
      <c r="B30" s="286" t="s">
        <v>1037</v>
      </c>
      <c r="C30" s="285" t="str">
        <f>'Baseline expend'!A1</f>
        <v>Baseline Energy Expenditures</v>
      </c>
    </row>
    <row r="31" spans="2:4" s="292" customFormat="1">
      <c r="B31" s="286" t="s">
        <v>303</v>
      </c>
      <c r="C31" s="285" t="str">
        <f>'Price Change'!A1</f>
        <v>Price Change</v>
      </c>
    </row>
    <row r="32" spans="2:4" s="292" customFormat="1">
      <c r="B32" s="286" t="s">
        <v>1038</v>
      </c>
      <c r="C32" s="285" t="str">
        <f>'Adjusted price'!A1</f>
        <v>Adjusted Price After Carbon Tax</v>
      </c>
    </row>
    <row r="33" spans="2:4" s="292" customFormat="1">
      <c r="B33" s="286" t="s">
        <v>1039</v>
      </c>
      <c r="C33" s="285" t="str">
        <f>'Adjusted Consumption'!A1</f>
        <v>Adjusted Consumption (after carbon tax)</v>
      </c>
    </row>
    <row r="34" spans="2:4" s="292" customFormat="1">
      <c r="B34" s="286" t="s">
        <v>409</v>
      </c>
      <c r="C34" s="285" t="str">
        <f>'Adjusted Emissions'!A1</f>
        <v>Adjusted Emissions</v>
      </c>
    </row>
    <row r="35" spans="2:4" s="292" customFormat="1">
      <c r="B35" s="286" t="s">
        <v>1040</v>
      </c>
      <c r="C35" s="285" t="str">
        <f>'Adjusted expend'!A1</f>
        <v>Adjusted WA Energy Expenditures</v>
      </c>
    </row>
    <row r="36" spans="2:4" s="292" customFormat="1">
      <c r="B36" s="286" t="s">
        <v>16</v>
      </c>
      <c r="C36" s="285" t="str">
        <f>Revenue!A1</f>
        <v>Carbon Tax Revenue</v>
      </c>
    </row>
    <row r="37" spans="2:4" s="292" customFormat="1">
      <c r="B37" s="286" t="s">
        <v>324</v>
      </c>
      <c r="C37" s="285" t="str">
        <f>Sources!A1</f>
        <v>Sources</v>
      </c>
    </row>
    <row r="38" spans="2:4" s="292" customFormat="1">
      <c r="B38" s="286" t="s">
        <v>1041</v>
      </c>
      <c r="C38" s="285" t="str">
        <f>Versions!A1</f>
        <v>Version History</v>
      </c>
    </row>
    <row r="39" spans="2:4" s="292" customFormat="1">
      <c r="B39" s="286" t="s">
        <v>469</v>
      </c>
      <c r="C39" s="285" t="str">
        <f>units!B1</f>
        <v>Conversion factors for physical units</v>
      </c>
    </row>
    <row r="40" spans="2:4" s="292" customFormat="1">
      <c r="B40" s="286" t="s">
        <v>1042</v>
      </c>
      <c r="C40" s="285" t="str">
        <f>lookup!B1</f>
        <v>Lookup Tables for Spreadsheet Automation</v>
      </c>
    </row>
    <row r="41" spans="2:4" s="57" customFormat="1"/>
    <row r="42" spans="2:4" s="57" customFormat="1" ht="14.25">
      <c r="B42" s="284" t="s">
        <v>987</v>
      </c>
      <c r="C42" s="121"/>
      <c r="D42" s="121"/>
    </row>
    <row r="43" spans="2:4" s="57" customFormat="1" ht="13.5">
      <c r="B43" s="59" t="s">
        <v>988</v>
      </c>
      <c r="C43" s="59" t="s">
        <v>989</v>
      </c>
      <c r="D43" s="59" t="s">
        <v>471</v>
      </c>
    </row>
    <row r="44" spans="2:4" s="57" customFormat="1" ht="27">
      <c r="B44" s="277" t="s">
        <v>95</v>
      </c>
      <c r="C44" s="57" t="s">
        <v>990</v>
      </c>
      <c r="D44" s="57" t="s">
        <v>991</v>
      </c>
    </row>
    <row r="45" spans="2:4" s="57" customFormat="1" ht="3.95" customHeight="1"/>
    <row r="46" spans="2:4" s="57" customFormat="1" ht="13.5">
      <c r="B46" s="59" t="s">
        <v>992</v>
      </c>
      <c r="C46" s="57" t="s">
        <v>993</v>
      </c>
      <c r="D46" s="57" t="s">
        <v>991</v>
      </c>
    </row>
    <row r="47" spans="2:4" s="57" customFormat="1" ht="3.95" customHeight="1"/>
    <row r="48" spans="2:4" s="57" customFormat="1" ht="13.5" thickBot="1">
      <c r="B48" s="287" t="s">
        <v>994</v>
      </c>
      <c r="C48" s="2" t="s">
        <v>995</v>
      </c>
      <c r="D48" s="57" t="s">
        <v>991</v>
      </c>
    </row>
    <row r="49" spans="2:4" s="57" customFormat="1" ht="3.95" customHeight="1"/>
    <row r="50" spans="2:4" s="57" customFormat="1" ht="14.25">
      <c r="B50" s="121" t="s">
        <v>996</v>
      </c>
      <c r="C50" s="2" t="s">
        <v>997</v>
      </c>
      <c r="D50" s="57" t="s">
        <v>991</v>
      </c>
    </row>
    <row r="51" spans="2:4" s="57" customFormat="1" ht="3.95" customHeight="1"/>
    <row r="52" spans="2:4" s="57" customFormat="1" ht="16.5">
      <c r="B52" s="114" t="s">
        <v>998</v>
      </c>
      <c r="C52" s="2" t="s">
        <v>999</v>
      </c>
      <c r="D52" s="57" t="s">
        <v>991</v>
      </c>
    </row>
    <row r="53" spans="2:4" s="57" customFormat="1" ht="3.95" customHeight="1"/>
    <row r="54" spans="2:4" s="57" customFormat="1">
      <c r="B54" s="57" t="s">
        <v>1000</v>
      </c>
      <c r="C54" s="2" t="s">
        <v>1001</v>
      </c>
      <c r="D54" s="57" t="s">
        <v>991</v>
      </c>
    </row>
    <row r="55" spans="2:4" s="57" customFormat="1" ht="3.95" customHeight="1"/>
    <row r="56" spans="2:4" s="57" customFormat="1">
      <c r="B56" s="76" t="s">
        <v>1002</v>
      </c>
      <c r="C56" s="2" t="s">
        <v>1003</v>
      </c>
      <c r="D56" s="57" t="s">
        <v>1004</v>
      </c>
    </row>
    <row r="57" spans="2:4" s="57" customFormat="1" ht="3.95" customHeight="1"/>
    <row r="58" spans="2:4" s="57" customFormat="1">
      <c r="B58" s="288" t="s">
        <v>1005</v>
      </c>
      <c r="C58" s="2" t="s">
        <v>1006</v>
      </c>
      <c r="D58" s="57" t="s">
        <v>1007</v>
      </c>
    </row>
    <row r="59" spans="2:4" s="57" customFormat="1" ht="3.95" customHeight="1"/>
    <row r="60" spans="2:4" s="57" customFormat="1">
      <c r="B60" s="289" t="s">
        <v>1008</v>
      </c>
      <c r="C60" s="2" t="s">
        <v>1008</v>
      </c>
    </row>
    <row r="61" spans="2:4" s="57" customFormat="1" ht="3.95" customHeight="1"/>
    <row r="62" spans="2:4" s="57" customFormat="1">
      <c r="B62" s="290" t="s">
        <v>1009</v>
      </c>
      <c r="C62" s="57" t="s">
        <v>1010</v>
      </c>
    </row>
    <row r="63" spans="2:4" s="57" customFormat="1" ht="3.95" customHeight="1"/>
    <row r="64" spans="2:4" s="57" customFormat="1">
      <c r="B64" s="62" t="s">
        <v>1011</v>
      </c>
      <c r="C64" s="2" t="s">
        <v>1012</v>
      </c>
      <c r="D64" s="57" t="s">
        <v>1013</v>
      </c>
    </row>
    <row r="65" spans="1:15" s="57" customFormat="1"/>
    <row r="66" spans="1:15" s="31" customFormat="1" ht="14.25">
      <c r="A66"/>
      <c r="B66" s="788" t="s">
        <v>319</v>
      </c>
      <c r="C66" s="788"/>
      <c r="D66" s="788"/>
    </row>
    <row r="67" spans="1:15" s="31" customFormat="1">
      <c r="A67"/>
      <c r="B67" s="780"/>
      <c r="C67" s="780"/>
      <c r="D67" s="780"/>
    </row>
    <row r="68" spans="1:15" s="31" customFormat="1" ht="16.5">
      <c r="A68"/>
      <c r="B68" s="786" t="s">
        <v>1050</v>
      </c>
      <c r="C68" s="786"/>
      <c r="D68" s="786"/>
      <c r="E68" s="34"/>
      <c r="F68" s="34"/>
      <c r="G68" s="34"/>
      <c r="H68" s="34"/>
      <c r="I68" s="34"/>
      <c r="J68" s="34"/>
      <c r="K68" s="34"/>
      <c r="L68" s="34"/>
      <c r="M68" s="34"/>
      <c r="N68" s="34"/>
      <c r="O68" s="34"/>
    </row>
    <row r="69" spans="1:15" s="31" customFormat="1">
      <c r="A69"/>
      <c r="B69" s="787" t="s">
        <v>1158</v>
      </c>
      <c r="C69" s="787"/>
      <c r="D69" s="787"/>
      <c r="E69" s="30"/>
      <c r="F69" s="30"/>
      <c r="G69" s="30"/>
      <c r="H69" s="30"/>
      <c r="I69" s="30"/>
      <c r="J69" s="30"/>
      <c r="K69" s="30"/>
      <c r="L69" s="30"/>
      <c r="M69" s="30"/>
      <c r="N69" s="30"/>
      <c r="O69" s="30"/>
    </row>
    <row r="70" spans="1:15" s="292" customFormat="1">
      <c r="B70" s="785" t="s">
        <v>1048</v>
      </c>
      <c r="C70" s="785"/>
      <c r="D70" s="785"/>
      <c r="E70" s="54"/>
      <c r="F70" s="54"/>
      <c r="G70" s="54"/>
      <c r="H70" s="54"/>
      <c r="I70" s="54"/>
      <c r="J70" s="54"/>
      <c r="K70" s="54"/>
      <c r="L70" s="54"/>
      <c r="M70" s="54"/>
      <c r="N70" s="54"/>
      <c r="O70" s="54"/>
    </row>
    <row r="71" spans="1:15" s="30" customFormat="1">
      <c r="A71"/>
      <c r="B71" s="787" t="s">
        <v>1327</v>
      </c>
      <c r="C71" s="787"/>
      <c r="D71" s="787"/>
      <c r="E71" s="32"/>
      <c r="F71" s="32"/>
      <c r="G71" s="32"/>
      <c r="H71" s="32"/>
      <c r="I71" s="32"/>
      <c r="J71" s="32"/>
      <c r="K71" s="32"/>
      <c r="L71" s="32"/>
    </row>
    <row r="72" spans="1:15" s="31" customFormat="1">
      <c r="A72"/>
      <c r="B72" s="780"/>
      <c r="C72" s="780"/>
      <c r="D72" s="780"/>
      <c r="E72" s="34"/>
      <c r="F72" s="34"/>
      <c r="G72" s="34"/>
      <c r="H72" s="34"/>
      <c r="I72" s="34"/>
      <c r="J72" s="34"/>
      <c r="K72" s="34"/>
      <c r="L72" s="34"/>
      <c r="M72" s="34"/>
      <c r="N72" s="34"/>
      <c r="O72" s="34"/>
    </row>
    <row r="73" spans="1:15" s="31" customFormat="1" ht="16.5">
      <c r="A73"/>
      <c r="B73" s="786" t="s">
        <v>126</v>
      </c>
      <c r="C73" s="786"/>
      <c r="D73" s="786"/>
      <c r="E73" s="34"/>
      <c r="F73" s="34"/>
      <c r="G73" s="34"/>
      <c r="H73" s="34"/>
      <c r="I73" s="34"/>
      <c r="J73" s="34"/>
      <c r="K73" s="34"/>
      <c r="L73" s="34"/>
      <c r="M73" s="34"/>
      <c r="N73" s="34"/>
      <c r="O73" s="34"/>
    </row>
    <row r="74" spans="1:15" s="31" customFormat="1">
      <c r="A74"/>
      <c r="B74" s="787" t="s">
        <v>194</v>
      </c>
      <c r="C74" s="787"/>
      <c r="D74" s="787"/>
      <c r="E74" s="30"/>
      <c r="F74" s="30"/>
      <c r="G74" s="30"/>
      <c r="H74" s="30"/>
      <c r="I74" s="30"/>
      <c r="J74" s="30"/>
      <c r="K74" s="30"/>
      <c r="L74" s="30"/>
      <c r="M74" s="30"/>
      <c r="N74" s="30"/>
      <c r="O74" s="30"/>
    </row>
    <row r="75" spans="1:15" s="31" customFormat="1">
      <c r="A75"/>
      <c r="B75" s="787" t="s">
        <v>329</v>
      </c>
      <c r="C75" s="787"/>
      <c r="D75" s="787"/>
      <c r="E75" s="30"/>
      <c r="F75" s="30"/>
      <c r="G75" s="30"/>
      <c r="H75" s="30"/>
      <c r="I75" s="30"/>
      <c r="J75" s="30"/>
      <c r="K75" s="30"/>
      <c r="L75" s="30"/>
      <c r="M75" s="30"/>
      <c r="N75" s="30"/>
      <c r="O75" s="30"/>
    </row>
    <row r="76" spans="1:15" s="31" customFormat="1">
      <c r="A76"/>
      <c r="B76" s="787" t="s">
        <v>213</v>
      </c>
      <c r="C76" s="787"/>
      <c r="D76" s="787"/>
      <c r="E76" s="30"/>
      <c r="F76" s="30"/>
      <c r="G76" s="30"/>
      <c r="H76" s="30"/>
      <c r="I76" s="30"/>
      <c r="J76" s="30"/>
      <c r="K76" s="30"/>
      <c r="L76" s="30"/>
      <c r="M76" s="30"/>
      <c r="N76" s="30"/>
      <c r="O76" s="30"/>
    </row>
    <row r="77" spans="1:15" s="31" customFormat="1">
      <c r="A77"/>
      <c r="B77" s="787" t="s">
        <v>212</v>
      </c>
      <c r="C77" s="787"/>
      <c r="D77" s="787"/>
      <c r="E77" s="30"/>
      <c r="F77" s="30"/>
      <c r="G77" s="30"/>
      <c r="H77" s="30"/>
      <c r="I77" s="30"/>
      <c r="J77" s="30"/>
      <c r="K77" s="30"/>
      <c r="L77" s="30"/>
      <c r="M77" s="30"/>
      <c r="N77" s="30"/>
      <c r="O77" s="30"/>
    </row>
    <row r="78" spans="1:15" s="31" customFormat="1">
      <c r="A78"/>
      <c r="B78" s="787" t="s">
        <v>331</v>
      </c>
      <c r="C78" s="787"/>
      <c r="D78" s="787"/>
      <c r="E78" s="30"/>
      <c r="F78" s="30"/>
      <c r="G78" s="30"/>
      <c r="H78" s="30"/>
      <c r="I78" s="30"/>
      <c r="J78" s="30"/>
      <c r="K78" s="30"/>
      <c r="L78" s="30"/>
      <c r="M78" s="30"/>
      <c r="N78" s="30"/>
      <c r="O78" s="30"/>
    </row>
    <row r="79" spans="1:15" s="31" customFormat="1">
      <c r="A79"/>
      <c r="B79" s="787" t="s">
        <v>196</v>
      </c>
      <c r="C79" s="787"/>
      <c r="D79" s="787"/>
      <c r="E79" s="30"/>
      <c r="F79" s="30"/>
      <c r="G79" s="30"/>
      <c r="H79" s="30"/>
      <c r="I79" s="30"/>
      <c r="J79" s="30"/>
      <c r="K79" s="30"/>
      <c r="L79" s="30"/>
      <c r="M79" s="30"/>
      <c r="N79" s="30"/>
      <c r="O79" s="30"/>
    </row>
    <row r="80" spans="1:15" s="31" customFormat="1">
      <c r="A80"/>
      <c r="B80" s="787" t="s">
        <v>1049</v>
      </c>
      <c r="C80" s="787"/>
      <c r="D80" s="787"/>
      <c r="E80" s="30"/>
      <c r="F80" s="30"/>
      <c r="G80" s="30"/>
      <c r="H80" s="30"/>
      <c r="I80" s="30"/>
      <c r="J80" s="30"/>
      <c r="K80" s="30"/>
      <c r="L80" s="30"/>
      <c r="M80" s="30"/>
      <c r="N80" s="30"/>
      <c r="O80" s="30"/>
    </row>
    <row r="81" spans="1:15" s="31" customFormat="1">
      <c r="A81"/>
      <c r="B81" s="780"/>
      <c r="C81" s="780"/>
      <c r="D81" s="780"/>
      <c r="E81" s="34"/>
      <c r="F81" s="34"/>
      <c r="G81" s="34"/>
      <c r="H81" s="34"/>
      <c r="I81" s="34"/>
      <c r="J81" s="34"/>
      <c r="K81" s="34"/>
      <c r="L81" s="34"/>
      <c r="M81" s="34"/>
      <c r="N81" s="34"/>
      <c r="O81" s="34"/>
    </row>
    <row r="82" spans="1:15" s="31" customFormat="1" ht="16.5">
      <c r="A82"/>
      <c r="B82" s="786" t="s">
        <v>8</v>
      </c>
      <c r="C82" s="786"/>
      <c r="D82" s="786"/>
      <c r="E82" s="34"/>
      <c r="F82" s="34"/>
      <c r="G82" s="34"/>
      <c r="H82" s="34"/>
      <c r="I82" s="34"/>
      <c r="J82" s="34"/>
      <c r="K82" s="34"/>
      <c r="L82" s="34"/>
      <c r="M82" s="34"/>
      <c r="N82" s="34"/>
      <c r="O82" s="34"/>
    </row>
    <row r="83" spans="1:15" s="31" customFormat="1" ht="180" customHeight="1">
      <c r="A83"/>
      <c r="B83" s="791" t="s">
        <v>969</v>
      </c>
      <c r="C83" s="791"/>
      <c r="D83" s="791"/>
      <c r="E83" s="30"/>
      <c r="F83" s="30"/>
      <c r="G83" s="30"/>
      <c r="H83" s="30"/>
      <c r="I83" s="30"/>
      <c r="J83" s="30"/>
      <c r="K83" s="30"/>
      <c r="L83" s="30"/>
      <c r="M83" s="34"/>
      <c r="N83" s="34"/>
      <c r="O83" s="34"/>
    </row>
    <row r="84" spans="1:15" s="31" customFormat="1" ht="16.5">
      <c r="A84"/>
      <c r="B84" s="786" t="s">
        <v>203</v>
      </c>
      <c r="C84" s="786"/>
      <c r="D84" s="786"/>
      <c r="E84" s="34"/>
      <c r="F84" s="34"/>
      <c r="G84" s="34"/>
      <c r="H84" s="34"/>
      <c r="I84" s="34"/>
      <c r="J84" s="34"/>
      <c r="K84" s="34"/>
      <c r="L84" s="34"/>
      <c r="M84" s="34"/>
      <c r="N84" s="34"/>
      <c r="O84" s="34"/>
    </row>
    <row r="85" spans="1:15" s="31" customFormat="1" ht="14.1" customHeight="1">
      <c r="A85"/>
      <c r="B85" s="780" t="s">
        <v>1051</v>
      </c>
      <c r="C85" s="780"/>
      <c r="D85" s="780"/>
      <c r="E85" s="34"/>
      <c r="F85" s="34"/>
      <c r="G85" s="34"/>
      <c r="H85" s="34"/>
      <c r="I85" s="34"/>
      <c r="J85" s="34"/>
      <c r="K85" s="34"/>
      <c r="L85" s="34"/>
      <c r="M85" s="34"/>
      <c r="N85" s="34"/>
      <c r="O85" s="34"/>
    </row>
    <row r="86" spans="1:15" s="31" customFormat="1">
      <c r="A86"/>
      <c r="B86" s="780" t="s">
        <v>197</v>
      </c>
      <c r="C86" s="780"/>
      <c r="D86" s="780"/>
      <c r="E86" s="34"/>
      <c r="F86" s="34"/>
      <c r="G86" s="34"/>
      <c r="H86" s="34"/>
      <c r="I86" s="34"/>
      <c r="J86" s="34"/>
      <c r="K86" s="34"/>
      <c r="L86" s="34"/>
      <c r="M86" s="34"/>
      <c r="N86" s="34"/>
      <c r="O86" s="34"/>
    </row>
    <row r="87" spans="1:15" s="31" customFormat="1" ht="27.95" customHeight="1">
      <c r="A87"/>
      <c r="B87" s="787" t="s">
        <v>195</v>
      </c>
      <c r="C87" s="787"/>
      <c r="D87" s="787"/>
      <c r="E87" s="30"/>
      <c r="F87" s="30"/>
      <c r="G87" s="30"/>
      <c r="H87" s="30"/>
      <c r="I87" s="30"/>
      <c r="J87" s="30"/>
      <c r="K87" s="30"/>
      <c r="L87" s="30"/>
      <c r="M87" s="34"/>
      <c r="N87" s="34"/>
      <c r="O87" s="34"/>
    </row>
    <row r="88" spans="1:15" s="31" customFormat="1">
      <c r="A88"/>
      <c r="B88" s="780"/>
      <c r="C88" s="780"/>
      <c r="D88" s="780"/>
      <c r="E88" s="34"/>
      <c r="F88" s="34"/>
      <c r="G88" s="34"/>
      <c r="H88" s="34"/>
      <c r="I88" s="34"/>
      <c r="J88" s="34"/>
      <c r="K88" s="34"/>
      <c r="L88" s="34"/>
      <c r="M88" s="34"/>
      <c r="N88" s="34"/>
      <c r="O88" s="34"/>
    </row>
    <row r="89" spans="1:15" s="31" customFormat="1" ht="16.5">
      <c r="A89"/>
      <c r="B89" s="786" t="s">
        <v>16</v>
      </c>
      <c r="C89" s="786"/>
      <c r="D89" s="786"/>
      <c r="E89" s="34"/>
      <c r="F89" s="34"/>
      <c r="G89" s="34"/>
      <c r="H89" s="34"/>
      <c r="I89" s="34"/>
      <c r="J89" s="34"/>
      <c r="K89" s="34"/>
      <c r="L89" s="34"/>
      <c r="M89" s="34"/>
      <c r="N89" s="34"/>
      <c r="O89" s="34"/>
    </row>
    <row r="90" spans="1:15" s="31" customFormat="1">
      <c r="A90"/>
      <c r="B90" s="780" t="s">
        <v>131</v>
      </c>
      <c r="C90" s="780"/>
      <c r="D90" s="780"/>
      <c r="E90" s="34"/>
      <c r="F90" s="34"/>
      <c r="G90" s="34"/>
      <c r="H90" s="34"/>
      <c r="I90" s="34"/>
      <c r="J90" s="34"/>
      <c r="K90" s="34"/>
      <c r="L90" s="34"/>
      <c r="M90" s="34"/>
      <c r="N90" s="34"/>
      <c r="O90" s="34"/>
    </row>
    <row r="91" spans="1:15" s="31" customFormat="1">
      <c r="A91"/>
      <c r="B91" s="780" t="s">
        <v>200</v>
      </c>
      <c r="C91" s="780"/>
      <c r="D91" s="780"/>
      <c r="E91" s="34"/>
      <c r="F91" s="34"/>
      <c r="G91" s="34"/>
      <c r="H91" s="34"/>
      <c r="I91" s="34"/>
      <c r="J91" s="34"/>
      <c r="K91" s="34"/>
      <c r="L91" s="34"/>
      <c r="M91" s="34"/>
      <c r="N91" s="34"/>
      <c r="O91" s="34"/>
    </row>
    <row r="92" spans="1:15">
      <c r="B92" s="789"/>
      <c r="C92" s="789"/>
      <c r="D92" s="789"/>
    </row>
    <row r="93" spans="1:15" ht="16.5">
      <c r="B93" s="786" t="s">
        <v>356</v>
      </c>
      <c r="C93" s="786"/>
      <c r="D93" s="786"/>
    </row>
    <row r="94" spans="1:15">
      <c r="B94" s="790" t="s">
        <v>1328</v>
      </c>
      <c r="C94" s="790"/>
      <c r="D94" s="790"/>
    </row>
    <row r="95" spans="1:15">
      <c r="B95"/>
    </row>
    <row r="96" spans="1:15">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sheetData>
  <mergeCells count="32">
    <mergeCell ref="B94:D94"/>
    <mergeCell ref="B87:D87"/>
    <mergeCell ref="B71:D71"/>
    <mergeCell ref="B81:D81"/>
    <mergeCell ref="B82:D82"/>
    <mergeCell ref="B83:D83"/>
    <mergeCell ref="B84:D84"/>
    <mergeCell ref="B85:D85"/>
    <mergeCell ref="B86:D86"/>
    <mergeCell ref="B80:D80"/>
    <mergeCell ref="B72:D72"/>
    <mergeCell ref="B73:D73"/>
    <mergeCell ref="B74:D74"/>
    <mergeCell ref="B75:D75"/>
    <mergeCell ref="B76:D76"/>
    <mergeCell ref="B77:D77"/>
    <mergeCell ref="B89:D89"/>
    <mergeCell ref="B90:D90"/>
    <mergeCell ref="B91:D91"/>
    <mergeCell ref="B92:D92"/>
    <mergeCell ref="B93:D93"/>
    <mergeCell ref="B10:D10"/>
    <mergeCell ref="B12:C12"/>
    <mergeCell ref="B13:C13"/>
    <mergeCell ref="B70:D70"/>
    <mergeCell ref="B88:D88"/>
    <mergeCell ref="B68:D68"/>
    <mergeCell ref="B69:D69"/>
    <mergeCell ref="B78:D78"/>
    <mergeCell ref="B79:D79"/>
    <mergeCell ref="B67:D67"/>
    <mergeCell ref="B66:D66"/>
  </mergeCells>
  <hyperlinks>
    <hyperlink ref="B17" location="Dashboard!A1" display="Dashboard"/>
    <hyperlink ref="B18" location="parameters!A1" display="parameters"/>
    <hyperlink ref="B19" location="elasticities!A1" display="elasticities"/>
    <hyperlink ref="B20" location="ramps!A1" display="ramps"/>
    <hyperlink ref="B21" location="'price scenario A'!A1" display="price scenario A"/>
    <hyperlink ref="B22" location="'price scenario B'!A1" display="price scenario B"/>
    <hyperlink ref="B23" location="'price scenario C'!A1" display="price scenario C"/>
    <hyperlink ref="B24" location="'consumption scenario A'!A1" display="consumption scenario A"/>
    <hyperlink ref="B25" location="'consumption scenario B'!A1" display="consumption scenario B"/>
    <hyperlink ref="B26" location="'consumption scenario C'!A1" display="consumption scenario C"/>
    <hyperlink ref="B27" location="'Baseline Price'!A1" display="Baseline Price"/>
    <hyperlink ref="B28" location="'Baseline Consumption'!A1" display="Baseline Consumption"/>
    <hyperlink ref="B29" location="'Baseline Emissions'!A1" display="Baseline Emissions"/>
    <hyperlink ref="B30" location="'Baseline expend'!A1" display="Baseline expend"/>
    <hyperlink ref="B31" location="'Price Change'!A1" display="Price Change"/>
    <hyperlink ref="B32" location="'Adjusted price'!A1" display="Adjusted Price"/>
    <hyperlink ref="B33" location="'Adjusted Consumption'!A1" display="Adjusted Consumption"/>
    <hyperlink ref="B34" location="'Adjusted Emissions'!A1" display="Adjusted Emissions"/>
    <hyperlink ref="B35" location="'Adjusted expend'!A1" display="Adjusted expend"/>
    <hyperlink ref="B36" location="Revenue!A1" display="Revenue"/>
    <hyperlink ref="B37" location="Sources!A1" display="Sources"/>
    <hyperlink ref="B38" location="Versions!A1" display="Versions"/>
    <hyperlink ref="B39" location="units!A1" display="units"/>
    <hyperlink ref="B40" location="lookup!A1" display="lookup"/>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AM85"/>
  <sheetViews>
    <sheetView workbookViewId="0">
      <pane xSplit="1" topLeftCell="B1" activePane="topRight" state="frozen"/>
      <selection pane="topRight"/>
    </sheetView>
  </sheetViews>
  <sheetFormatPr defaultColWidth="9.140625" defaultRowHeight="12.75"/>
  <cols>
    <col min="1" max="1" width="35.5703125" style="57" customWidth="1"/>
    <col min="2" max="37" width="8.7109375" style="57" customWidth="1"/>
    <col min="38" max="16384" width="9.140625" style="57"/>
  </cols>
  <sheetData>
    <row r="1" spans="1:39" ht="27">
      <c r="A1" s="110" t="s">
        <v>460</v>
      </c>
    </row>
    <row r="2" spans="1:39" ht="15.75">
      <c r="A2" s="64" t="s">
        <v>454</v>
      </c>
      <c r="C2" s="58" t="s">
        <v>1077</v>
      </c>
      <c r="L2" s="425"/>
    </row>
    <row r="3" spans="1:39" ht="15.75">
      <c r="A3" s="64" t="s">
        <v>380</v>
      </c>
      <c r="C3" s="58" t="s">
        <v>326</v>
      </c>
      <c r="L3" s="18"/>
      <c r="M3" s="2"/>
    </row>
    <row r="4" spans="1:39">
      <c r="B4" s="57" t="s">
        <v>21</v>
      </c>
      <c r="C4" s="57" t="s">
        <v>21</v>
      </c>
      <c r="D4" s="57" t="s">
        <v>21</v>
      </c>
      <c r="E4" s="57" t="s">
        <v>21</v>
      </c>
      <c r="F4" s="57" t="s">
        <v>21</v>
      </c>
      <c r="G4" s="57" t="s">
        <v>21</v>
      </c>
      <c r="H4" s="57" t="s">
        <v>21</v>
      </c>
      <c r="L4" s="314" t="s">
        <v>363</v>
      </c>
      <c r="M4" s="303" t="s">
        <v>364</v>
      </c>
    </row>
    <row r="5" spans="1:39" ht="13.5">
      <c r="A5" s="59" t="s">
        <v>22</v>
      </c>
      <c r="B5" s="59">
        <v>2005</v>
      </c>
      <c r="C5" s="59">
        <v>2006</v>
      </c>
      <c r="D5" s="59">
        <v>2007</v>
      </c>
      <c r="E5" s="59">
        <v>2008</v>
      </c>
      <c r="F5" s="59">
        <v>2009</v>
      </c>
      <c r="G5" s="59">
        <v>2010</v>
      </c>
      <c r="H5" s="59">
        <v>2011</v>
      </c>
      <c r="I5" s="59">
        <v>2012</v>
      </c>
      <c r="J5" s="59">
        <v>2013</v>
      </c>
      <c r="K5" s="59">
        <v>2014</v>
      </c>
      <c r="L5" s="59">
        <v>2015</v>
      </c>
      <c r="M5" s="59">
        <v>2016</v>
      </c>
      <c r="N5" s="59">
        <v>2017</v>
      </c>
      <c r="O5" s="59">
        <v>2018</v>
      </c>
      <c r="P5" s="59">
        <v>2019</v>
      </c>
      <c r="Q5" s="59">
        <v>2020</v>
      </c>
      <c r="R5" s="59">
        <v>2021</v>
      </c>
      <c r="S5" s="59">
        <v>2022</v>
      </c>
      <c r="T5" s="59">
        <v>2023</v>
      </c>
      <c r="U5" s="59">
        <v>2024</v>
      </c>
      <c r="V5" s="59">
        <v>2025</v>
      </c>
      <c r="W5" s="59">
        <v>2026</v>
      </c>
      <c r="X5" s="59">
        <v>2027</v>
      </c>
      <c r="Y5" s="59">
        <v>2028</v>
      </c>
      <c r="Z5" s="59">
        <v>2029</v>
      </c>
      <c r="AA5" s="59">
        <v>2030</v>
      </c>
      <c r="AB5" s="59">
        <v>2031</v>
      </c>
      <c r="AC5" s="59">
        <v>2032</v>
      </c>
      <c r="AD5" s="59">
        <v>2033</v>
      </c>
      <c r="AE5" s="59">
        <v>2034</v>
      </c>
      <c r="AF5" s="59">
        <v>2035</v>
      </c>
      <c r="AG5" s="59">
        <v>2036</v>
      </c>
      <c r="AH5" s="59">
        <v>2037</v>
      </c>
      <c r="AI5" s="59">
        <v>2038</v>
      </c>
      <c r="AJ5" s="59">
        <v>2039</v>
      </c>
      <c r="AK5" s="59">
        <v>2040</v>
      </c>
    </row>
    <row r="6" spans="1:39">
      <c r="A6" s="57" t="s">
        <v>78</v>
      </c>
      <c r="K6" s="355"/>
      <c r="L6" s="588"/>
    </row>
    <row r="7" spans="1:39">
      <c r="A7" s="57" t="s">
        <v>24</v>
      </c>
      <c r="B7" s="358">
        <v>5.8942762385447468E-3</v>
      </c>
      <c r="C7" s="358">
        <v>6.2467946001240303E-3</v>
      </c>
      <c r="D7" s="358">
        <v>7.438418335187668E-3</v>
      </c>
      <c r="E7" s="358">
        <v>7.3868315449196285E-3</v>
      </c>
      <c r="F7" s="358">
        <v>8.1507128623502095E-3</v>
      </c>
      <c r="G7" s="358">
        <v>8.8649914968307545E-3</v>
      </c>
      <c r="H7" s="358">
        <v>8.755865594340672E-3</v>
      </c>
      <c r="I7" s="358">
        <v>6.7459648812051402E-3</v>
      </c>
      <c r="J7" s="358">
        <v>5.5639253246374965E-3</v>
      </c>
      <c r="K7" s="538">
        <v>6.0565345818184586E-3</v>
      </c>
      <c r="L7" s="596">
        <v>6.9229472539708743E-3</v>
      </c>
      <c r="M7" s="537">
        <v>5.454509427917956E-3</v>
      </c>
      <c r="N7" s="537">
        <v>6.6467595153050646E-3</v>
      </c>
      <c r="O7" s="537">
        <v>6.9775102052159156E-3</v>
      </c>
      <c r="P7" s="537">
        <v>6.9124314851854675E-3</v>
      </c>
      <c r="Q7" s="537">
        <v>6.8632256236990288E-3</v>
      </c>
      <c r="R7" s="537">
        <v>6.8314799066110056E-3</v>
      </c>
      <c r="S7" s="537">
        <v>6.7961627963505781E-3</v>
      </c>
      <c r="T7" s="537">
        <v>6.7650123114579548E-3</v>
      </c>
      <c r="U7" s="537">
        <v>6.7431871309599385E-3</v>
      </c>
      <c r="V7" s="537">
        <v>6.722750825584523E-3</v>
      </c>
      <c r="W7" s="537">
        <v>6.6985447163049033E-3</v>
      </c>
      <c r="X7" s="537">
        <v>6.6693783387302809E-3</v>
      </c>
      <c r="Y7" s="537">
        <v>6.6419976577418603E-3</v>
      </c>
      <c r="Z7" s="537">
        <v>6.6181883699258422E-3</v>
      </c>
      <c r="AA7" s="537">
        <v>6.5908076889374216E-3</v>
      </c>
      <c r="AB7" s="537">
        <v>6.5533080606271941E-3</v>
      </c>
      <c r="AC7" s="537">
        <v>6.506483127922358E-3</v>
      </c>
      <c r="AD7" s="537">
        <v>6.4693803210757296E-3</v>
      </c>
      <c r="AE7" s="537">
        <v>6.4372377825241047E-3</v>
      </c>
      <c r="AF7" s="537">
        <v>6.4068809405586815E-3</v>
      </c>
      <c r="AG7" s="537">
        <v>6.3753336342024574E-3</v>
      </c>
      <c r="AH7" s="537">
        <v>6.3475561317504359E-3</v>
      </c>
      <c r="AI7" s="537">
        <v>6.3179929327122145E-3</v>
      </c>
      <c r="AJ7" s="537">
        <v>6.2888265551375921E-3</v>
      </c>
      <c r="AK7" s="537">
        <v>6.2618426956127706E-3</v>
      </c>
    </row>
    <row r="8" spans="1:39">
      <c r="A8" s="57" t="s">
        <v>56</v>
      </c>
      <c r="B8" s="358">
        <v>5.8034862224497956E-4</v>
      </c>
      <c r="C8" s="358">
        <v>6.231536076880495E-4</v>
      </c>
      <c r="D8" s="358">
        <v>3.5001391495894139E-4</v>
      </c>
      <c r="E8" s="358">
        <v>2.6297341758819938E-4</v>
      </c>
      <c r="F8" s="358">
        <v>2.7778882139598525E-4</v>
      </c>
      <c r="G8" s="358">
        <v>2.5186186473235997E-4</v>
      </c>
      <c r="H8" s="358">
        <v>2.2037913164081496E-4</v>
      </c>
      <c r="I8" s="358">
        <v>1.8519254759732348E-4</v>
      </c>
      <c r="J8" s="358">
        <v>0</v>
      </c>
      <c r="K8" s="538">
        <v>5.5387401635138217E-5</v>
      </c>
      <c r="L8" s="596">
        <v>7.1113938277372215E-5</v>
      </c>
      <c r="M8" s="537">
        <v>7.1113938277372215E-5</v>
      </c>
      <c r="N8" s="537">
        <v>9.1485118513077792E-5</v>
      </c>
      <c r="O8" s="537">
        <v>1.0370782665450115E-4</v>
      </c>
      <c r="P8" s="537">
        <v>9.7781665131386808E-5</v>
      </c>
      <c r="Q8" s="537">
        <v>9.2966658893856377E-5</v>
      </c>
      <c r="R8" s="537">
        <v>8.8892422846715272E-5</v>
      </c>
      <c r="S8" s="537">
        <v>8.5188571894768804E-5</v>
      </c>
      <c r="T8" s="537">
        <v>8.1669913490419653E-5</v>
      </c>
      <c r="U8" s="537">
        <v>7.8336447633667834E-5</v>
      </c>
      <c r="V8" s="537">
        <v>7.5002981776916002E-5</v>
      </c>
      <c r="W8" s="537">
        <v>7.1854708467761514E-5</v>
      </c>
      <c r="X8" s="537">
        <v>6.9076820253801663E-5</v>
      </c>
      <c r="Y8" s="537">
        <v>6.6298932039841798E-5</v>
      </c>
      <c r="Z8" s="537">
        <v>6.3706236373479278E-5</v>
      </c>
      <c r="AA8" s="537">
        <v>6.1298733254714076E-5</v>
      </c>
      <c r="AB8" s="537">
        <v>5.8706037588351543E-5</v>
      </c>
      <c r="AC8" s="537">
        <v>5.6113341921989016E-5</v>
      </c>
      <c r="AD8" s="537">
        <v>5.3891031350821139E-5</v>
      </c>
      <c r="AE8" s="537">
        <v>5.1668720779653255E-5</v>
      </c>
      <c r="AF8" s="537">
        <v>4.9631602756082696E-5</v>
      </c>
      <c r="AG8" s="537">
        <v>4.7594484732512137E-5</v>
      </c>
      <c r="AH8" s="537">
        <v>4.5742559256538896E-5</v>
      </c>
      <c r="AI8" s="537">
        <v>4.3705441232968337E-5</v>
      </c>
      <c r="AJ8" s="537">
        <v>4.2038708304592428E-5</v>
      </c>
      <c r="AK8" s="537">
        <v>4.0186782828619193E-5</v>
      </c>
    </row>
    <row r="9" spans="1:39">
      <c r="A9" s="344" t="s">
        <v>25</v>
      </c>
      <c r="B9" s="358">
        <v>6.8304536086320998E-3</v>
      </c>
      <c r="C9" s="358">
        <v>7.422900146842013E-3</v>
      </c>
      <c r="D9" s="358">
        <v>5.5950143999999999E-3</v>
      </c>
      <c r="E9" s="358">
        <v>5.7114527999999999E-3</v>
      </c>
      <c r="F9" s="358">
        <v>6.0786816E-3</v>
      </c>
      <c r="G9" s="358">
        <v>5.4427488000000001E-3</v>
      </c>
      <c r="H9" s="358">
        <v>4.8157727999999997E-3</v>
      </c>
      <c r="I9" s="358">
        <v>4.1798399999999998E-3</v>
      </c>
      <c r="J9" s="358">
        <v>3.2891403800113603E-3</v>
      </c>
      <c r="K9" s="538">
        <v>3.5525568321251233E-3</v>
      </c>
      <c r="L9" s="596">
        <v>3.75409344E-3</v>
      </c>
      <c r="M9" s="537">
        <v>1.3545667200000001E-3</v>
      </c>
      <c r="N9" s="537">
        <v>3.9084489599999998E-3</v>
      </c>
      <c r="O9" s="537">
        <v>4.0840022399999997E-3</v>
      </c>
      <c r="P9" s="537">
        <v>4.0117507199999994E-3</v>
      </c>
      <c r="Q9" s="537">
        <v>3.9529344000000001E-3</v>
      </c>
      <c r="R9" s="537">
        <v>3.90188064E-3</v>
      </c>
      <c r="S9" s="537">
        <v>3.85500672E-3</v>
      </c>
      <c r="T9" s="537">
        <v>3.8111184000000002E-3</v>
      </c>
      <c r="U9" s="537">
        <v>3.7696185600000001E-3</v>
      </c>
      <c r="V9" s="537">
        <v>3.7269244799999998E-3</v>
      </c>
      <c r="W9" s="537">
        <v>3.6854246400000001E-3</v>
      </c>
      <c r="X9" s="537">
        <v>3.6466118399999998E-3</v>
      </c>
      <c r="Y9" s="537">
        <v>3.6110831999999998E-3</v>
      </c>
      <c r="Z9" s="537">
        <v>3.5755545600000002E-3</v>
      </c>
      <c r="AA9" s="537">
        <v>3.5403244799999999E-3</v>
      </c>
      <c r="AB9" s="537">
        <v>3.5047958399999999E-3</v>
      </c>
      <c r="AC9" s="537">
        <v>3.4701628799999997E-3</v>
      </c>
      <c r="AD9" s="537">
        <v>3.4385155199999997E-3</v>
      </c>
      <c r="AE9" s="537">
        <v>3.4086595199999997E-3</v>
      </c>
      <c r="AF9" s="537">
        <v>3.3794006399999995E-3</v>
      </c>
      <c r="AG9" s="537">
        <v>3.3498432E-3</v>
      </c>
      <c r="AH9" s="537">
        <v>3.32177856E-3</v>
      </c>
      <c r="AI9" s="537">
        <v>3.2949081600000003E-3</v>
      </c>
      <c r="AJ9" s="537">
        <v>3.2683363199999997E-3</v>
      </c>
      <c r="AK9" s="537">
        <v>3.2420630400000002E-3</v>
      </c>
      <c r="AL9" s="344"/>
      <c r="AM9"/>
    </row>
    <row r="10" spans="1:39">
      <c r="A10" s="344" t="s">
        <v>26</v>
      </c>
      <c r="B10" s="358">
        <v>8.4166511630701268E-2</v>
      </c>
      <c r="C10" s="358">
        <v>8.5692120231936994E-2</v>
      </c>
      <c r="D10" s="358">
        <v>8.5412684212981829E-2</v>
      </c>
      <c r="E10" s="358">
        <v>8.7322338930097929E-2</v>
      </c>
      <c r="F10" s="358">
        <v>8.5662978763283465E-2</v>
      </c>
      <c r="G10" s="358">
        <v>8.5290847712305912E-2</v>
      </c>
      <c r="H10" s="358">
        <v>8.9915337498831169E-2</v>
      </c>
      <c r="I10" s="358">
        <v>8.4226102641181549E-2</v>
      </c>
      <c r="J10" s="358">
        <v>8.0242244211655378E-2</v>
      </c>
      <c r="K10" s="538">
        <v>7.3474030813135971E-2</v>
      </c>
      <c r="L10" s="596">
        <v>7.2795057827221066E-2</v>
      </c>
      <c r="M10" s="537">
        <v>7.3522501194843715E-2</v>
      </c>
      <c r="N10" s="537">
        <v>7.7239573924734892E-2</v>
      </c>
      <c r="O10" s="537">
        <v>8.2220906123058546E-2</v>
      </c>
      <c r="P10" s="537">
        <v>8.221253917089702E-2</v>
      </c>
      <c r="Q10" s="537">
        <v>8.2354039803513621E-2</v>
      </c>
      <c r="R10" s="537">
        <v>8.2579237093338448E-2</v>
      </c>
      <c r="S10" s="537">
        <v>8.2850121778018204E-2</v>
      </c>
      <c r="T10" s="537">
        <v>8.3098938935064745E-2</v>
      </c>
      <c r="U10" s="537">
        <v>8.335085901103316E-2</v>
      </c>
      <c r="V10" s="537">
        <v>8.2583511236630214E-2</v>
      </c>
      <c r="W10" s="537">
        <v>8.2856483362574437E-2</v>
      </c>
      <c r="X10" s="537">
        <v>8.3188243570927856E-2</v>
      </c>
      <c r="Y10" s="537">
        <v>8.348525046311514E-2</v>
      </c>
      <c r="Z10" s="537">
        <v>8.3567819845181177E-2</v>
      </c>
      <c r="AA10" s="537">
        <v>8.365039534008907E-2</v>
      </c>
      <c r="AB10" s="537">
        <v>8.3710539212565951E-2</v>
      </c>
      <c r="AC10" s="537">
        <v>8.3683796926826981E-2</v>
      </c>
      <c r="AD10" s="537">
        <v>8.3653143987520218E-2</v>
      </c>
      <c r="AE10" s="537">
        <v>8.3649557426281301E-2</v>
      </c>
      <c r="AF10" s="537">
        <v>8.3590776909651651E-2</v>
      </c>
      <c r="AG10" s="537">
        <v>8.3497823069159649E-2</v>
      </c>
      <c r="AH10" s="537">
        <v>8.3458501482955888E-2</v>
      </c>
      <c r="AI10" s="537">
        <v>8.3455128147458923E-2</v>
      </c>
      <c r="AJ10" s="537">
        <v>8.3486732260348112E-2</v>
      </c>
      <c r="AK10" s="537">
        <v>8.352569106028318E-2</v>
      </c>
      <c r="AL10" s="344"/>
      <c r="AM10"/>
    </row>
    <row r="11" spans="1:39">
      <c r="A11" s="57" t="s">
        <v>58</v>
      </c>
      <c r="B11" s="358">
        <v>2.5619835112737261E-2</v>
      </c>
      <c r="C11" s="358">
        <v>2.864199903128303E-2</v>
      </c>
      <c r="D11" s="358">
        <v>2.4351163685010991E-2</v>
      </c>
      <c r="E11" s="358">
        <v>2.5910547916754244E-2</v>
      </c>
      <c r="F11" s="358">
        <v>2.4137076390130387E-2</v>
      </c>
      <c r="G11" s="358">
        <v>2.4553740910274364E-2</v>
      </c>
      <c r="H11" s="358">
        <v>4.2340021288398137E-2</v>
      </c>
      <c r="I11" s="358">
        <v>3.4990611636400056E-2</v>
      </c>
      <c r="J11" s="358">
        <v>3.4582573402144538E-2</v>
      </c>
      <c r="K11" s="538">
        <v>2.4137227874880499E-2</v>
      </c>
      <c r="L11" s="596">
        <v>2.2825849259334761E-2</v>
      </c>
      <c r="M11" s="537">
        <v>2.0282123873925417E-2</v>
      </c>
      <c r="N11" s="537">
        <v>2.0702471616346908E-2</v>
      </c>
      <c r="O11" s="537">
        <v>2.4470408006245566E-2</v>
      </c>
      <c r="P11" s="537">
        <v>2.5053738334447129E-2</v>
      </c>
      <c r="Q11" s="537">
        <v>2.5090570557222285E-2</v>
      </c>
      <c r="R11" s="537">
        <v>2.4862210776016309E-2</v>
      </c>
      <c r="S11" s="537">
        <v>2.4508621437374794E-2</v>
      </c>
      <c r="T11" s="537">
        <v>2.4107150209125568E-2</v>
      </c>
      <c r="U11" s="537">
        <v>2.3687723272273462E-2</v>
      </c>
      <c r="V11" s="537">
        <v>2.3265073515928523E-2</v>
      </c>
      <c r="W11" s="537">
        <v>2.2852552620846754E-2</v>
      </c>
      <c r="X11" s="537">
        <v>2.2378337752616596E-2</v>
      </c>
      <c r="Y11" s="537">
        <v>2.1829077230482049E-2</v>
      </c>
      <c r="Z11" s="537">
        <v>2.1313886514414529E-2</v>
      </c>
      <c r="AA11" s="537">
        <v>2.0850721313016921E-2</v>
      </c>
      <c r="AB11" s="537">
        <v>2.0436358806796388E-2</v>
      </c>
      <c r="AC11" s="537">
        <v>2.004409563424096E-2</v>
      </c>
      <c r="AD11" s="537">
        <v>1.957954922448928E-2</v>
      </c>
      <c r="AE11" s="537">
        <v>1.9161963898775926E-2</v>
      </c>
      <c r="AF11" s="537">
        <v>1.8739774545215679E-2</v>
      </c>
      <c r="AG11" s="537">
        <v>1.8394472456698573E-2</v>
      </c>
      <c r="AH11" s="537">
        <v>1.8051932784889604E-2</v>
      </c>
      <c r="AI11" s="537">
        <v>1.7678546126506441E-2</v>
      </c>
      <c r="AJ11" s="537">
        <v>1.7380205122027658E-2</v>
      </c>
      <c r="AK11" s="537">
        <v>1.7085086937041707E-2</v>
      </c>
    </row>
    <row r="12" spans="1:39">
      <c r="A12" s="57" t="s">
        <v>27</v>
      </c>
      <c r="B12" s="358">
        <v>0.11340058728126334</v>
      </c>
      <c r="C12" s="358">
        <v>0.11758793000426805</v>
      </c>
      <c r="D12" s="358">
        <v>0.12083236534357662</v>
      </c>
      <c r="E12" s="358">
        <v>0.12406605889884764</v>
      </c>
      <c r="F12" s="358">
        <v>0.12554224157063595</v>
      </c>
      <c r="G12" s="358">
        <v>0.11918711395646608</v>
      </c>
      <c r="H12" s="358">
        <v>0.12420364660691421</v>
      </c>
      <c r="I12" s="358">
        <v>0.12065311395646607</v>
      </c>
      <c r="J12" s="358">
        <v>0.11986138454972259</v>
      </c>
      <c r="K12" s="538">
        <v>0.11599917883055912</v>
      </c>
      <c r="L12" s="596">
        <v>0.11633632095603927</v>
      </c>
      <c r="M12" s="537">
        <v>0.11705924592908457</v>
      </c>
      <c r="N12" s="537">
        <v>0.12149176269739652</v>
      </c>
      <c r="O12" s="537">
        <v>0.12028793512590696</v>
      </c>
      <c r="P12" s="537">
        <v>0.11862723687580025</v>
      </c>
      <c r="Q12" s="537">
        <v>0.11684761416986772</v>
      </c>
      <c r="R12" s="537">
        <v>0.11521526589842083</v>
      </c>
      <c r="S12" s="537">
        <v>0.11355577635510031</v>
      </c>
      <c r="T12" s="537">
        <v>0.11187522321809647</v>
      </c>
      <c r="U12" s="537">
        <v>0.11009632437046522</v>
      </c>
      <c r="V12" s="537">
        <v>0.10833609901835253</v>
      </c>
      <c r="W12" s="537">
        <v>0.10663235510029878</v>
      </c>
      <c r="X12" s="537">
        <v>0.10476178915919761</v>
      </c>
      <c r="Y12" s="537">
        <v>0.10292075800256084</v>
      </c>
      <c r="Z12" s="537">
        <v>0.1018107383696116</v>
      </c>
      <c r="AA12" s="537">
        <v>0.1015605360648741</v>
      </c>
      <c r="AB12" s="537">
        <v>0.10167605292360224</v>
      </c>
      <c r="AC12" s="537">
        <v>0.10186643790012807</v>
      </c>
      <c r="AD12" s="537">
        <v>0.10217900469483568</v>
      </c>
      <c r="AE12" s="537">
        <v>0.10262277080665815</v>
      </c>
      <c r="AF12" s="537">
        <v>0.1031030712761417</v>
      </c>
      <c r="AG12" s="537">
        <v>0.10337257840375587</v>
      </c>
      <c r="AH12" s="537">
        <v>0.10373361536491674</v>
      </c>
      <c r="AI12" s="537">
        <v>0.1040946523260777</v>
      </c>
      <c r="AJ12" s="537">
        <v>0.10445568928723856</v>
      </c>
      <c r="AK12" s="537">
        <v>0.10481672624839952</v>
      </c>
    </row>
    <row r="13" spans="1:39">
      <c r="B13" s="605">
        <f>B7+B8+B9+B10</f>
        <v>9.7471590100123101E-2</v>
      </c>
      <c r="C13" s="605">
        <f t="shared" ref="C13:K13" si="0">C7+C8+C9+C10</f>
        <v>9.9984968586591089E-2</v>
      </c>
      <c r="D13" s="605">
        <f t="shared" si="0"/>
        <v>9.879613086312844E-2</v>
      </c>
      <c r="E13" s="605">
        <f t="shared" si="0"/>
        <v>0.10068359669260576</v>
      </c>
      <c r="F13" s="605">
        <f t="shared" si="0"/>
        <v>0.10017016204702966</v>
      </c>
      <c r="G13" s="605">
        <f t="shared" si="0"/>
        <v>9.9850449873869027E-2</v>
      </c>
      <c r="H13" s="605">
        <f t="shared" si="0"/>
        <v>0.10370735502481265</v>
      </c>
      <c r="I13" s="605">
        <f t="shared" si="0"/>
        <v>9.5337100069984013E-2</v>
      </c>
      <c r="J13" s="605">
        <f t="shared" si="0"/>
        <v>8.9095309916304238E-2</v>
      </c>
      <c r="K13" s="605">
        <f t="shared" si="0"/>
        <v>8.3138509628714691E-2</v>
      </c>
      <c r="L13" s="580">
        <f>L7+L8+L9+L10</f>
        <v>8.3543212459469315E-2</v>
      </c>
      <c r="M13" s="537"/>
      <c r="N13" s="537"/>
      <c r="O13" s="537"/>
      <c r="P13" s="537"/>
      <c r="Q13" s="537"/>
      <c r="R13" s="537"/>
      <c r="S13" s="537"/>
      <c r="T13" s="537"/>
      <c r="U13" s="537"/>
      <c r="V13" s="537"/>
      <c r="W13" s="537"/>
      <c r="X13" s="537"/>
      <c r="Y13" s="537"/>
      <c r="Z13" s="537"/>
      <c r="AA13" s="537"/>
      <c r="AB13" s="537"/>
      <c r="AC13" s="537"/>
      <c r="AD13" s="537"/>
      <c r="AE13" s="537"/>
      <c r="AF13" s="537"/>
      <c r="AG13" s="320"/>
      <c r="AH13" s="320"/>
      <c r="AI13" s="320"/>
      <c r="AJ13" s="320"/>
      <c r="AK13" s="320"/>
    </row>
    <row r="14" spans="1:39">
      <c r="A14" s="57" t="s">
        <v>79</v>
      </c>
      <c r="B14" s="537"/>
      <c r="C14" s="537"/>
      <c r="D14" s="537"/>
      <c r="E14" s="537"/>
      <c r="F14" s="537"/>
      <c r="G14" s="537"/>
      <c r="H14" s="537"/>
      <c r="I14" s="537"/>
      <c r="J14" s="537"/>
      <c r="K14" s="538"/>
      <c r="L14" s="596"/>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row>
    <row r="15" spans="1:39">
      <c r="A15" s="57" t="s">
        <v>24</v>
      </c>
      <c r="B15" s="358">
        <v>1.2587159951896001E-3</v>
      </c>
      <c r="C15" s="358">
        <v>1.0560701573511305E-3</v>
      </c>
      <c r="D15" s="358">
        <v>1.3134790445170008E-3</v>
      </c>
      <c r="E15" s="358">
        <v>1.2928443284097851E-3</v>
      </c>
      <c r="F15" s="358">
        <v>2.7083064890720638E-3</v>
      </c>
      <c r="G15" s="358">
        <v>3.0475888404503221E-3</v>
      </c>
      <c r="H15" s="358">
        <v>3.1586988502584068E-3</v>
      </c>
      <c r="I15" s="358">
        <v>3.3729824406025701E-3</v>
      </c>
      <c r="J15" s="358">
        <v>3.5768091372669615E-3</v>
      </c>
      <c r="K15" s="538">
        <v>3.1522256265062039E-3</v>
      </c>
      <c r="L15" s="596">
        <v>3.0670330921667367E-3</v>
      </c>
      <c r="M15" s="537">
        <v>3.7505580632182576E-3</v>
      </c>
      <c r="N15" s="537">
        <v>3.8366683208195234E-3</v>
      </c>
      <c r="O15" s="537">
        <v>3.851945947168135E-3</v>
      </c>
      <c r="P15" s="537">
        <v>3.920596060370987E-3</v>
      </c>
      <c r="Q15" s="537">
        <v>3.999960353091048E-3</v>
      </c>
      <c r="R15" s="537">
        <v>4.0783325921521073E-3</v>
      </c>
      <c r="S15" s="537">
        <v>4.1035307550907263E-3</v>
      </c>
      <c r="T15" s="537">
        <v>4.1396415082783546E-3</v>
      </c>
      <c r="U15" s="537">
        <v>4.1828950478107873E-3</v>
      </c>
      <c r="V15" s="537">
        <v>4.2285295161248217E-3</v>
      </c>
      <c r="W15" s="537">
        <v>4.2692037161438535E-3</v>
      </c>
      <c r="X15" s="537">
        <v>4.3069017551858818E-3</v>
      </c>
      <c r="Y15" s="537">
        <v>4.3539250986225179E-3</v>
      </c>
      <c r="Z15" s="537">
        <v>4.3983691025457515E-3</v>
      </c>
      <c r="AA15" s="537">
        <v>4.4326941591471773E-3</v>
      </c>
      <c r="AB15" s="537">
        <v>4.4555113933041944E-3</v>
      </c>
      <c r="AC15" s="537">
        <v>4.4801143240474134E-3</v>
      </c>
      <c r="AD15" s="537">
        <v>4.522971042116246E-3</v>
      </c>
      <c r="AE15" s="537">
        <v>4.5523358304226684E-3</v>
      </c>
      <c r="AF15" s="537">
        <v>4.5918195660508985E-3</v>
      </c>
      <c r="AG15" s="537">
        <v>4.6207875328937208E-3</v>
      </c>
      <c r="AH15" s="537">
        <v>4.6561046431541474E-3</v>
      </c>
      <c r="AI15" s="537">
        <v>4.6832869134107681E-3</v>
      </c>
      <c r="AJ15" s="537">
        <v>4.7023343436635827E-3</v>
      </c>
      <c r="AK15" s="537">
        <v>4.7324927748972059E-3</v>
      </c>
    </row>
    <row r="16" spans="1:39">
      <c r="A16" s="57" t="s">
        <v>30</v>
      </c>
      <c r="B16" s="358">
        <v>3.6985840507473735E-4</v>
      </c>
      <c r="C16" s="358">
        <v>3.5468746916060654E-4</v>
      </c>
      <c r="D16" s="358">
        <v>4.7044319165203357E-4</v>
      </c>
      <c r="E16" s="358">
        <v>3.9724816211992637E-4</v>
      </c>
      <c r="F16" s="358">
        <v>3.6395318551876526E-4</v>
      </c>
      <c r="G16" s="358">
        <v>3.9630457978709989E-4</v>
      </c>
      <c r="H16" s="358">
        <v>3.7608495836939074E-4</v>
      </c>
      <c r="I16" s="358">
        <v>4.0439242835418361E-4</v>
      </c>
      <c r="J16" s="358">
        <v>4.0500568348393395E-4</v>
      </c>
      <c r="K16" s="538">
        <v>3.9097665357716018E-4</v>
      </c>
      <c r="L16" s="596">
        <v>5.4660376565873812E-4</v>
      </c>
      <c r="M16" s="537">
        <v>5.6547541231526674E-4</v>
      </c>
      <c r="N16" s="537">
        <v>4.4739282323584512E-4</v>
      </c>
      <c r="O16" s="537">
        <v>5.1546554867546606E-4</v>
      </c>
      <c r="P16" s="537">
        <v>5.3406760037975854E-4</v>
      </c>
      <c r="Q16" s="537">
        <v>5.7140650126446136E-4</v>
      </c>
      <c r="R16" s="537">
        <v>6.1063256681481725E-4</v>
      </c>
      <c r="S16" s="537">
        <v>6.1225013652823398E-4</v>
      </c>
      <c r="T16" s="537">
        <v>6.2438190937885946E-4</v>
      </c>
      <c r="U16" s="537">
        <v>6.3503090999218628E-4</v>
      </c>
      <c r="V16" s="537">
        <v>6.3934442922796428E-4</v>
      </c>
      <c r="W16" s="537">
        <v>6.4689308789057573E-4</v>
      </c>
      <c r="X16" s="537">
        <v>6.60777227930736E-4</v>
      </c>
      <c r="Y16" s="537">
        <v>6.7654853263654914E-4</v>
      </c>
      <c r="Z16" s="537">
        <v>6.8719753324987596E-4</v>
      </c>
      <c r="AA16" s="537">
        <v>6.9407220453189707E-4</v>
      </c>
      <c r="AB16" s="537">
        <v>7.0189045814674465E-4</v>
      </c>
      <c r="AC16" s="537">
        <v>7.0970871176159213E-4</v>
      </c>
      <c r="AD16" s="537">
        <v>7.2521042151516924E-4</v>
      </c>
      <c r="AE16" s="537">
        <v>7.3437664989119741E-4</v>
      </c>
      <c r="AF16" s="537">
        <v>7.4610403031346879E-4</v>
      </c>
      <c r="AG16" s="537">
        <v>7.5109153692983692E-4</v>
      </c>
      <c r="AH16" s="537">
        <v>7.6241452492375409E-4</v>
      </c>
      <c r="AI16" s="537">
        <v>7.7562467758332423E-4</v>
      </c>
      <c r="AJ16" s="537">
        <v>7.7899461448627575E-4</v>
      </c>
      <c r="AK16" s="537">
        <v>7.8896962771901212E-4</v>
      </c>
    </row>
    <row r="17" spans="1:39">
      <c r="A17" s="57" t="s">
        <v>56</v>
      </c>
      <c r="B17" s="358">
        <v>1.592482195869598E-4</v>
      </c>
      <c r="C17" s="358">
        <v>1.317943040934273E-4</v>
      </c>
      <c r="D17" s="358">
        <v>1.6852521831356437E-4</v>
      </c>
      <c r="E17" s="358">
        <v>1.979708333815388E-4</v>
      </c>
      <c r="F17" s="358">
        <v>5.7409689755170276E-5</v>
      </c>
      <c r="G17" s="358">
        <v>6.2965466183089992E-5</v>
      </c>
      <c r="H17" s="358">
        <v>6.1113540707116745E-5</v>
      </c>
      <c r="I17" s="358">
        <v>0</v>
      </c>
      <c r="J17" s="358">
        <v>0</v>
      </c>
      <c r="K17" s="538">
        <v>2.7507837053692808E-5</v>
      </c>
      <c r="L17" s="596">
        <v>1.4259826164993908E-5</v>
      </c>
      <c r="M17" s="537">
        <v>1.8278504447855829E-4</v>
      </c>
      <c r="N17" s="537">
        <v>8.9262807941909922E-5</v>
      </c>
      <c r="O17" s="537">
        <v>8.6484919727950071E-5</v>
      </c>
      <c r="P17" s="537">
        <v>9.0188770679896539E-5</v>
      </c>
      <c r="Q17" s="537">
        <v>9.8892820416970729E-5</v>
      </c>
      <c r="R17" s="537">
        <v>1.0926360308242086E-4</v>
      </c>
      <c r="S17" s="537">
        <v>1.1167110620118606E-4</v>
      </c>
      <c r="T17" s="537">
        <v>1.1407860931995127E-4</v>
      </c>
      <c r="U17" s="537">
        <v>1.1648611243871647E-4</v>
      </c>
      <c r="V17" s="537">
        <v>1.1685649753391113E-4</v>
      </c>
      <c r="W17" s="537">
        <v>1.1889361555748167E-4</v>
      </c>
      <c r="X17" s="537">
        <v>1.2222708141423349E-4</v>
      </c>
      <c r="Y17" s="537">
        <v>1.2648651000897194E-4</v>
      </c>
      <c r="Z17" s="537">
        <v>1.2889401312773715E-4</v>
      </c>
      <c r="AA17" s="537">
        <v>1.3000516841332109E-4</v>
      </c>
      <c r="AB17" s="537">
        <v>1.3148670879409969E-4</v>
      </c>
      <c r="AC17" s="537">
        <v>1.3278305662728094E-4</v>
      </c>
      <c r="AD17" s="537">
        <v>1.3704248522201936E-4</v>
      </c>
      <c r="AE17" s="537">
        <v>1.3889441069799262E-4</v>
      </c>
      <c r="AF17" s="537">
        <v>1.4222787655474443E-4</v>
      </c>
      <c r="AG17" s="537">
        <v>1.4315383929273105E-4</v>
      </c>
      <c r="AH17" s="537">
        <v>1.4630211260188556E-4</v>
      </c>
      <c r="AI17" s="537">
        <v>1.4963557845863737E-4</v>
      </c>
      <c r="AJ17" s="537">
        <v>1.5056154119662398E-4</v>
      </c>
      <c r="AK17" s="537">
        <v>1.5259865922019454E-4</v>
      </c>
    </row>
    <row r="18" spans="1:39">
      <c r="A18" s="313" t="s">
        <v>25</v>
      </c>
      <c r="B18" s="358">
        <v>4.6543384913355045E-3</v>
      </c>
      <c r="C18" s="358">
        <v>4.6359459206461858E-3</v>
      </c>
      <c r="D18" s="358">
        <v>4.55793E-3</v>
      </c>
      <c r="E18" s="358">
        <v>4.3696793999999997E-3</v>
      </c>
      <c r="F18" s="358">
        <v>7.4005679999999997E-3</v>
      </c>
      <c r="G18" s="358">
        <v>9.3495999999999996E-3</v>
      </c>
      <c r="H18" s="358">
        <v>1.2508686E-2</v>
      </c>
      <c r="I18" s="358">
        <v>7.3717999999999995E-3</v>
      </c>
      <c r="J18" s="358">
        <v>7.0228338974701789E-3</v>
      </c>
      <c r="K18" s="538">
        <v>6.7362608934019444E-3</v>
      </c>
      <c r="L18" s="596">
        <v>6.6919761999999997E-3</v>
      </c>
      <c r="M18" s="537">
        <v>7.8389203999999994E-3</v>
      </c>
      <c r="N18" s="537">
        <v>8.7560801999999986E-3</v>
      </c>
      <c r="O18" s="537">
        <v>8.4744833928933269E-3</v>
      </c>
      <c r="P18" s="537">
        <v>8.1705663431363342E-3</v>
      </c>
      <c r="Q18" s="537">
        <v>7.9593390357298871E-3</v>
      </c>
      <c r="R18" s="537">
        <v>7.7895704054990493E-3</v>
      </c>
      <c r="S18" s="537">
        <v>7.7823510730225939E-3</v>
      </c>
      <c r="T18" s="537">
        <v>7.7680255014702876E-3</v>
      </c>
      <c r="U18" s="537">
        <v>7.7435161973316291E-3</v>
      </c>
      <c r="V18" s="537">
        <v>7.7053412727289931E-3</v>
      </c>
      <c r="W18" s="537">
        <v>7.6773470016317921E-3</v>
      </c>
      <c r="X18" s="537">
        <v>7.6632592340855378E-3</v>
      </c>
      <c r="Y18" s="537">
        <v>7.6632600658484073E-3</v>
      </c>
      <c r="Z18" s="537">
        <v>7.6517734754040041E-3</v>
      </c>
      <c r="AA18" s="537">
        <v>7.6239676802900922E-3</v>
      </c>
      <c r="AB18" s="537">
        <v>7.5962510474816558E-3</v>
      </c>
      <c r="AC18" s="537">
        <v>7.5678318657830621E-3</v>
      </c>
      <c r="AD18" s="537">
        <v>7.5570570587747236E-3</v>
      </c>
      <c r="AE18" s="537">
        <v>7.542546058237844E-3</v>
      </c>
      <c r="AF18" s="537">
        <v>7.5365116444678368E-3</v>
      </c>
      <c r="AG18" s="537">
        <v>7.5187167337724663E-3</v>
      </c>
      <c r="AH18" s="537">
        <v>7.5050178800281303E-3</v>
      </c>
      <c r="AI18" s="537">
        <v>7.5007214943146744E-3</v>
      </c>
      <c r="AJ18" s="537">
        <v>7.4864338515912079E-3</v>
      </c>
      <c r="AK18" s="537">
        <v>7.4683143919260907E-3</v>
      </c>
      <c r="AL18" s="313"/>
      <c r="AM18"/>
    </row>
    <row r="19" spans="1:39">
      <c r="A19" s="313" t="s">
        <v>31</v>
      </c>
      <c r="B19" s="358">
        <v>0</v>
      </c>
      <c r="C19" s="358">
        <v>0</v>
      </c>
      <c r="D19" s="358">
        <v>3.7438924259351497E-5</v>
      </c>
      <c r="E19" s="358">
        <v>2.0502268046787723E-5</v>
      </c>
      <c r="F19" s="358">
        <v>3.5834398933950719E-4</v>
      </c>
      <c r="G19" s="358">
        <v>3.9400010768174669E-4</v>
      </c>
      <c r="H19" s="358">
        <v>3.3873312425127543E-5</v>
      </c>
      <c r="I19" s="358">
        <v>0</v>
      </c>
      <c r="J19" s="358">
        <v>0</v>
      </c>
      <c r="K19" s="538">
        <v>1.055667861182861E-5</v>
      </c>
      <c r="L19" s="596">
        <v>2.1393671005343709E-6</v>
      </c>
      <c r="M19" s="537">
        <v>5.9189156448117596E-5</v>
      </c>
      <c r="N19" s="537">
        <v>3.0664261774325988E-5</v>
      </c>
      <c r="O19" s="537">
        <v>2.8703175265502814E-5</v>
      </c>
      <c r="P19" s="537">
        <v>3.5121276567105925E-5</v>
      </c>
      <c r="Q19" s="537">
        <v>4.546155088635539E-5</v>
      </c>
      <c r="R19" s="537">
        <v>5.7941192306139213E-5</v>
      </c>
      <c r="S19" s="537">
        <v>6.186336532378556E-5</v>
      </c>
      <c r="T19" s="537">
        <v>5.9902278814962386E-5</v>
      </c>
      <c r="U19" s="537">
        <v>5.8832595264695204E-5</v>
      </c>
      <c r="V19" s="537">
        <v>5.687150875587203E-5</v>
      </c>
      <c r="W19" s="537">
        <v>5.5266983430471256E-5</v>
      </c>
      <c r="X19" s="537">
        <v>5.5266983430471256E-5</v>
      </c>
      <c r="Y19" s="537">
        <v>5.6693228164160831E-5</v>
      </c>
      <c r="Z19" s="537">
        <v>5.6336666980738432E-5</v>
      </c>
      <c r="AA19" s="537">
        <v>5.4553861063626465E-5</v>
      </c>
      <c r="AB19" s="537">
        <v>5.2949335738225684E-5</v>
      </c>
      <c r="AC19" s="537">
        <v>5.1701371596247302E-5</v>
      </c>
      <c r="AD19" s="537">
        <v>5.3662458105070475E-5</v>
      </c>
      <c r="AE19" s="537">
        <v>5.3305896921648083E-5</v>
      </c>
      <c r="AF19" s="537">
        <v>5.3840738696781674E-5</v>
      </c>
      <c r="AG19" s="537">
        <v>5.2057932779669694E-5</v>
      </c>
      <c r="AH19" s="537">
        <v>5.2414493963092092E-5</v>
      </c>
      <c r="AI19" s="537">
        <v>5.3840738696781674E-5</v>
      </c>
      <c r="AJ19" s="537">
        <v>5.2592774554803292E-5</v>
      </c>
      <c r="AK19" s="537">
        <v>5.2592774554803292E-5</v>
      </c>
      <c r="AL19" s="313"/>
      <c r="AM19"/>
    </row>
    <row r="20" spans="1:39">
      <c r="A20" s="313" t="s">
        <v>26</v>
      </c>
      <c r="B20" s="358">
        <v>5.2920138170092404E-2</v>
      </c>
      <c r="C20" s="358">
        <v>5.5287782865762719E-2</v>
      </c>
      <c r="D20" s="358">
        <v>5.609780877803569E-2</v>
      </c>
      <c r="E20" s="358">
        <v>5.7402590463995061E-2</v>
      </c>
      <c r="F20" s="358">
        <v>5.6288219502541724E-2</v>
      </c>
      <c r="G20" s="358">
        <v>5.4883550223398858E-2</v>
      </c>
      <c r="H20" s="358">
        <v>5.5991678210278228E-2</v>
      </c>
      <c r="I20" s="358">
        <v>5.6967142987460771E-2</v>
      </c>
      <c r="J20" s="358">
        <v>5.8282085732506692E-2</v>
      </c>
      <c r="K20" s="538">
        <v>5.7954576195843426E-2</v>
      </c>
      <c r="L20" s="596">
        <v>5.41730465956188E-2</v>
      </c>
      <c r="M20" s="537">
        <v>5.3533265351602431E-2</v>
      </c>
      <c r="N20" s="537">
        <v>5.5012869064349212E-2</v>
      </c>
      <c r="O20" s="537">
        <v>5.7273013160814804E-2</v>
      </c>
      <c r="P20" s="537">
        <v>5.7857738268728219E-2</v>
      </c>
      <c r="Q20" s="537">
        <v>5.8860907730141632E-2</v>
      </c>
      <c r="R20" s="537">
        <v>6.0240629997594247E-2</v>
      </c>
      <c r="S20" s="537">
        <v>6.0667251679742649E-2</v>
      </c>
      <c r="T20" s="537">
        <v>6.1058276955813916E-2</v>
      </c>
      <c r="U20" s="537">
        <v>6.1429932442813466E-2</v>
      </c>
      <c r="V20" s="537">
        <v>6.0636358753494796E-2</v>
      </c>
      <c r="W20" s="537">
        <v>6.1225855153533723E-2</v>
      </c>
      <c r="X20" s="537">
        <v>6.1916479097560768E-2</v>
      </c>
      <c r="Y20" s="537">
        <v>6.2603525548688213E-2</v>
      </c>
      <c r="Z20" s="537">
        <v>6.3062279856308009E-2</v>
      </c>
      <c r="AA20" s="537">
        <v>6.3596311534769634E-2</v>
      </c>
      <c r="AB20" s="537">
        <v>6.4191930996089511E-2</v>
      </c>
      <c r="AC20" s="537">
        <v>6.4821180088013852E-2</v>
      </c>
      <c r="AD20" s="537">
        <v>6.5460705028288907E-2</v>
      </c>
      <c r="AE20" s="537">
        <v>6.6121646109656873E-2</v>
      </c>
      <c r="AF20" s="537">
        <v>6.6780957517563369E-2</v>
      </c>
      <c r="AG20" s="537">
        <v>6.7417544411989216E-2</v>
      </c>
      <c r="AH20" s="537">
        <v>6.8129686413770513E-2</v>
      </c>
      <c r="AI20" s="537">
        <v>6.8902071786725652E-2</v>
      </c>
      <c r="AJ20" s="537">
        <v>6.9662875071213812E-2</v>
      </c>
      <c r="AK20" s="537">
        <v>7.0443214675132884E-2</v>
      </c>
      <c r="AL20" s="313"/>
      <c r="AM20"/>
    </row>
    <row r="21" spans="1:39">
      <c r="A21" s="57" t="s">
        <v>57</v>
      </c>
      <c r="B21" s="358">
        <v>0</v>
      </c>
      <c r="C21" s="358">
        <v>0</v>
      </c>
      <c r="D21" s="358">
        <v>0</v>
      </c>
      <c r="E21" s="358">
        <v>0</v>
      </c>
      <c r="F21" s="358">
        <v>0</v>
      </c>
      <c r="G21" s="358">
        <v>0</v>
      </c>
      <c r="H21" s="358">
        <v>0</v>
      </c>
      <c r="I21" s="358">
        <v>0</v>
      </c>
      <c r="J21" s="358">
        <v>0</v>
      </c>
      <c r="K21" s="538">
        <v>0</v>
      </c>
      <c r="L21" s="596">
        <v>0</v>
      </c>
      <c r="M21" s="537">
        <v>0</v>
      </c>
      <c r="N21" s="537">
        <v>0</v>
      </c>
      <c r="O21" s="537">
        <v>0</v>
      </c>
      <c r="P21" s="537">
        <v>0</v>
      </c>
      <c r="Q21" s="537">
        <v>0</v>
      </c>
      <c r="R21" s="537">
        <v>0</v>
      </c>
      <c r="S21" s="537">
        <v>0</v>
      </c>
      <c r="T21" s="537">
        <v>0</v>
      </c>
      <c r="U21" s="537">
        <v>0</v>
      </c>
      <c r="V21" s="537">
        <v>0</v>
      </c>
      <c r="W21" s="537">
        <v>0</v>
      </c>
      <c r="X21" s="537">
        <v>0</v>
      </c>
      <c r="Y21" s="537">
        <v>0</v>
      </c>
      <c r="Z21" s="537">
        <v>0</v>
      </c>
      <c r="AA21" s="537">
        <v>0</v>
      </c>
      <c r="AB21" s="537">
        <v>0</v>
      </c>
      <c r="AC21" s="537">
        <v>0</v>
      </c>
      <c r="AD21" s="537">
        <v>0</v>
      </c>
      <c r="AE21" s="537">
        <v>0</v>
      </c>
      <c r="AF21" s="537">
        <v>0</v>
      </c>
      <c r="AG21" s="537">
        <v>0</v>
      </c>
      <c r="AH21" s="537">
        <v>0</v>
      </c>
      <c r="AI21" s="537">
        <v>0</v>
      </c>
      <c r="AJ21" s="537">
        <v>0</v>
      </c>
      <c r="AK21" s="537">
        <v>0</v>
      </c>
    </row>
    <row r="22" spans="1:39">
      <c r="A22" s="57" t="s">
        <v>59</v>
      </c>
      <c r="B22" s="358">
        <v>1.1232510506697361E-2</v>
      </c>
      <c r="C22" s="358">
        <v>1.2004280513282546E-2</v>
      </c>
      <c r="D22" s="358">
        <v>7.0902028842179067E-3</v>
      </c>
      <c r="E22" s="358">
        <v>8.4327374043724132E-3</v>
      </c>
      <c r="F22" s="358">
        <v>7.6196660866108016E-3</v>
      </c>
      <c r="G22" s="358">
        <v>7.5091694182853287E-3</v>
      </c>
      <c r="H22" s="358">
        <v>1.1597546146327862E-2</v>
      </c>
      <c r="I22" s="358">
        <v>1.0589264047857911E-2</v>
      </c>
      <c r="J22" s="358">
        <v>1.4294130339553075E-2</v>
      </c>
      <c r="K22" s="538">
        <v>1.5898493395313924E-2</v>
      </c>
      <c r="L22" s="596">
        <v>1.5290897285106825E-2</v>
      </c>
      <c r="M22" s="537">
        <v>1.5290897285106825E-2</v>
      </c>
      <c r="N22" s="537">
        <v>1.5290897285106825E-2</v>
      </c>
      <c r="O22" s="537">
        <v>1.5290897285106825E-2</v>
      </c>
      <c r="P22" s="537">
        <v>1.5290897285106825E-2</v>
      </c>
      <c r="Q22" s="537">
        <v>1.5290897285106825E-2</v>
      </c>
      <c r="R22" s="537">
        <v>1.5290897285106825E-2</v>
      </c>
      <c r="S22" s="537">
        <v>1.5290897285106825E-2</v>
      </c>
      <c r="T22" s="537">
        <v>1.5290897285106825E-2</v>
      </c>
      <c r="U22" s="537">
        <v>1.5290897285106825E-2</v>
      </c>
      <c r="V22" s="537">
        <v>1.5290897285106825E-2</v>
      </c>
      <c r="W22" s="537">
        <v>1.5290897285106825E-2</v>
      </c>
      <c r="X22" s="537">
        <v>1.5290897285106825E-2</v>
      </c>
      <c r="Y22" s="537">
        <v>1.5290897285106825E-2</v>
      </c>
      <c r="Z22" s="537">
        <v>1.5290897285106825E-2</v>
      </c>
      <c r="AA22" s="537">
        <v>1.5290897285106825E-2</v>
      </c>
      <c r="AB22" s="537">
        <v>1.5290897285106825E-2</v>
      </c>
      <c r="AC22" s="537">
        <v>1.5290897285106825E-2</v>
      </c>
      <c r="AD22" s="537">
        <v>1.5290897285106825E-2</v>
      </c>
      <c r="AE22" s="537">
        <v>1.5290897285106825E-2</v>
      </c>
      <c r="AF22" s="537">
        <v>1.5290897285106825E-2</v>
      </c>
      <c r="AG22" s="537">
        <v>1.5290897285106825E-2</v>
      </c>
      <c r="AH22" s="537">
        <v>1.5290897285106825E-2</v>
      </c>
      <c r="AI22" s="537">
        <v>1.5290897285106825E-2</v>
      </c>
      <c r="AJ22" s="537">
        <v>1.5290897285106825E-2</v>
      </c>
      <c r="AK22" s="537">
        <v>1.5290897285106825E-2</v>
      </c>
    </row>
    <row r="23" spans="1:39">
      <c r="A23" s="57" t="s">
        <v>27</v>
      </c>
      <c r="B23" s="537">
        <v>9.594394536918481E-2</v>
      </c>
      <c r="C23" s="537">
        <v>9.7585143832693136E-2</v>
      </c>
      <c r="D23" s="537">
        <v>0.10106370294494238</v>
      </c>
      <c r="E23" s="537">
        <v>0.10201720187793428</v>
      </c>
      <c r="F23" s="537">
        <v>0.1026672607767819</v>
      </c>
      <c r="G23" s="537">
        <v>9.8449102859581736E-2</v>
      </c>
      <c r="H23" s="537">
        <v>0.10041452496798976</v>
      </c>
      <c r="I23" s="537">
        <v>9.9836462654716185E-2</v>
      </c>
      <c r="J23" s="537">
        <v>0.1073937772087068</v>
      </c>
      <c r="K23" s="538">
        <v>0.11340672641912081</v>
      </c>
      <c r="L23" s="596">
        <v>0.10973002304737518</v>
      </c>
      <c r="M23" s="537">
        <v>0.11315573444866063</v>
      </c>
      <c r="N23" s="537">
        <v>0.12092425403329068</v>
      </c>
      <c r="O23" s="537">
        <v>0.11976606094750319</v>
      </c>
      <c r="P23" s="537">
        <v>0.11852353734528383</v>
      </c>
      <c r="Q23" s="537">
        <v>0.11723716636790441</v>
      </c>
      <c r="R23" s="537">
        <v>0.11573189722577894</v>
      </c>
      <c r="S23" s="537">
        <v>0.11418027827571492</v>
      </c>
      <c r="T23" s="537">
        <v>0.11258705898420829</v>
      </c>
      <c r="U23" s="537">
        <v>0.11100995885616735</v>
      </c>
      <c r="V23" s="537">
        <v>0.10967878070849338</v>
      </c>
      <c r="W23" s="537">
        <v>0.10833258079385408</v>
      </c>
      <c r="X23" s="537">
        <v>0.10744939001280411</v>
      </c>
      <c r="Y23" s="537">
        <v>0.1070870784464362</v>
      </c>
      <c r="Z23" s="537">
        <v>0.1073293022620572</v>
      </c>
      <c r="AA23" s="537">
        <v>0.1083855043960734</v>
      </c>
      <c r="AB23" s="537">
        <v>0.10971714280836536</v>
      </c>
      <c r="AC23" s="537">
        <v>0.11109537072129751</v>
      </c>
      <c r="AD23" s="537">
        <v>0.11253964421681607</v>
      </c>
      <c r="AE23" s="537">
        <v>0.11399005275288095</v>
      </c>
      <c r="AF23" s="537">
        <v>0.11566237951344428</v>
      </c>
      <c r="AG23" s="537">
        <v>0.11703646463508321</v>
      </c>
      <c r="AH23" s="537">
        <v>0.11851498017925768</v>
      </c>
      <c r="AI23" s="537">
        <v>0.11999349572343178</v>
      </c>
      <c r="AJ23" s="537">
        <v>0.12147201126760586</v>
      </c>
      <c r="AK23" s="537">
        <v>0.12295052681177993</v>
      </c>
    </row>
    <row r="24" spans="1:39">
      <c r="B24" s="558">
        <f>B15+B16+B17+B18+B19+B20+B21</f>
        <v>5.9362299281279209E-2</v>
      </c>
      <c r="C24" s="558">
        <f>C15+C16+C17+C18+C19+C20+C21</f>
        <v>6.1466280717014071E-2</v>
      </c>
      <c r="D24" s="558">
        <f t="shared" ref="D24:K24" si="1">D15+D16+D17+D18+D19+D20+D21</f>
        <v>6.2645625156777643E-2</v>
      </c>
      <c r="E24" s="558">
        <f t="shared" si="1"/>
        <v>6.36808354559531E-2</v>
      </c>
      <c r="F24" s="558">
        <f t="shared" si="1"/>
        <v>6.7176800856227237E-2</v>
      </c>
      <c r="G24" s="558">
        <f t="shared" si="1"/>
        <v>6.8134009217501124E-2</v>
      </c>
      <c r="H24" s="558">
        <f t="shared" si="1"/>
        <v>7.2130134872038273E-2</v>
      </c>
      <c r="I24" s="558">
        <f t="shared" si="1"/>
        <v>6.811631785641753E-2</v>
      </c>
      <c r="J24" s="558">
        <f t="shared" si="1"/>
        <v>6.9286734450727763E-2</v>
      </c>
      <c r="K24" s="558">
        <f t="shared" si="1"/>
        <v>6.8272103884994259E-2</v>
      </c>
      <c r="L24" s="581">
        <f>L15+L16+L17+L18+L19+L20+L21</f>
        <v>6.4495058846709807E-2</v>
      </c>
      <c r="M24" s="537"/>
      <c r="N24" s="537"/>
      <c r="O24" s="537"/>
      <c r="P24" s="537"/>
      <c r="Q24" s="537"/>
      <c r="R24" s="537"/>
      <c r="S24" s="537"/>
      <c r="T24" s="537"/>
      <c r="U24" s="537"/>
      <c r="V24" s="537"/>
      <c r="W24" s="537"/>
      <c r="X24" s="537"/>
      <c r="Y24" s="537"/>
      <c r="Z24" s="537"/>
      <c r="AA24" s="537"/>
      <c r="AB24" s="537"/>
      <c r="AC24" s="537"/>
      <c r="AD24" s="320"/>
      <c r="AE24" s="537"/>
      <c r="AF24" s="537"/>
      <c r="AG24" s="320"/>
      <c r="AH24" s="320"/>
      <c r="AI24" s="320"/>
      <c r="AJ24" s="320"/>
      <c r="AK24" s="320"/>
    </row>
    <row r="25" spans="1:39">
      <c r="A25" s="57" t="s">
        <v>80</v>
      </c>
      <c r="B25" s="404"/>
      <c r="C25" s="404"/>
      <c r="D25" s="404"/>
      <c r="E25" s="404"/>
      <c r="F25" s="404"/>
      <c r="G25" s="404"/>
      <c r="H25" s="404"/>
      <c r="I25" s="404"/>
      <c r="J25" s="404"/>
      <c r="K25" s="594"/>
      <c r="L25" s="598"/>
      <c r="M25" s="320"/>
      <c r="N25" s="320"/>
      <c r="O25" s="320"/>
      <c r="P25" s="320"/>
      <c r="Q25" s="320"/>
      <c r="R25" s="320"/>
      <c r="S25" s="320"/>
      <c r="T25" s="320"/>
      <c r="U25" s="320"/>
      <c r="V25" s="320"/>
      <c r="W25" s="320"/>
      <c r="X25" s="320"/>
      <c r="Y25" s="320"/>
      <c r="Z25" s="320"/>
      <c r="AA25" s="320"/>
      <c r="AB25" s="320"/>
      <c r="AC25" s="320"/>
      <c r="AD25" s="61"/>
      <c r="AE25" s="320"/>
      <c r="AF25" s="320"/>
      <c r="AG25" s="320"/>
      <c r="AH25" s="320"/>
      <c r="AI25" s="320"/>
      <c r="AJ25" s="320"/>
      <c r="AK25" s="320"/>
    </row>
    <row r="26" spans="1:39">
      <c r="A26" s="57" t="s">
        <v>24</v>
      </c>
      <c r="B26" s="358">
        <v>4.716850778559491E-3</v>
      </c>
      <c r="C26" s="358">
        <v>4.2493773066018276E-3</v>
      </c>
      <c r="D26" s="358">
        <v>1.8075217666993772E-3</v>
      </c>
      <c r="E26" s="358">
        <v>1.8116883920671805E-3</v>
      </c>
      <c r="F26" s="358">
        <v>5.4305017293701371E-3</v>
      </c>
      <c r="G26" s="358">
        <v>5.2023293877999635E-3</v>
      </c>
      <c r="H26" s="358">
        <v>5.9820835637745574E-3</v>
      </c>
      <c r="I26" s="358">
        <v>5.3570897586040812E-3</v>
      </c>
      <c r="J26" s="358">
        <v>5.5639253246374965E-3</v>
      </c>
      <c r="K26" s="538">
        <v>4.6604351587334935E-3</v>
      </c>
      <c r="L26" s="596">
        <v>5.2687969829530142E-3</v>
      </c>
      <c r="M26" s="537">
        <v>4.4547177503769944E-3</v>
      </c>
      <c r="N26" s="537">
        <v>2.5602920831491508E-3</v>
      </c>
      <c r="O26" s="537">
        <v>9.4032798122045645E-3</v>
      </c>
      <c r="P26" s="537">
        <v>9.8034742582454697E-3</v>
      </c>
      <c r="Q26" s="537">
        <v>9.9249016261071608E-3</v>
      </c>
      <c r="R26" s="537">
        <v>1.0080058818374881E-2</v>
      </c>
      <c r="S26" s="537">
        <v>1.0196129096477968E-2</v>
      </c>
      <c r="T26" s="537">
        <v>1.0320929446780263E-2</v>
      </c>
      <c r="U26" s="537">
        <v>1.0393150953155518E-2</v>
      </c>
      <c r="V26" s="537">
        <v>1.0580450683974861E-2</v>
      </c>
      <c r="W26" s="537">
        <v>1.0565768289821651E-2</v>
      </c>
      <c r="X26" s="537">
        <v>1.0551482717132039E-2</v>
      </c>
      <c r="Y26" s="537">
        <v>1.0582236380561064E-2</v>
      </c>
      <c r="Z26" s="537">
        <v>1.0630450188388501E-2</v>
      </c>
      <c r="AA26" s="537">
        <v>1.0663783191330925E-2</v>
      </c>
      <c r="AB26" s="537">
        <v>1.0655251529863519E-2</v>
      </c>
      <c r="AC26" s="537">
        <v>1.0611601168867486E-2</v>
      </c>
      <c r="AD26" s="537">
        <v>1.0695925729882549E-2</v>
      </c>
      <c r="AE26" s="537">
        <v>1.0792353345537423E-2</v>
      </c>
      <c r="AF26" s="537">
        <v>1.0886598443142496E-2</v>
      </c>
      <c r="AG26" s="537">
        <v>1.0924098071452724E-2</v>
      </c>
      <c r="AH26" s="537">
        <v>1.0976875326111564E-2</v>
      </c>
      <c r="AI26" s="537">
        <v>1.1030446223697603E-2</v>
      </c>
      <c r="AJ26" s="537">
        <v>1.1052866636391021E-2</v>
      </c>
      <c r="AK26" s="537">
        <v>1.1122111981789275E-2</v>
      </c>
    </row>
    <row r="27" spans="1:39">
      <c r="A27" s="57" t="s">
        <v>30</v>
      </c>
      <c r="B27" s="358">
        <v>5.7916291168298292E-3</v>
      </c>
      <c r="C27" s="358">
        <v>5.937280546527866E-3</v>
      </c>
      <c r="D27" s="358">
        <v>4.6383811532224864E-3</v>
      </c>
      <c r="E27" s="358">
        <v>4.5054708417700783E-3</v>
      </c>
      <c r="F27" s="358">
        <v>3.9347383278862062E-3</v>
      </c>
      <c r="G27" s="358">
        <v>4.7206076136545039E-3</v>
      </c>
      <c r="H27" s="358">
        <v>5.7059771640775303E-3</v>
      </c>
      <c r="I27" s="358">
        <v>4.8527091402502031E-3</v>
      </c>
      <c r="J27" s="358">
        <v>5.130071990796496E-3</v>
      </c>
      <c r="K27" s="538">
        <v>5.9230933726350269E-3</v>
      </c>
      <c r="L27" s="596">
        <v>4.5262296530922588E-3</v>
      </c>
      <c r="M27" s="537">
        <v>4.6347416213672974E-3</v>
      </c>
      <c r="N27" s="537">
        <v>4.6408075077926112E-3</v>
      </c>
      <c r="O27" s="537">
        <v>4.6479517740268678E-3</v>
      </c>
      <c r="P27" s="537">
        <v>4.670328155062466E-3</v>
      </c>
      <c r="Q27" s="537">
        <v>4.6724849146803551E-3</v>
      </c>
      <c r="R27" s="537">
        <v>4.6660146358266886E-3</v>
      </c>
      <c r="S27" s="537">
        <v>4.666419028255043E-3</v>
      </c>
      <c r="T27" s="537">
        <v>4.6847514850070987E-3</v>
      </c>
      <c r="U27" s="537">
        <v>4.6967484603816058E-3</v>
      </c>
      <c r="V27" s="537">
        <v>4.702544751854683E-3</v>
      </c>
      <c r="W27" s="537">
        <v>4.6936481184308909E-3</v>
      </c>
      <c r="X27" s="537">
        <v>4.6778768137250779E-3</v>
      </c>
      <c r="Y27" s="537">
        <v>4.6786855985817858E-3</v>
      </c>
      <c r="Z27" s="537">
        <v>4.6879866244339324E-3</v>
      </c>
      <c r="AA27" s="537">
        <v>4.6994444099039672E-3</v>
      </c>
      <c r="AB27" s="537">
        <v>4.7096890180889396E-3</v>
      </c>
      <c r="AC27" s="537">
        <v>4.7188552464649692E-3</v>
      </c>
      <c r="AD27" s="537">
        <v>4.7284258672693506E-3</v>
      </c>
      <c r="AE27" s="537">
        <v>4.7451407543079903E-3</v>
      </c>
      <c r="AF27" s="537">
        <v>4.7590248943481508E-3</v>
      </c>
      <c r="AG27" s="537">
        <v>4.7671127429152341E-3</v>
      </c>
      <c r="AH27" s="537">
        <v>4.7770877561479708E-3</v>
      </c>
      <c r="AI27" s="537">
        <v>4.7948810229955551E-3</v>
      </c>
      <c r="AJ27" s="537">
        <v>4.8122698974147849E-3</v>
      </c>
      <c r="AK27" s="537">
        <v>4.8295239743578961E-3</v>
      </c>
    </row>
    <row r="28" spans="1:39">
      <c r="A28" s="313" t="s">
        <v>25</v>
      </c>
      <c r="B28" s="358">
        <v>1.7955278939008688E-2</v>
      </c>
      <c r="C28" s="358">
        <v>1.855505988597872E-2</v>
      </c>
      <c r="D28" s="358">
        <v>1.6026866600000002E-2</v>
      </c>
      <c r="E28" s="358">
        <v>1.4883080470000001E-2</v>
      </c>
      <c r="F28" s="358">
        <v>1.5386824700000001E-2</v>
      </c>
      <c r="G28" s="358">
        <v>1.6241572800000003E-2</v>
      </c>
      <c r="H28" s="358">
        <v>1.7688801300000001E-2</v>
      </c>
      <c r="I28" s="358">
        <v>1.7801590000000003E-2</v>
      </c>
      <c r="J28" s="358">
        <v>1.8372970148337907E-2</v>
      </c>
      <c r="K28" s="538">
        <v>1.8768553661025537E-2</v>
      </c>
      <c r="L28" s="596">
        <v>1.781205353E-2</v>
      </c>
      <c r="M28" s="537">
        <v>1.7265232170000002E-2</v>
      </c>
      <c r="N28" s="537">
        <v>1.7775906790000004E-2</v>
      </c>
      <c r="O28" s="537">
        <v>1.8573173420000002E-2</v>
      </c>
      <c r="P28" s="537">
        <v>1.9404004880000002E-2</v>
      </c>
      <c r="Q28" s="537">
        <v>1.9731363890000003E-2</v>
      </c>
      <c r="R28" s="537">
        <v>2.0109138090000003E-2</v>
      </c>
      <c r="S28" s="537">
        <v>2.0547519230000002E-2</v>
      </c>
      <c r="T28" s="537">
        <v>2.101321426E-2</v>
      </c>
      <c r="U28" s="537">
        <v>2.1254962570000001E-2</v>
      </c>
      <c r="V28" s="537">
        <v>2.1519132730000001E-2</v>
      </c>
      <c r="W28" s="537">
        <v>2.1588572520000002E-2</v>
      </c>
      <c r="X28" s="537">
        <v>2.1637085250000004E-2</v>
      </c>
      <c r="Y28" s="537">
        <v>2.1648228230000004E-2</v>
      </c>
      <c r="Z28" s="537">
        <v>2.173370304E-2</v>
      </c>
      <c r="AA28" s="537">
        <v>2.1840920250000003E-2</v>
      </c>
      <c r="AB28" s="537">
        <v>2.1955203739999998E-2</v>
      </c>
      <c r="AC28" s="537">
        <v>2.1971782320000001E-2</v>
      </c>
      <c r="AD28" s="537">
        <v>2.211039012E-2</v>
      </c>
      <c r="AE28" s="537">
        <v>2.2340995450000001E-2</v>
      </c>
      <c r="AF28" s="537">
        <v>2.2524718730000001E-2</v>
      </c>
      <c r="AG28" s="537">
        <v>2.2682215240000005E-2</v>
      </c>
      <c r="AH28" s="537">
        <v>2.2820687150000001E-2</v>
      </c>
      <c r="AI28" s="537">
        <v>2.3003595089999999E-2</v>
      </c>
      <c r="AJ28" s="537">
        <v>2.3194928210000004E-2</v>
      </c>
      <c r="AK28" s="537">
        <v>2.3385853660000001E-2</v>
      </c>
      <c r="AL28" s="313"/>
      <c r="AM28"/>
    </row>
    <row r="29" spans="1:39">
      <c r="A29" s="57" t="s">
        <v>31</v>
      </c>
      <c r="B29" s="358">
        <v>8.2412061777782316E-4</v>
      </c>
      <c r="C29" s="358">
        <v>8.7316280655768319E-4</v>
      </c>
      <c r="D29" s="358">
        <v>8.6287806388219627E-4</v>
      </c>
      <c r="E29" s="358">
        <v>8.9692965689903504E-4</v>
      </c>
      <c r="F29" s="358">
        <v>1.0299269783155885E-3</v>
      </c>
      <c r="G29" s="358">
        <v>9.6984641890891495E-4</v>
      </c>
      <c r="H29" s="358">
        <v>9.9302289583137054E-4</v>
      </c>
      <c r="I29" s="358">
        <v>7.1312236684479039E-4</v>
      </c>
      <c r="J29" s="358">
        <v>7.1420380635488982E-4</v>
      </c>
      <c r="K29" s="538">
        <v>4.5536859435769169E-4</v>
      </c>
      <c r="L29" s="596">
        <v>3.7331955904324772E-4</v>
      </c>
      <c r="M29" s="537">
        <v>3.7331955904324772E-4</v>
      </c>
      <c r="N29" s="537">
        <v>3.7331955904324772E-4</v>
      </c>
      <c r="O29" s="537">
        <v>3.7331955904324772E-4</v>
      </c>
      <c r="P29" s="537">
        <v>3.7331955904324772E-4</v>
      </c>
      <c r="Q29" s="537">
        <v>3.7331955904324772E-4</v>
      </c>
      <c r="R29" s="537">
        <v>3.7331955904324772E-4</v>
      </c>
      <c r="S29" s="537">
        <v>3.7331955904324772E-4</v>
      </c>
      <c r="T29" s="537">
        <v>3.7331955904324772E-4</v>
      </c>
      <c r="U29" s="537">
        <v>3.7331955904324772E-4</v>
      </c>
      <c r="V29" s="537">
        <v>3.7331955904324772E-4</v>
      </c>
      <c r="W29" s="537">
        <v>3.7331955904324772E-4</v>
      </c>
      <c r="X29" s="537">
        <v>3.7331955904324772E-4</v>
      </c>
      <c r="Y29" s="537">
        <v>3.7331955904324772E-4</v>
      </c>
      <c r="Z29" s="537">
        <v>3.7331955904324772E-4</v>
      </c>
      <c r="AA29" s="537">
        <v>3.7331955904324772E-4</v>
      </c>
      <c r="AB29" s="537">
        <v>3.7331955904324772E-4</v>
      </c>
      <c r="AC29" s="537">
        <v>3.7331955904324772E-4</v>
      </c>
      <c r="AD29" s="537">
        <v>3.7331955904324772E-4</v>
      </c>
      <c r="AE29" s="537">
        <v>3.7331955904324772E-4</v>
      </c>
      <c r="AF29" s="537">
        <v>3.7331955904324772E-4</v>
      </c>
      <c r="AG29" s="537">
        <v>3.7331955904324772E-4</v>
      </c>
      <c r="AH29" s="537">
        <v>3.7331955904324772E-4</v>
      </c>
      <c r="AI29" s="537">
        <v>3.7331955904324772E-4</v>
      </c>
      <c r="AJ29" s="537">
        <v>3.7331955904324772E-4</v>
      </c>
      <c r="AK29" s="537">
        <v>3.7331955904324772E-4</v>
      </c>
      <c r="AM29"/>
    </row>
    <row r="30" spans="1:39">
      <c r="A30" s="57" t="s">
        <v>60</v>
      </c>
      <c r="B30" s="358">
        <v>6.7804572629369363E-3</v>
      </c>
      <c r="C30" s="358">
        <v>7.084609643170898E-3</v>
      </c>
      <c r="D30" s="358">
        <v>6.6965625211192169E-3</v>
      </c>
      <c r="E30" s="358">
        <v>5.7652291992522772E-3</v>
      </c>
      <c r="F30" s="358">
        <v>2.1334181483211668E-3</v>
      </c>
      <c r="G30" s="358">
        <v>0</v>
      </c>
      <c r="H30" s="358">
        <v>0</v>
      </c>
      <c r="I30" s="358">
        <v>0</v>
      </c>
      <c r="J30" s="358">
        <v>0</v>
      </c>
      <c r="K30" s="538">
        <v>0</v>
      </c>
      <c r="L30" s="596">
        <v>0</v>
      </c>
      <c r="M30" s="537">
        <v>0</v>
      </c>
      <c r="N30" s="537">
        <v>0</v>
      </c>
      <c r="O30" s="537">
        <v>0</v>
      </c>
      <c r="P30" s="537">
        <v>0</v>
      </c>
      <c r="Q30" s="537">
        <v>0</v>
      </c>
      <c r="R30" s="537">
        <v>0</v>
      </c>
      <c r="S30" s="537">
        <v>0</v>
      </c>
      <c r="T30" s="537">
        <v>0</v>
      </c>
      <c r="U30" s="537">
        <v>0</v>
      </c>
      <c r="V30" s="537">
        <v>0</v>
      </c>
      <c r="W30" s="537">
        <v>0</v>
      </c>
      <c r="X30" s="537">
        <v>0</v>
      </c>
      <c r="Y30" s="537">
        <v>0</v>
      </c>
      <c r="Z30" s="537">
        <v>0</v>
      </c>
      <c r="AA30" s="537">
        <v>0</v>
      </c>
      <c r="AB30" s="537">
        <v>0</v>
      </c>
      <c r="AC30" s="537">
        <v>0</v>
      </c>
      <c r="AD30" s="537">
        <v>0</v>
      </c>
      <c r="AE30" s="537">
        <v>0</v>
      </c>
      <c r="AF30" s="537">
        <v>0</v>
      </c>
      <c r="AG30" s="537">
        <v>0</v>
      </c>
      <c r="AH30" s="537">
        <v>0</v>
      </c>
      <c r="AI30" s="537">
        <v>0</v>
      </c>
      <c r="AJ30" s="537">
        <v>0</v>
      </c>
      <c r="AK30" s="537">
        <v>0</v>
      </c>
      <c r="AM30"/>
    </row>
    <row r="31" spans="1:39">
      <c r="A31" s="57" t="s">
        <v>33</v>
      </c>
      <c r="B31" s="358">
        <f>B84*$B$85</f>
        <v>0.10688704453527939</v>
      </c>
      <c r="C31" s="443">
        <f t="shared" ref="C31:K31" si="2">C84*$B$85</f>
        <v>0.10739627155380832</v>
      </c>
      <c r="D31" s="443">
        <f t="shared" si="2"/>
        <v>9.611717890950533E-2</v>
      </c>
      <c r="E31" s="443">
        <f t="shared" si="2"/>
        <v>9.0873015177546229E-2</v>
      </c>
      <c r="F31" s="443">
        <f t="shared" si="2"/>
        <v>7.5575866736152603E-2</v>
      </c>
      <c r="G31" s="443">
        <f t="shared" si="2"/>
        <v>7.8573746918458948E-2</v>
      </c>
      <c r="H31" s="443">
        <f t="shared" si="2"/>
        <v>7.3637634514515535E-2</v>
      </c>
      <c r="I31" s="443">
        <f t="shared" si="2"/>
        <v>7.3671052311440305E-2</v>
      </c>
      <c r="J31" s="443">
        <f t="shared" si="2"/>
        <v>7.9595116311741709E-2</v>
      </c>
      <c r="K31" s="443">
        <f t="shared" si="2"/>
        <v>7.5019764215508919E-2</v>
      </c>
      <c r="L31" s="596">
        <v>7.2497480043072909E-2</v>
      </c>
      <c r="M31" s="537">
        <v>7.3260469106496334E-2</v>
      </c>
      <c r="N31" s="537">
        <v>7.5380676422296511E-2</v>
      </c>
      <c r="O31" s="537">
        <v>7.1970261649550948E-2</v>
      </c>
      <c r="P31" s="537">
        <v>6.9935171435560536E-2</v>
      </c>
      <c r="Q31" s="537">
        <v>6.9011831821774408E-2</v>
      </c>
      <c r="R31" s="537">
        <v>6.9383873415107919E-2</v>
      </c>
      <c r="S31" s="537">
        <v>6.9579393598020317E-2</v>
      </c>
      <c r="T31" s="537">
        <v>6.8811059992865159E-2</v>
      </c>
      <c r="U31" s="537">
        <v>6.8730360441308869E-2</v>
      </c>
      <c r="V31" s="537">
        <v>6.4394763288269513E-2</v>
      </c>
      <c r="W31" s="537">
        <v>6.5991236234477751E-2</v>
      </c>
      <c r="X31" s="537">
        <v>6.5962912709126964E-2</v>
      </c>
      <c r="Y31" s="537">
        <v>6.4256341800866493E-2</v>
      </c>
      <c r="Z31" s="537">
        <v>6.5066093005124781E-2</v>
      </c>
      <c r="AA31" s="537">
        <v>6.5418873294654234E-2</v>
      </c>
      <c r="AB31" s="537">
        <v>6.5669726492448385E-2</v>
      </c>
      <c r="AC31" s="537">
        <v>6.587334880487894E-2</v>
      </c>
      <c r="AD31" s="537">
        <v>6.7676651993319986E-2</v>
      </c>
      <c r="AE31" s="537">
        <v>6.7659222228831001E-2</v>
      </c>
      <c r="AF31" s="537">
        <v>6.7399803057178811E-2</v>
      </c>
      <c r="AG31" s="537">
        <v>6.7532930729076152E-2</v>
      </c>
      <c r="AH31" s="537">
        <v>6.8174502532464043E-2</v>
      </c>
      <c r="AI31" s="537">
        <v>6.928267224920176E-2</v>
      </c>
      <c r="AJ31" s="537">
        <v>6.908144724210423E-2</v>
      </c>
      <c r="AK31" s="537">
        <v>6.9986106369181636E-2</v>
      </c>
      <c r="AM31"/>
    </row>
    <row r="32" spans="1:39">
      <c r="A32" s="345" t="s">
        <v>26</v>
      </c>
      <c r="B32" s="424">
        <v>6.9320143938064557E-2</v>
      </c>
      <c r="C32" s="424">
        <v>6.6613630175590494E-2</v>
      </c>
      <c r="D32" s="424">
        <v>6.4874829999999994E-2</v>
      </c>
      <c r="E32" s="424">
        <v>6.3158333999999997E-2</v>
      </c>
      <c r="F32" s="424">
        <v>6.1380209999999998E-2</v>
      </c>
      <c r="G32" s="424">
        <v>6.072843E-2</v>
      </c>
      <c r="H32" s="424">
        <v>6.1336899999999993E-2</v>
      </c>
      <c r="I32" s="424">
        <v>6.3686999999999994E-2</v>
      </c>
      <c r="J32" s="424">
        <v>7.0076510797164815E-2</v>
      </c>
      <c r="K32" s="538">
        <v>7.2509113165147354E-2</v>
      </c>
      <c r="L32" s="596">
        <v>6.983375361092016E-2</v>
      </c>
      <c r="M32" s="537">
        <v>7.4693186486350358E-2</v>
      </c>
      <c r="N32" s="537">
        <v>7.4441346610322867E-2</v>
      </c>
      <c r="O32" s="537">
        <v>8.273934074906715E-2</v>
      </c>
      <c r="P32" s="537">
        <v>8.3790309697480497E-2</v>
      </c>
      <c r="Q32" s="537">
        <v>8.4572268849820442E-2</v>
      </c>
      <c r="R32" s="537">
        <v>8.5993482689952813E-2</v>
      </c>
      <c r="S32" s="537">
        <v>8.7488624419242614E-2</v>
      </c>
      <c r="T32" s="537">
        <v>8.8654655642294147E-2</v>
      </c>
      <c r="U32" s="537">
        <v>8.9444772675648168E-2</v>
      </c>
      <c r="V32" s="537">
        <v>8.3519017083842836E-2</v>
      </c>
      <c r="W32" s="537">
        <v>9.251347459659294E-2</v>
      </c>
      <c r="X32" s="537">
        <v>9.3053103276106344E-2</v>
      </c>
      <c r="Y32" s="537">
        <v>9.2959559159554339E-2</v>
      </c>
      <c r="Z32" s="537">
        <v>9.3857074014245298E-2</v>
      </c>
      <c r="AA32" s="537">
        <v>9.5122274135459817E-2</v>
      </c>
      <c r="AB32" s="537">
        <v>9.5901818614088391E-2</v>
      </c>
      <c r="AC32" s="537">
        <v>9.781437213278725E-2</v>
      </c>
      <c r="AD32" s="537">
        <v>9.7761851485119469E-2</v>
      </c>
      <c r="AE32" s="537">
        <v>9.8226114762705236E-2</v>
      </c>
      <c r="AF32" s="537">
        <v>9.9101162030873255E-2</v>
      </c>
      <c r="AG32" s="537">
        <v>0.10164566396762587</v>
      </c>
      <c r="AH32" s="537">
        <v>0.10374835022083845</v>
      </c>
      <c r="AI32" s="537">
        <v>0.10593248616645204</v>
      </c>
      <c r="AJ32" s="537">
        <v>0.10766764809845274</v>
      </c>
      <c r="AK32" s="537">
        <v>0.10929768936825832</v>
      </c>
      <c r="AL32" s="345"/>
      <c r="AM32"/>
    </row>
    <row r="33" spans="1:39">
      <c r="A33" s="57" t="s">
        <v>61</v>
      </c>
      <c r="B33" s="358">
        <v>0</v>
      </c>
      <c r="C33" s="358">
        <v>0</v>
      </c>
      <c r="D33" s="358">
        <v>0</v>
      </c>
      <c r="E33" s="358">
        <v>0</v>
      </c>
      <c r="F33" s="358">
        <v>0</v>
      </c>
      <c r="G33" s="358">
        <v>0</v>
      </c>
      <c r="H33" s="358">
        <v>0</v>
      </c>
      <c r="I33" s="358">
        <v>0</v>
      </c>
      <c r="J33" s="358">
        <v>0</v>
      </c>
      <c r="K33" s="538">
        <v>0</v>
      </c>
      <c r="L33" s="596">
        <v>0</v>
      </c>
      <c r="M33" s="537">
        <v>0</v>
      </c>
      <c r="N33" s="537">
        <v>0</v>
      </c>
      <c r="O33" s="537">
        <v>0</v>
      </c>
      <c r="P33" s="537">
        <v>0</v>
      </c>
      <c r="Q33" s="537">
        <v>0</v>
      </c>
      <c r="R33" s="537">
        <v>0</v>
      </c>
      <c r="S33" s="537">
        <v>0</v>
      </c>
      <c r="T33" s="537">
        <v>0</v>
      </c>
      <c r="U33" s="537">
        <v>0</v>
      </c>
      <c r="V33" s="537">
        <v>0</v>
      </c>
      <c r="W33" s="537">
        <v>0</v>
      </c>
      <c r="X33" s="537">
        <v>0</v>
      </c>
      <c r="Y33" s="537">
        <v>0</v>
      </c>
      <c r="Z33" s="537">
        <v>0</v>
      </c>
      <c r="AA33" s="537">
        <v>0</v>
      </c>
      <c r="AB33" s="537">
        <v>0</v>
      </c>
      <c r="AC33" s="537">
        <v>0</v>
      </c>
      <c r="AD33" s="537">
        <v>0</v>
      </c>
      <c r="AE33" s="537">
        <v>0</v>
      </c>
      <c r="AF33" s="537">
        <v>0</v>
      </c>
      <c r="AG33" s="537">
        <v>0</v>
      </c>
      <c r="AH33" s="537">
        <v>0</v>
      </c>
      <c r="AI33" s="537">
        <v>0</v>
      </c>
      <c r="AJ33" s="537">
        <v>0</v>
      </c>
      <c r="AK33" s="537">
        <v>0</v>
      </c>
    </row>
    <row r="34" spans="1:39">
      <c r="A34" s="57" t="s">
        <v>35</v>
      </c>
      <c r="B34" s="358">
        <v>0</v>
      </c>
      <c r="C34" s="358">
        <v>0</v>
      </c>
      <c r="D34" s="358">
        <v>0</v>
      </c>
      <c r="E34" s="358">
        <v>0</v>
      </c>
      <c r="F34" s="358">
        <v>0</v>
      </c>
      <c r="G34" s="358">
        <v>0</v>
      </c>
      <c r="H34" s="358">
        <v>0</v>
      </c>
      <c r="I34" s="358">
        <v>0</v>
      </c>
      <c r="J34" s="358">
        <v>0</v>
      </c>
      <c r="K34" s="538">
        <v>0</v>
      </c>
      <c r="L34" s="596">
        <v>0</v>
      </c>
      <c r="M34" s="538">
        <v>0</v>
      </c>
      <c r="N34" s="538">
        <v>0</v>
      </c>
      <c r="O34" s="538">
        <v>0</v>
      </c>
      <c r="P34" s="538">
        <v>0</v>
      </c>
      <c r="Q34" s="538">
        <v>0</v>
      </c>
      <c r="R34" s="538">
        <v>0</v>
      </c>
      <c r="S34" s="538">
        <v>0</v>
      </c>
      <c r="T34" s="538">
        <v>0</v>
      </c>
      <c r="U34" s="538">
        <v>0</v>
      </c>
      <c r="V34" s="538">
        <v>0</v>
      </c>
      <c r="W34" s="538">
        <v>0</v>
      </c>
      <c r="X34" s="538">
        <v>0</v>
      </c>
      <c r="Y34" s="538">
        <v>0</v>
      </c>
      <c r="Z34" s="538">
        <v>0</v>
      </c>
      <c r="AA34" s="538">
        <v>0</v>
      </c>
      <c r="AB34" s="538">
        <v>0</v>
      </c>
      <c r="AC34" s="538">
        <v>0</v>
      </c>
      <c r="AD34" s="538">
        <v>0</v>
      </c>
      <c r="AE34" s="538">
        <v>0</v>
      </c>
      <c r="AF34" s="538">
        <v>0</v>
      </c>
      <c r="AG34" s="538">
        <v>0</v>
      </c>
      <c r="AH34" s="538">
        <v>0</v>
      </c>
      <c r="AI34" s="538">
        <v>0</v>
      </c>
      <c r="AJ34" s="538">
        <v>0</v>
      </c>
      <c r="AK34" s="538">
        <v>0</v>
      </c>
    </row>
    <row r="35" spans="1:39">
      <c r="A35" s="57" t="s">
        <v>62</v>
      </c>
      <c r="B35" s="358">
        <f>B32+B33+B34</f>
        <v>6.9320143938064557E-2</v>
      </c>
      <c r="C35" s="424">
        <f t="shared" ref="C35:K35" si="3">C32+C33+C34</f>
        <v>6.6613630175590494E-2</v>
      </c>
      <c r="D35" s="424">
        <f t="shared" si="3"/>
        <v>6.4874829999999994E-2</v>
      </c>
      <c r="E35" s="424">
        <f t="shared" si="3"/>
        <v>6.3158333999999997E-2</v>
      </c>
      <c r="F35" s="424">
        <f t="shared" si="3"/>
        <v>6.1380209999999998E-2</v>
      </c>
      <c r="G35" s="424">
        <f t="shared" si="3"/>
        <v>6.072843E-2</v>
      </c>
      <c r="H35" s="424">
        <f t="shared" si="3"/>
        <v>6.1336899999999993E-2</v>
      </c>
      <c r="I35" s="424">
        <f t="shared" si="3"/>
        <v>6.3686999999999994E-2</v>
      </c>
      <c r="J35" s="424">
        <f t="shared" si="3"/>
        <v>7.0076510797164815E-2</v>
      </c>
      <c r="K35" s="424">
        <f t="shared" si="3"/>
        <v>7.2509113165147354E-2</v>
      </c>
      <c r="L35" s="596">
        <v>6.983375361092016E-2</v>
      </c>
      <c r="M35" s="537">
        <v>7.4693186486350358E-2</v>
      </c>
      <c r="N35" s="537">
        <v>7.4441346610322867E-2</v>
      </c>
      <c r="O35" s="537">
        <v>8.273934074906715E-2</v>
      </c>
      <c r="P35" s="537">
        <v>8.3790309697480497E-2</v>
      </c>
      <c r="Q35" s="537">
        <v>8.4572268849820442E-2</v>
      </c>
      <c r="R35" s="537">
        <v>8.5993482689952813E-2</v>
      </c>
      <c r="S35" s="537">
        <v>8.7488624419242614E-2</v>
      </c>
      <c r="T35" s="537">
        <v>8.8654655642294147E-2</v>
      </c>
      <c r="U35" s="537">
        <v>8.9444772675648168E-2</v>
      </c>
      <c r="V35" s="537">
        <v>8.3519017083842836E-2</v>
      </c>
      <c r="W35" s="537">
        <v>9.251347459659294E-2</v>
      </c>
      <c r="X35" s="537">
        <v>9.3053103276106344E-2</v>
      </c>
      <c r="Y35" s="537">
        <v>9.2959559159554339E-2</v>
      </c>
      <c r="Z35" s="537">
        <v>9.3857074014245298E-2</v>
      </c>
      <c r="AA35" s="537">
        <v>9.5122274135459817E-2</v>
      </c>
      <c r="AB35" s="537">
        <v>9.5901818614088391E-2</v>
      </c>
      <c r="AC35" s="537">
        <v>9.781437213278725E-2</v>
      </c>
      <c r="AD35" s="537">
        <v>9.7761851485119469E-2</v>
      </c>
      <c r="AE35" s="537">
        <v>9.8226114762705236E-2</v>
      </c>
      <c r="AF35" s="537">
        <v>9.9101162030873255E-2</v>
      </c>
      <c r="AG35" s="537">
        <v>0.10164566396762587</v>
      </c>
      <c r="AH35" s="537">
        <v>0.10374835022083845</v>
      </c>
      <c r="AI35" s="537">
        <v>0.10593248616645204</v>
      </c>
      <c r="AJ35" s="537">
        <v>0.10766764809845274</v>
      </c>
      <c r="AK35" s="537">
        <v>0.10929768936825832</v>
      </c>
    </row>
    <row r="36" spans="1:39">
      <c r="A36" s="57" t="s">
        <v>36</v>
      </c>
      <c r="B36" s="358">
        <v>0</v>
      </c>
      <c r="C36" s="358">
        <v>0</v>
      </c>
      <c r="D36" s="358">
        <v>0</v>
      </c>
      <c r="E36" s="358">
        <v>0</v>
      </c>
      <c r="F36" s="358">
        <v>9.0112102968652682E-6</v>
      </c>
      <c r="G36" s="358">
        <v>0</v>
      </c>
      <c r="H36" s="358">
        <v>0</v>
      </c>
      <c r="I36" s="358">
        <v>0</v>
      </c>
      <c r="J36" s="358">
        <v>0</v>
      </c>
      <c r="K36" s="538">
        <v>0</v>
      </c>
      <c r="L36" s="596">
        <v>0</v>
      </c>
      <c r="M36" s="537">
        <v>0</v>
      </c>
      <c r="N36" s="537">
        <v>0</v>
      </c>
      <c r="O36" s="537">
        <v>0</v>
      </c>
      <c r="P36" s="537">
        <v>0</v>
      </c>
      <c r="Q36" s="537">
        <v>0</v>
      </c>
      <c r="R36" s="537">
        <v>0</v>
      </c>
      <c r="S36" s="537">
        <v>0</v>
      </c>
      <c r="T36" s="537">
        <v>0</v>
      </c>
      <c r="U36" s="537">
        <v>0</v>
      </c>
      <c r="V36" s="537">
        <v>0</v>
      </c>
      <c r="W36" s="537">
        <v>0</v>
      </c>
      <c r="X36" s="537">
        <v>0</v>
      </c>
      <c r="Y36" s="537">
        <v>0</v>
      </c>
      <c r="Z36" s="537">
        <v>0</v>
      </c>
      <c r="AA36" s="537">
        <v>0</v>
      </c>
      <c r="AB36" s="537">
        <v>0</v>
      </c>
      <c r="AC36" s="537">
        <v>0</v>
      </c>
      <c r="AD36" s="537">
        <v>0</v>
      </c>
      <c r="AE36" s="537">
        <v>0</v>
      </c>
      <c r="AF36" s="537">
        <v>0</v>
      </c>
      <c r="AG36" s="537">
        <v>0</v>
      </c>
      <c r="AH36" s="537">
        <v>0</v>
      </c>
      <c r="AI36" s="537">
        <v>0</v>
      </c>
      <c r="AJ36" s="537">
        <v>0</v>
      </c>
      <c r="AK36" s="537">
        <v>0</v>
      </c>
    </row>
    <row r="37" spans="1:39">
      <c r="A37" s="57" t="s">
        <v>37</v>
      </c>
      <c r="B37" s="358">
        <v>3.578721760051585E-3</v>
      </c>
      <c r="C37" s="358">
        <v>3.5378419884432365E-3</v>
      </c>
      <c r="D37" s="358">
        <v>3.601623417064563E-3</v>
      </c>
      <c r="E37" s="358">
        <v>3.4036628607016814E-3</v>
      </c>
      <c r="F37" s="358">
        <v>2.7784565082001247E-3</v>
      </c>
      <c r="G37" s="358">
        <v>2.8077787004359561E-3</v>
      </c>
      <c r="H37" s="358">
        <v>2.9050425576084703E-3</v>
      </c>
      <c r="I37" s="358">
        <v>2.5746315133900765E-3</v>
      </c>
      <c r="J37" s="358">
        <v>2.3636579119610413E-3</v>
      </c>
      <c r="K37" s="538">
        <v>2.5589129827292756E-3</v>
      </c>
      <c r="L37" s="596">
        <v>2.522852812954121E-3</v>
      </c>
      <c r="M37" s="537">
        <v>2.4408221922358315E-3</v>
      </c>
      <c r="N37" s="537">
        <v>2.4137170438031969E-3</v>
      </c>
      <c r="O37" s="537">
        <v>2.4877376998131617E-3</v>
      </c>
      <c r="P37" s="537">
        <v>2.5559654349179986E-3</v>
      </c>
      <c r="Q37" s="537">
        <v>2.5887204691716834E-3</v>
      </c>
      <c r="R37" s="537">
        <v>2.6419295204484117E-3</v>
      </c>
      <c r="S37" s="537">
        <v>2.6917057297072863E-3</v>
      </c>
      <c r="T37" s="537">
        <v>2.7348308075565704E-3</v>
      </c>
      <c r="U37" s="537">
        <v>2.7457014739464395E-3</v>
      </c>
      <c r="V37" s="537">
        <v>2.7457729914884777E-3</v>
      </c>
      <c r="W37" s="537">
        <v>2.7432698775171271E-3</v>
      </c>
      <c r="X37" s="537">
        <v>2.7423401494706245E-3</v>
      </c>
      <c r="Y37" s="537">
        <v>2.721528544737388E-3</v>
      </c>
      <c r="Z37" s="537">
        <v>2.7011460452563835E-3</v>
      </c>
      <c r="AA37" s="537">
        <v>2.6789756072244132E-3</v>
      </c>
      <c r="AB37" s="537">
        <v>2.6512983184554702E-3</v>
      </c>
      <c r="AC37" s="537">
        <v>2.6364941872534771E-3</v>
      </c>
      <c r="AD37" s="537">
        <v>2.63892578368279E-3</v>
      </c>
      <c r="AE37" s="537">
        <v>2.6499394851567364E-3</v>
      </c>
      <c r="AF37" s="537">
        <v>2.6507261781191613E-3</v>
      </c>
      <c r="AG37" s="537">
        <v>2.6545166078472075E-3</v>
      </c>
      <c r="AH37" s="537">
        <v>2.6620974673033006E-3</v>
      </c>
      <c r="AI37" s="537">
        <v>2.6739693792817102E-3</v>
      </c>
      <c r="AJ37" s="537">
        <v>2.6880583350633175E-3</v>
      </c>
      <c r="AK37" s="537">
        <v>2.706795931077434E-3</v>
      </c>
    </row>
    <row r="38" spans="1:39">
      <c r="A38" s="57" t="s">
        <v>63</v>
      </c>
      <c r="B38" s="358">
        <v>0</v>
      </c>
      <c r="C38" s="358">
        <v>0</v>
      </c>
      <c r="D38" s="358">
        <v>0</v>
      </c>
      <c r="E38" s="358">
        <v>0</v>
      </c>
      <c r="F38" s="358">
        <v>0</v>
      </c>
      <c r="G38" s="358">
        <v>0</v>
      </c>
      <c r="H38" s="358">
        <v>0</v>
      </c>
      <c r="I38" s="358">
        <v>0</v>
      </c>
      <c r="J38" s="358">
        <v>0</v>
      </c>
      <c r="K38" s="538">
        <v>0</v>
      </c>
      <c r="L38" s="596">
        <v>0</v>
      </c>
      <c r="M38" s="537">
        <v>0</v>
      </c>
      <c r="N38" s="537">
        <v>0</v>
      </c>
      <c r="O38" s="537">
        <v>0</v>
      </c>
      <c r="P38" s="537">
        <v>0</v>
      </c>
      <c r="Q38" s="537">
        <v>0</v>
      </c>
      <c r="R38" s="537">
        <v>0</v>
      </c>
      <c r="S38" s="537">
        <v>0</v>
      </c>
      <c r="T38" s="537">
        <v>0</v>
      </c>
      <c r="U38" s="537">
        <v>0</v>
      </c>
      <c r="V38" s="537">
        <v>0</v>
      </c>
      <c r="W38" s="537">
        <v>0</v>
      </c>
      <c r="X38" s="537">
        <v>0</v>
      </c>
      <c r="Y38" s="537">
        <v>0</v>
      </c>
      <c r="Z38" s="537">
        <v>0</v>
      </c>
      <c r="AA38" s="537">
        <v>0</v>
      </c>
      <c r="AB38" s="537">
        <v>0</v>
      </c>
      <c r="AC38" s="537">
        <v>0</v>
      </c>
      <c r="AD38" s="537">
        <v>0</v>
      </c>
      <c r="AE38" s="537">
        <v>0</v>
      </c>
      <c r="AF38" s="537">
        <v>0</v>
      </c>
      <c r="AG38" s="537">
        <v>0</v>
      </c>
      <c r="AH38" s="537">
        <v>0</v>
      </c>
      <c r="AI38" s="537">
        <v>0</v>
      </c>
      <c r="AJ38" s="537">
        <v>0</v>
      </c>
      <c r="AK38" s="537">
        <v>0</v>
      </c>
    </row>
    <row r="39" spans="1:39">
      <c r="A39" s="57" t="s">
        <v>64</v>
      </c>
      <c r="B39" s="358">
        <v>0</v>
      </c>
      <c r="C39" s="358">
        <v>0</v>
      </c>
      <c r="D39" s="358">
        <v>0</v>
      </c>
      <c r="E39" s="358">
        <v>0</v>
      </c>
      <c r="F39" s="358">
        <v>0</v>
      </c>
      <c r="G39" s="358">
        <v>0</v>
      </c>
      <c r="H39" s="358">
        <v>0</v>
      </c>
      <c r="I39" s="358">
        <v>0</v>
      </c>
      <c r="J39" s="358">
        <v>0</v>
      </c>
      <c r="K39" s="538">
        <v>0</v>
      </c>
      <c r="L39" s="596">
        <v>0</v>
      </c>
      <c r="M39" s="537">
        <v>0</v>
      </c>
      <c r="N39" s="537">
        <v>0</v>
      </c>
      <c r="O39" s="537">
        <v>0</v>
      </c>
      <c r="P39" s="537">
        <v>0</v>
      </c>
      <c r="Q39" s="537">
        <v>0</v>
      </c>
      <c r="R39" s="537">
        <v>0</v>
      </c>
      <c r="S39" s="537">
        <v>0</v>
      </c>
      <c r="T39" s="537">
        <v>0</v>
      </c>
      <c r="U39" s="537">
        <v>0</v>
      </c>
      <c r="V39" s="537">
        <v>0</v>
      </c>
      <c r="W39" s="537">
        <v>0</v>
      </c>
      <c r="X39" s="537">
        <v>0</v>
      </c>
      <c r="Y39" s="537">
        <v>0</v>
      </c>
      <c r="Z39" s="537">
        <v>0</v>
      </c>
      <c r="AA39" s="537">
        <v>0</v>
      </c>
      <c r="AB39" s="537">
        <v>0</v>
      </c>
      <c r="AC39" s="537">
        <v>0</v>
      </c>
      <c r="AD39" s="537">
        <v>0</v>
      </c>
      <c r="AE39" s="537">
        <v>0</v>
      </c>
      <c r="AF39" s="537">
        <v>0</v>
      </c>
      <c r="AG39" s="537">
        <v>0</v>
      </c>
      <c r="AH39" s="537">
        <v>0</v>
      </c>
      <c r="AI39" s="537">
        <v>0</v>
      </c>
      <c r="AJ39" s="537">
        <v>0</v>
      </c>
      <c r="AK39" s="537">
        <v>0</v>
      </c>
    </row>
    <row r="40" spans="1:39">
      <c r="A40" s="57" t="s">
        <v>65</v>
      </c>
      <c r="B40" s="358">
        <v>3.578721760051585E-3</v>
      </c>
      <c r="C40" s="358">
        <v>3.5378419884432365E-3</v>
      </c>
      <c r="D40" s="358">
        <v>3.601623417064563E-3</v>
      </c>
      <c r="E40" s="358">
        <v>3.4036628607016814E-3</v>
      </c>
      <c r="F40" s="358">
        <v>2.7874677184969894E-3</v>
      </c>
      <c r="G40" s="358">
        <v>2.8077787004359561E-3</v>
      </c>
      <c r="H40" s="358">
        <v>2.9050425576084703E-3</v>
      </c>
      <c r="I40" s="358">
        <v>2.5746315133900765E-3</v>
      </c>
      <c r="J40" s="358">
        <v>2.3636579119610413E-3</v>
      </c>
      <c r="K40" s="538">
        <v>2.5589129827292756E-3</v>
      </c>
      <c r="L40" s="596">
        <v>2.522852812954121E-3</v>
      </c>
      <c r="M40" s="537">
        <v>2.4408221922358315E-3</v>
      </c>
      <c r="N40" s="537">
        <v>2.4137170438031969E-3</v>
      </c>
      <c r="O40" s="537">
        <v>2.4877376998131617E-3</v>
      </c>
      <c r="P40" s="537">
        <v>2.5559654349179986E-3</v>
      </c>
      <c r="Q40" s="537">
        <v>2.5887204691716834E-3</v>
      </c>
      <c r="R40" s="537">
        <v>2.6419295204484117E-3</v>
      </c>
      <c r="S40" s="537">
        <v>2.6917057297072863E-3</v>
      </c>
      <c r="T40" s="537">
        <v>2.7348308075565704E-3</v>
      </c>
      <c r="U40" s="537">
        <v>2.7457014739464395E-3</v>
      </c>
      <c r="V40" s="537">
        <v>2.7457729914884777E-3</v>
      </c>
      <c r="W40" s="537">
        <v>2.7432698775171271E-3</v>
      </c>
      <c r="X40" s="537">
        <v>2.7423401494706245E-3</v>
      </c>
      <c r="Y40" s="537">
        <v>2.721528544737388E-3</v>
      </c>
      <c r="Z40" s="537">
        <v>2.7011460452563835E-3</v>
      </c>
      <c r="AA40" s="537">
        <v>2.6789756072244132E-3</v>
      </c>
      <c r="AB40" s="537">
        <v>2.6512983184554702E-3</v>
      </c>
      <c r="AC40" s="537">
        <v>2.6364941872534771E-3</v>
      </c>
      <c r="AD40" s="537">
        <v>2.63892578368279E-3</v>
      </c>
      <c r="AE40" s="537">
        <v>2.6499394851567364E-3</v>
      </c>
      <c r="AF40" s="537">
        <v>2.6507261781191613E-3</v>
      </c>
      <c r="AG40" s="537">
        <v>2.6545166078472075E-3</v>
      </c>
      <c r="AH40" s="537">
        <v>2.6620974673033006E-3</v>
      </c>
      <c r="AI40" s="537">
        <v>2.6739693792817102E-3</v>
      </c>
      <c r="AJ40" s="537">
        <v>2.6880583350633175E-3</v>
      </c>
      <c r="AK40" s="537">
        <v>2.706795931077434E-3</v>
      </c>
    </row>
    <row r="41" spans="1:39">
      <c r="A41" s="57" t="s">
        <v>66</v>
      </c>
      <c r="B41" s="358">
        <v>1.5117250181316221E-4</v>
      </c>
      <c r="C41" s="358">
        <v>3.3037776342387145E-4</v>
      </c>
      <c r="D41" s="358">
        <v>4.8742678527615536E-4</v>
      </c>
      <c r="E41" s="358">
        <v>6.5784096757521247E-3</v>
      </c>
      <c r="F41" s="358">
        <v>4.1496094140132276E-3</v>
      </c>
      <c r="G41" s="358">
        <v>2.2961283206401749E-2</v>
      </c>
      <c r="H41" s="358">
        <v>1.2303822477270977E-2</v>
      </c>
      <c r="I41" s="358">
        <v>1.9445217497718964E-2</v>
      </c>
      <c r="J41" s="358">
        <v>1.9289232492774831E-2</v>
      </c>
      <c r="K41" s="538">
        <v>2.0002844132131579E-2</v>
      </c>
      <c r="L41" s="596">
        <v>2.2542748048831798E-2</v>
      </c>
      <c r="M41" s="537">
        <v>2.4012065721468964E-2</v>
      </c>
      <c r="N41" s="537">
        <v>2.3801686987398402E-2</v>
      </c>
      <c r="O41" s="537">
        <v>2.3269443605603696E-2</v>
      </c>
      <c r="P41" s="537">
        <v>2.3046101393201322E-2</v>
      </c>
      <c r="Q41" s="537">
        <v>2.2947578957879546E-2</v>
      </c>
      <c r="R41" s="537">
        <v>2.2710162111859777E-2</v>
      </c>
      <c r="S41" s="537">
        <v>2.2336073165713184E-2</v>
      </c>
      <c r="T41" s="537">
        <v>2.1946242853020818E-2</v>
      </c>
      <c r="U41" s="537">
        <v>2.1296402203501812E-2</v>
      </c>
      <c r="V41" s="537">
        <v>2.0650635790029945E-2</v>
      </c>
      <c r="W41" s="537">
        <v>2.0130429923829064E-2</v>
      </c>
      <c r="X41" s="537">
        <v>1.9840048009196459E-2</v>
      </c>
      <c r="Y41" s="537">
        <v>1.98302328041738E-2</v>
      </c>
      <c r="Z41" s="537">
        <v>1.9551518020039828E-2</v>
      </c>
      <c r="AA41" s="537">
        <v>1.9535221075851265E-2</v>
      </c>
      <c r="AB41" s="537">
        <v>1.88755652213096E-2</v>
      </c>
      <c r="AC41" s="537">
        <v>1.8565738089179277E-2</v>
      </c>
      <c r="AD41" s="537">
        <v>1.8115535005970185E-2</v>
      </c>
      <c r="AE41" s="537">
        <v>1.78583025573575E-2</v>
      </c>
      <c r="AF41" s="537">
        <v>1.762866379833682E-2</v>
      </c>
      <c r="AG41" s="537">
        <v>1.7647553438191747E-2</v>
      </c>
      <c r="AH41" s="537">
        <v>1.7671072891736608E-2</v>
      </c>
      <c r="AI41" s="537">
        <v>1.76923700347103E-2</v>
      </c>
      <c r="AJ41" s="537">
        <v>1.7673295202307773E-2</v>
      </c>
      <c r="AK41" s="537">
        <v>1.7685147525354002E-2</v>
      </c>
    </row>
    <row r="42" spans="1:39">
      <c r="A42" s="57" t="s">
        <v>67</v>
      </c>
      <c r="B42" s="358">
        <v>5.3688384227431947E-2</v>
      </c>
      <c r="C42" s="358">
        <v>5.4582850634487125E-2</v>
      </c>
      <c r="D42" s="358">
        <v>5.6102381328335907E-2</v>
      </c>
      <c r="E42" s="358">
        <v>5.0265855226827437E-2</v>
      </c>
      <c r="F42" s="358">
        <v>5.0253884754425514E-2</v>
      </c>
      <c r="G42" s="358">
        <v>5.3367128384495741E-2</v>
      </c>
      <c r="H42" s="358">
        <v>5.7006151994681342E-2</v>
      </c>
      <c r="I42" s="358">
        <v>5.7550348086184304E-2</v>
      </c>
      <c r="J42" s="358">
        <v>5.9020925272993338E-2</v>
      </c>
      <c r="K42" s="538">
        <v>6.2596361257005309E-2</v>
      </c>
      <c r="L42" s="596">
        <v>5.8454579155314428E-2</v>
      </c>
      <c r="M42" s="537">
        <v>5.6976225813676527E-2</v>
      </c>
      <c r="N42" s="537">
        <v>5.7665448782356674E-2</v>
      </c>
      <c r="O42" s="537">
        <v>5.837124625128564E-2</v>
      </c>
      <c r="P42" s="537">
        <v>5.9317373973822508E-2</v>
      </c>
      <c r="Q42" s="537">
        <v>6.0286521835593854E-2</v>
      </c>
      <c r="R42" s="537">
        <v>6.1769939607863339E-2</v>
      </c>
      <c r="S42" s="537">
        <v>6.3526376231453685E-2</v>
      </c>
      <c r="T42" s="537">
        <v>6.5238153784929143E-2</v>
      </c>
      <c r="U42" s="537">
        <v>6.5972956629293547E-2</v>
      </c>
      <c r="V42" s="537">
        <v>6.6447631900308404E-2</v>
      </c>
      <c r="W42" s="537">
        <v>6.6678293695437832E-2</v>
      </c>
      <c r="X42" s="537">
        <v>6.7537865694453067E-2</v>
      </c>
      <c r="Y42" s="537">
        <v>6.8427363874473138E-2</v>
      </c>
      <c r="Z42" s="537">
        <v>6.9406640597507646E-2</v>
      </c>
      <c r="AA42" s="537">
        <v>7.0158478344905559E-2</v>
      </c>
      <c r="AB42" s="537">
        <v>7.1156171179327654E-2</v>
      </c>
      <c r="AC42" s="537">
        <v>7.1885449190275785E-2</v>
      </c>
      <c r="AD42" s="537">
        <v>7.3117026639320126E-2</v>
      </c>
      <c r="AE42" s="537">
        <v>7.4591696758680506E-2</v>
      </c>
      <c r="AF42" s="537">
        <v>7.5520329175399178E-2</v>
      </c>
      <c r="AG42" s="537">
        <v>7.6366089090873737E-2</v>
      </c>
      <c r="AH42" s="537">
        <v>7.7491313496654821E-2</v>
      </c>
      <c r="AI42" s="537">
        <v>7.9237160856197308E-2</v>
      </c>
      <c r="AJ42" s="537">
        <v>8.085869946387364E-2</v>
      </c>
      <c r="AK42" s="537">
        <v>8.2507862238631338E-2</v>
      </c>
    </row>
    <row r="43" spans="1:39">
      <c r="A43" s="57" t="s">
        <v>27</v>
      </c>
      <c r="B43" s="537">
        <v>7.5499011523687584E-2</v>
      </c>
      <c r="C43" s="537">
        <v>7.5163093469910375E-2</v>
      </c>
      <c r="D43" s="537">
        <v>7.085822620571916E-2</v>
      </c>
      <c r="E43" s="537">
        <v>7.2103067861715761E-2</v>
      </c>
      <c r="F43" s="537">
        <v>7.979690994451559E-2</v>
      </c>
      <c r="G43" s="537">
        <v>9.0935771233461374E-2</v>
      </c>
      <c r="H43" s="537">
        <v>9.5374432778489129E-2</v>
      </c>
      <c r="I43" s="537">
        <v>9.4166125480153656E-2</v>
      </c>
      <c r="J43" s="537">
        <v>9.1173741357234314E-2</v>
      </c>
      <c r="K43" s="538">
        <v>9.1059214682031583E-2</v>
      </c>
      <c r="L43" s="596">
        <v>0.10121171318822025</v>
      </c>
      <c r="M43" s="537">
        <v>9.5798861798387494E-2</v>
      </c>
      <c r="N43" s="537">
        <v>7.3349520635301757E-2</v>
      </c>
      <c r="O43" s="537">
        <v>7.6022063870470336E-2</v>
      </c>
      <c r="P43" s="537">
        <v>7.6752025458178413E-2</v>
      </c>
      <c r="Q43" s="537">
        <v>7.7126403264409726E-2</v>
      </c>
      <c r="R43" s="537">
        <v>7.7667531049300867E-2</v>
      </c>
      <c r="S43" s="537">
        <v>7.8198788753099435E-2</v>
      </c>
      <c r="T43" s="537">
        <v>7.8785154950282557E-2</v>
      </c>
      <c r="U43" s="537">
        <v>7.9442426141063602E-2</v>
      </c>
      <c r="V43" s="537">
        <v>8.0167909367696105E-2</v>
      </c>
      <c r="W43" s="537">
        <v>8.0897593021131892E-2</v>
      </c>
      <c r="X43" s="537">
        <v>8.1679270870043535E-2</v>
      </c>
      <c r="Y43" s="537">
        <v>8.2424902624204877E-2</v>
      </c>
      <c r="Z43" s="537">
        <v>8.3391899465860869E-2</v>
      </c>
      <c r="AA43" s="537">
        <v>8.4586700660909953E-2</v>
      </c>
      <c r="AB43" s="537">
        <v>8.4860235445374313E-2</v>
      </c>
      <c r="AC43" s="537">
        <v>8.6125154608839974E-2</v>
      </c>
      <c r="AD43" s="537">
        <v>8.7401336939185684E-2</v>
      </c>
      <c r="AE43" s="537">
        <v>8.8691843127832709E-2</v>
      </c>
      <c r="AF43" s="537">
        <v>9.0064827165391381E-2</v>
      </c>
      <c r="AG43" s="537">
        <v>9.132144104503255E-2</v>
      </c>
      <c r="AH43" s="537">
        <v>9.2619028240935181E-2</v>
      </c>
      <c r="AI43" s="537">
        <v>9.3916615436837797E-2</v>
      </c>
      <c r="AJ43" s="537">
        <v>9.5214202632740816E-2</v>
      </c>
      <c r="AK43" s="537">
        <v>9.6511789828643446E-2</v>
      </c>
    </row>
    <row r="44" spans="1:39">
      <c r="B44" s="558">
        <f t="shared" ref="B44:K44" si="4">SUM(B26:B31,B35,B40,B41)</f>
        <v>0.21600541945032145</v>
      </c>
      <c r="C44" s="558">
        <f t="shared" si="4"/>
        <v>0.21457761167010292</v>
      </c>
      <c r="D44" s="558">
        <f t="shared" si="4"/>
        <v>0.19511326921676933</v>
      </c>
      <c r="E44" s="558">
        <f t="shared" si="4"/>
        <v>0.19187582027398861</v>
      </c>
      <c r="F44" s="558">
        <f t="shared" si="4"/>
        <v>0.17180856375255593</v>
      </c>
      <c r="G44" s="558">
        <f t="shared" si="4"/>
        <v>0.19220559504566007</v>
      </c>
      <c r="H44" s="558">
        <f t="shared" si="4"/>
        <v>0.18055328447307845</v>
      </c>
      <c r="I44" s="558">
        <f t="shared" si="4"/>
        <v>0.18810241258824842</v>
      </c>
      <c r="J44" s="558">
        <f t="shared" si="4"/>
        <v>0.20110568878376922</v>
      </c>
      <c r="K44" s="558">
        <f t="shared" si="4"/>
        <v>0.19989808528226888</v>
      </c>
      <c r="L44" s="581">
        <f>SUM(L26:L31,L35,L40,L41)</f>
        <v>0.1953772342408675</v>
      </c>
      <c r="M44" s="537"/>
      <c r="N44" s="537"/>
      <c r="O44" s="537"/>
      <c r="P44" s="537"/>
      <c r="Q44" s="537"/>
      <c r="R44" s="537"/>
      <c r="S44" s="537"/>
      <c r="T44" s="537"/>
      <c r="U44" s="537"/>
      <c r="V44" s="537"/>
      <c r="W44" s="537"/>
      <c r="X44" s="537"/>
      <c r="Y44" s="537"/>
      <c r="Z44" s="537"/>
      <c r="AA44" s="537"/>
      <c r="AB44" s="537"/>
      <c r="AC44" s="537"/>
      <c r="AD44" s="537"/>
      <c r="AE44" s="537"/>
      <c r="AF44" s="537"/>
      <c r="AG44" s="320"/>
      <c r="AH44" s="320"/>
      <c r="AI44" s="320"/>
      <c r="AJ44" s="320"/>
      <c r="AK44" s="320"/>
    </row>
    <row r="45" spans="1:39">
      <c r="A45" s="57" t="s">
        <v>81</v>
      </c>
      <c r="B45" s="405"/>
      <c r="C45" s="405"/>
      <c r="D45" s="405"/>
      <c r="E45" s="405"/>
      <c r="F45" s="405"/>
      <c r="G45" s="405"/>
      <c r="H45" s="334"/>
      <c r="I45" s="405"/>
      <c r="J45" s="405"/>
      <c r="K45" s="595"/>
      <c r="L45" s="599"/>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405"/>
    </row>
    <row r="46" spans="1:39">
      <c r="A46" s="57" t="s">
        <v>24</v>
      </c>
      <c r="B46" s="537">
        <v>4.2423761954981981E-4</v>
      </c>
      <c r="C46" s="537">
        <v>6.351856816031574E-4</v>
      </c>
      <c r="D46" s="537">
        <v>1.212686392762524E-3</v>
      </c>
      <c r="E46" s="537">
        <v>8.6348350479425789E-4</v>
      </c>
      <c r="F46" s="537">
        <v>1.6922451315234894E-3</v>
      </c>
      <c r="G46" s="537">
        <v>1.4259779294476865E-3</v>
      </c>
      <c r="H46" s="537">
        <v>1.7364907247149229E-3</v>
      </c>
      <c r="I46" s="537">
        <v>1.5872858544012094E-3</v>
      </c>
      <c r="J46" s="537">
        <v>1.3888751226010583E-3</v>
      </c>
      <c r="K46" s="538">
        <v>3.1130643819443719E-4</v>
      </c>
      <c r="L46" s="596">
        <v>3.3590936893765594E-4</v>
      </c>
      <c r="M46" s="537">
        <v>3.4106804796445986E-4</v>
      </c>
      <c r="N46" s="537">
        <v>3.8471840896049311E-4</v>
      </c>
      <c r="O46" s="537">
        <v>3.7043283627088221E-4</v>
      </c>
      <c r="P46" s="537">
        <v>4.2301168019792234E-4</v>
      </c>
      <c r="Q46" s="537">
        <v>4.4225752118253701E-4</v>
      </c>
      <c r="R46" s="537">
        <v>4.4860666460014179E-4</v>
      </c>
      <c r="S46" s="537">
        <v>4.4344798557333786E-4</v>
      </c>
      <c r="T46" s="537">
        <v>4.2578943044312438E-4</v>
      </c>
      <c r="U46" s="537">
        <v>4.0773405384931068E-4</v>
      </c>
      <c r="V46" s="537">
        <v>3.986071601865037E-4</v>
      </c>
      <c r="W46" s="537">
        <v>3.9325007042789961E-4</v>
      </c>
      <c r="X46" s="537">
        <v>3.8610728408309419E-4</v>
      </c>
      <c r="Y46" s="537">
        <v>3.8332953383789204E-4</v>
      </c>
      <c r="Z46" s="537">
        <v>3.8690092701029478E-4</v>
      </c>
      <c r="AA46" s="537">
        <v>3.9186119530529859E-4</v>
      </c>
      <c r="AB46" s="537">
        <v>3.9225801676889886E-4</v>
      </c>
      <c r="AC46" s="537">
        <v>3.9344848115969978E-4</v>
      </c>
      <c r="AD46" s="537">
        <v>3.9305165969609951E-4</v>
      </c>
      <c r="AE46" s="537">
        <v>3.9563099920950144E-4</v>
      </c>
      <c r="AF46" s="537">
        <v>3.9880557091830386E-4</v>
      </c>
      <c r="AG46" s="537">
        <v>4.1051180409451278E-4</v>
      </c>
      <c r="AH46" s="537">
        <v>4.1864664409831895E-4</v>
      </c>
      <c r="AI46" s="537">
        <v>4.2400373385692304E-4</v>
      </c>
      <c r="AJ46" s="537">
        <v>4.3432109191053093E-4</v>
      </c>
      <c r="AK46" s="537">
        <v>4.4086864605993593E-4</v>
      </c>
    </row>
    <row r="47" spans="1:39">
      <c r="A47" s="57" t="s">
        <v>68</v>
      </c>
      <c r="B47" s="537">
        <v>3.23656049637422E-5</v>
      </c>
      <c r="C47" s="537">
        <v>2.7250798186578767E-5</v>
      </c>
      <c r="D47" s="537">
        <v>3.5721331171286214E-5</v>
      </c>
      <c r="E47" s="537">
        <v>5.688453492182183E-5</v>
      </c>
      <c r="F47" s="537">
        <v>4.9605471211446521E-5</v>
      </c>
      <c r="G47" s="537">
        <v>1.4719884392092283E-4</v>
      </c>
      <c r="H47" s="537">
        <v>3.531693874293204E-5</v>
      </c>
      <c r="I47" s="537">
        <v>1.3479747611806121E-4</v>
      </c>
      <c r="J47" s="537">
        <v>4.0439242835418361E-4</v>
      </c>
      <c r="K47" s="538">
        <v>6.4230997370256159E-4</v>
      </c>
      <c r="L47" s="596">
        <v>7.8088177915192861E-4</v>
      </c>
      <c r="M47" s="537">
        <v>9.6622830881426265E-4</v>
      </c>
      <c r="N47" s="537">
        <v>5.0724290263226427E-4</v>
      </c>
      <c r="O47" s="537">
        <v>6.599684430740277E-4</v>
      </c>
      <c r="P47" s="537">
        <v>7.0067728086168214E-4</v>
      </c>
      <c r="Q47" s="537">
        <v>9.00986330373121E-4</v>
      </c>
      <c r="R47" s="537">
        <v>1.2544253127546776E-3</v>
      </c>
      <c r="S47" s="537">
        <v>1.8378287893936465E-3</v>
      </c>
      <c r="T47" s="537">
        <v>2.2063650891004259E-3</v>
      </c>
      <c r="U47" s="537">
        <v>2.1217122740982836E-3</v>
      </c>
      <c r="V47" s="537">
        <v>2.3523507557362861E-3</v>
      </c>
      <c r="W47" s="537">
        <v>2.5174776639809112E-3</v>
      </c>
      <c r="X47" s="537">
        <v>3.1099125715197901E-3</v>
      </c>
      <c r="Y47" s="537">
        <v>3.3769463717096691E-3</v>
      </c>
      <c r="Z47" s="537">
        <v>3.4342352990598449E-3</v>
      </c>
      <c r="AA47" s="537">
        <v>3.7733857489728874E-3</v>
      </c>
      <c r="AB47" s="537">
        <v>3.8331010308931884E-3</v>
      </c>
      <c r="AC47" s="537">
        <v>3.8693615519689471E-3</v>
      </c>
      <c r="AD47" s="537">
        <v>3.918293035799803E-3</v>
      </c>
      <c r="AE47" s="537">
        <v>3.9289420364131298E-3</v>
      </c>
      <c r="AF47" s="537">
        <v>3.735372860707594E-3</v>
      </c>
      <c r="AG47" s="537">
        <v>3.4300565773001854E-3</v>
      </c>
      <c r="AH47" s="537">
        <v>3.1224487367987699E-3</v>
      </c>
      <c r="AI47" s="537">
        <v>3.1510258017357989E-3</v>
      </c>
      <c r="AJ47" s="537">
        <v>3.0736520504440314E-3</v>
      </c>
      <c r="AK47" s="537">
        <v>3.0911757223393795E-3</v>
      </c>
    </row>
    <row r="48" spans="1:39">
      <c r="A48" s="346" t="s">
        <v>30</v>
      </c>
      <c r="B48" s="85">
        <v>0.3288840165780807</v>
      </c>
      <c r="C48" s="85">
        <v>0.33236966393812284</v>
      </c>
      <c r="D48" s="85">
        <v>0.33205525300390565</v>
      </c>
      <c r="E48" s="85">
        <v>0.31909734686139546</v>
      </c>
      <c r="F48" s="85">
        <v>0.31042139929978291</v>
      </c>
      <c r="G48" s="85">
        <v>0.30726998323761218</v>
      </c>
      <c r="H48" s="85">
        <v>0.29763627441844603</v>
      </c>
      <c r="I48" s="85">
        <v>0.28716494445773966</v>
      </c>
      <c r="J48" s="85">
        <v>0.28909530736618266</v>
      </c>
      <c r="K48" s="85">
        <v>0.30345336248962124</v>
      </c>
      <c r="L48" s="600">
        <v>0.30733013761578848</v>
      </c>
      <c r="M48" s="85">
        <v>0.31142631991962516</v>
      </c>
      <c r="N48" s="85">
        <v>0.31461974518039743</v>
      </c>
      <c r="O48" s="85">
        <v>0.31543854750871564</v>
      </c>
      <c r="P48" s="85">
        <v>0.31408758428287009</v>
      </c>
      <c r="Q48" s="85">
        <v>0.31167739956269885</v>
      </c>
      <c r="R48" s="85">
        <v>0.30668465543266271</v>
      </c>
      <c r="S48" s="85">
        <v>0.30110183385291689</v>
      </c>
      <c r="T48" s="85">
        <v>0.29643003124910777</v>
      </c>
      <c r="U48" s="85">
        <v>0.2907353662889951</v>
      </c>
      <c r="V48" s="85">
        <v>0.28574794929749692</v>
      </c>
      <c r="W48" s="85">
        <v>0.28038526299842098</v>
      </c>
      <c r="X48" s="85">
        <v>0.2763086380693458</v>
      </c>
      <c r="Y48" s="85">
        <v>0.27284446224518871</v>
      </c>
      <c r="Z48" s="85">
        <v>0.269840103353922</v>
      </c>
      <c r="AA48" s="85">
        <v>0.26645454977132671</v>
      </c>
      <c r="AB48" s="85">
        <v>0.26416043972056491</v>
      </c>
      <c r="AC48" s="85">
        <v>0.26237727447560766</v>
      </c>
      <c r="AD48" s="85">
        <v>0.26100747346521441</v>
      </c>
      <c r="AE48" s="85">
        <v>0.25996618845800556</v>
      </c>
      <c r="AF48" s="85">
        <v>0.25942844742699672</v>
      </c>
      <c r="AG48" s="85">
        <v>0.25914090655491889</v>
      </c>
      <c r="AH48" s="85">
        <v>0.25933211958209279</v>
      </c>
      <c r="AI48" s="85">
        <v>0.25998441791524751</v>
      </c>
      <c r="AJ48" s="85">
        <v>0.26050399216926118</v>
      </c>
      <c r="AK48" s="375">
        <v>0.26124447281226976</v>
      </c>
      <c r="AL48" s="346"/>
      <c r="AM48"/>
    </row>
    <row r="49" spans="1:39">
      <c r="A49" s="346" t="s">
        <v>39</v>
      </c>
      <c r="B49" s="538">
        <v>0.10127037937244192</v>
      </c>
      <c r="C49" s="538">
        <v>0.10402792971190883</v>
      </c>
      <c r="D49" s="538">
        <v>0.10277475906699299</v>
      </c>
      <c r="E49" s="538">
        <v>0.10831517199779481</v>
      </c>
      <c r="F49" s="538">
        <v>9.3546300530767693E-2</v>
      </c>
      <c r="G49" s="538">
        <v>0.10303396444940638</v>
      </c>
      <c r="H49" s="538">
        <v>0.10135397278806429</v>
      </c>
      <c r="I49" s="538">
        <v>9.7683433174249115E-2</v>
      </c>
      <c r="J49" s="538">
        <v>9.5466007570532585E-2</v>
      </c>
      <c r="K49" s="538">
        <v>9.4401059747695054E-2</v>
      </c>
      <c r="L49" s="596">
        <v>9.6108010636113891E-2</v>
      </c>
      <c r="M49" s="538">
        <v>9.6020947504515328E-2</v>
      </c>
      <c r="N49" s="538">
        <v>9.7737935161456249E-2</v>
      </c>
      <c r="O49" s="538">
        <v>9.9900158538301323E-2</v>
      </c>
      <c r="P49" s="538">
        <v>0.10201698304357555</v>
      </c>
      <c r="Q49" s="538">
        <v>0.10417593863532038</v>
      </c>
      <c r="R49" s="538">
        <v>0.10655745373371193</v>
      </c>
      <c r="S49" s="538">
        <v>0.10902229735215895</v>
      </c>
      <c r="T49" s="538">
        <v>0.11137311861193062</v>
      </c>
      <c r="U49" s="538">
        <v>0.1137558007764294</v>
      </c>
      <c r="V49" s="538">
        <v>0.11608106328845297</v>
      </c>
      <c r="W49" s="538">
        <v>0.11810615639769978</v>
      </c>
      <c r="X49" s="538">
        <v>0.12009366997829413</v>
      </c>
      <c r="Y49" s="538">
        <v>0.1222927726441273</v>
      </c>
      <c r="Z49" s="538">
        <v>0.12453552358237049</v>
      </c>
      <c r="AA49" s="538">
        <v>0.12662118742258197</v>
      </c>
      <c r="AB49" s="538">
        <v>0.12858069141660303</v>
      </c>
      <c r="AC49" s="538">
        <v>0.13057334008806915</v>
      </c>
      <c r="AD49" s="538">
        <v>0.13280652108423313</v>
      </c>
      <c r="AE49" s="538">
        <v>0.13527218164895519</v>
      </c>
      <c r="AF49" s="538">
        <v>0.13784883020047378</v>
      </c>
      <c r="AG49" s="538">
        <v>0.14042944677675692</v>
      </c>
      <c r="AH49" s="538">
        <v>0.14304075719165996</v>
      </c>
      <c r="AI49" s="538">
        <v>0.14581032177070188</v>
      </c>
      <c r="AJ49" s="538">
        <v>0.14852410058981877</v>
      </c>
      <c r="AK49" s="449">
        <v>0.15122959323957436</v>
      </c>
      <c r="AL49" s="346"/>
      <c r="AM49"/>
    </row>
    <row r="50" spans="1:39">
      <c r="A50" s="346" t="s">
        <v>40</v>
      </c>
      <c r="B50" s="426">
        <v>0.12187213456153871</v>
      </c>
      <c r="C50" s="426">
        <v>0.12577856082797045</v>
      </c>
      <c r="D50" s="426">
        <v>0.13503152459999998</v>
      </c>
      <c r="E50" s="426">
        <v>0.12729394327999999</v>
      </c>
      <c r="F50" s="426">
        <v>0.11741454759999999</v>
      </c>
      <c r="G50" s="426">
        <v>0.11879844339999998</v>
      </c>
      <c r="H50" s="426">
        <v>0.11856862079999998</v>
      </c>
      <c r="I50" s="426">
        <v>0.11309255999999999</v>
      </c>
      <c r="J50" s="426">
        <v>0.12665044</v>
      </c>
      <c r="K50" s="426">
        <v>0.12487419237999998</v>
      </c>
      <c r="L50" s="601">
        <v>0.12593633654</v>
      </c>
      <c r="M50" s="426">
        <v>0.12425152194</v>
      </c>
      <c r="N50" s="426">
        <v>0.12769108996</v>
      </c>
      <c r="O50" s="426">
        <v>0.129487176801138</v>
      </c>
      <c r="P50" s="426">
        <v>0.13095768360970619</v>
      </c>
      <c r="Q50" s="426">
        <v>0.12682664445469741</v>
      </c>
      <c r="R50" s="426">
        <v>0.12813113916149599</v>
      </c>
      <c r="S50" s="426">
        <v>0.12932486562016765</v>
      </c>
      <c r="T50" s="426">
        <v>0.13006253840166374</v>
      </c>
      <c r="U50" s="426">
        <v>0.13018631443660963</v>
      </c>
      <c r="V50" s="426">
        <v>0.12996257119536844</v>
      </c>
      <c r="W50" s="426">
        <v>0.12900006839904776</v>
      </c>
      <c r="X50" s="426">
        <v>0.12842628340683421</v>
      </c>
      <c r="Y50" s="426">
        <v>0.12806243113453764</v>
      </c>
      <c r="Z50" s="426">
        <v>0.12809595410591329</v>
      </c>
      <c r="AA50" s="426">
        <v>0.12808877297552235</v>
      </c>
      <c r="AB50" s="426">
        <v>0.12820010456041792</v>
      </c>
      <c r="AC50" s="426">
        <v>0.12821993214988558</v>
      </c>
      <c r="AD50" s="426">
        <v>0.12910989626341382</v>
      </c>
      <c r="AE50" s="426">
        <v>0.13061204866944542</v>
      </c>
      <c r="AF50" s="426">
        <v>0.13196975759097543</v>
      </c>
      <c r="AG50" s="426">
        <v>0.13326287990468383</v>
      </c>
      <c r="AH50" s="426">
        <v>0.13500336941842825</v>
      </c>
      <c r="AI50" s="426">
        <v>0.13720991624659731</v>
      </c>
      <c r="AJ50" s="426">
        <v>0.13920923805643559</v>
      </c>
      <c r="AK50" s="427">
        <v>0.14105772487466106</v>
      </c>
      <c r="AL50" s="346"/>
      <c r="AM50"/>
    </row>
    <row r="51" spans="1:39">
      <c r="A51" s="57" t="s">
        <v>31</v>
      </c>
      <c r="B51" s="537">
        <v>4.7050949345592286E-2</v>
      </c>
      <c r="C51" s="537">
        <v>4.7278247000739647E-2</v>
      </c>
      <c r="D51" s="537">
        <v>6.3369836323745182E-2</v>
      </c>
      <c r="E51" s="537">
        <v>5.9616316745857635E-2</v>
      </c>
      <c r="F51" s="537">
        <v>5.3657109687319141E-2</v>
      </c>
      <c r="G51" s="537">
        <v>5.0014837198659373E-2</v>
      </c>
      <c r="H51" s="537">
        <v>4.425637408638769E-2</v>
      </c>
      <c r="I51" s="537">
        <v>4.2787342010687422E-2</v>
      </c>
      <c r="J51" s="537">
        <v>3.6190960117373112E-2</v>
      </c>
      <c r="K51" s="538">
        <v>2.8244637583621612E-2</v>
      </c>
      <c r="L51" s="596">
        <v>2.3722906936050506E-2</v>
      </c>
      <c r="M51" s="537">
        <v>3.1474903624836806E-2</v>
      </c>
      <c r="N51" s="537">
        <v>2.3408598252863667E-2</v>
      </c>
      <c r="O51" s="537">
        <v>2.319287873689312E-2</v>
      </c>
      <c r="P51" s="537">
        <v>2.2976802659739143E-2</v>
      </c>
      <c r="Q51" s="537">
        <v>2.2963431615360807E-2</v>
      </c>
      <c r="R51" s="537">
        <v>2.2961470528851981E-2</v>
      </c>
      <c r="S51" s="537">
        <v>2.2957904917017758E-2</v>
      </c>
      <c r="T51" s="537">
        <v>2.2944890433822841E-2</v>
      </c>
      <c r="U51" s="537">
        <v>2.321890770328295E-2</v>
      </c>
      <c r="V51" s="537">
        <v>2.4226193046451218E-2</v>
      </c>
      <c r="W51" s="537">
        <v>2.4992264749034234E-2</v>
      </c>
      <c r="X51" s="537">
        <v>2.5661530090318071E-2</v>
      </c>
      <c r="Y51" s="537">
        <v>2.6305657868170625E-2</v>
      </c>
      <c r="Z51" s="537">
        <v>2.7145002893946946E-2</v>
      </c>
      <c r="AA51" s="537">
        <v>2.7971511717120059E-2</v>
      </c>
      <c r="AB51" s="537">
        <v>2.8758085687749863E-2</v>
      </c>
      <c r="AC51" s="537">
        <v>2.9598500397076448E-2</v>
      </c>
      <c r="AD51" s="537">
        <v>3.0495251773383771E-2</v>
      </c>
      <c r="AE51" s="537">
        <v>3.1501289152410059E-2</v>
      </c>
      <c r="AF51" s="537">
        <v>3.2535851426110138E-2</v>
      </c>
      <c r="AG51" s="537">
        <v>3.3401047137684575E-2</v>
      </c>
      <c r="AH51" s="537">
        <v>3.4314200328429335E-2</v>
      </c>
      <c r="AI51" s="537">
        <v>3.5119672041780521E-2</v>
      </c>
      <c r="AJ51" s="537">
        <v>3.6116082268854412E-2</v>
      </c>
      <c r="AK51" s="537">
        <v>3.7022282516522426E-2</v>
      </c>
    </row>
    <row r="52" spans="1:39">
      <c r="A52" s="57" t="s">
        <v>69</v>
      </c>
      <c r="B52" s="537">
        <v>5.4660960326839078E-3</v>
      </c>
      <c r="C52" s="537">
        <v>5.3572287190000178E-3</v>
      </c>
      <c r="D52" s="537">
        <v>5.4529945640031897E-3</v>
      </c>
      <c r="E52" s="537">
        <v>5.3444717311111585E-3</v>
      </c>
      <c r="F52" s="537">
        <v>4.7609300136319923E-3</v>
      </c>
      <c r="G52" s="537">
        <v>5.2840989605944305E-3</v>
      </c>
      <c r="H52" s="537">
        <v>5.0794611954993888E-3</v>
      </c>
      <c r="I52" s="537">
        <v>4.6298136899330872E-3</v>
      </c>
      <c r="J52" s="537">
        <v>4.6298136899330872E-3</v>
      </c>
      <c r="K52" s="538">
        <v>4.7251878519457089E-3</v>
      </c>
      <c r="L52" s="596">
        <v>4.7577817403228369E-3</v>
      </c>
      <c r="M52" s="537">
        <v>4.8890832565693402E-3</v>
      </c>
      <c r="N52" s="537">
        <v>4.9240846480652347E-3</v>
      </c>
      <c r="O52" s="537">
        <v>4.9498264121812614E-3</v>
      </c>
      <c r="P52" s="537">
        <v>4.9657529712746323E-3</v>
      </c>
      <c r="Q52" s="537">
        <v>4.9663085489174237E-3</v>
      </c>
      <c r="R52" s="537">
        <v>4.9713087477025516E-3</v>
      </c>
      <c r="S52" s="537">
        <v>4.9764941390352769E-3</v>
      </c>
      <c r="T52" s="537">
        <v>4.977790486868458E-3</v>
      </c>
      <c r="U52" s="537">
        <v>4.9837166483915722E-3</v>
      </c>
      <c r="V52" s="537">
        <v>4.9924206981286461E-3</v>
      </c>
      <c r="W52" s="537">
        <v>4.9970505118185791E-3</v>
      </c>
      <c r="X52" s="537">
        <v>4.9992728223897474E-3</v>
      </c>
      <c r="Y52" s="537">
        <v>5.0029766733416942E-3</v>
      </c>
      <c r="Z52" s="537">
        <v>5.0107547603407817E-3</v>
      </c>
      <c r="AA52" s="537">
        <v>5.0207551579110367E-3</v>
      </c>
      <c r="AB52" s="537">
        <v>5.0307555554812925E-3</v>
      </c>
      <c r="AC52" s="537">
        <v>5.0411263381467423E-3</v>
      </c>
      <c r="AD52" s="537">
        <v>5.0533490462881655E-3</v>
      </c>
      <c r="AE52" s="537">
        <v>5.0672384873579656E-3</v>
      </c>
      <c r="AF52" s="537">
        <v>5.082053891165751E-3</v>
      </c>
      <c r="AG52" s="537">
        <v>5.097980450259121E-3</v>
      </c>
      <c r="AH52" s="537">
        <v>5.1135366242572962E-3</v>
      </c>
      <c r="AI52" s="537">
        <v>5.1298335684458601E-3</v>
      </c>
      <c r="AJ52" s="537">
        <v>5.1407599287541022E-3</v>
      </c>
      <c r="AK52" s="537">
        <v>5.1513159039671503E-3</v>
      </c>
    </row>
    <row r="53" spans="1:39">
      <c r="A53" s="57" t="s">
        <v>70</v>
      </c>
      <c r="B53" s="537">
        <v>8.6381205803119539E-3</v>
      </c>
      <c r="C53" s="537">
        <v>8.4491107344529335E-3</v>
      </c>
      <c r="D53" s="537">
        <v>8.3943832865140591E-3</v>
      </c>
      <c r="E53" s="537">
        <v>8.4112704645730174E-3</v>
      </c>
      <c r="F53" s="537">
        <v>7.0786391891273217E-3</v>
      </c>
      <c r="G53" s="537">
        <v>8.0444110791542765E-3</v>
      </c>
      <c r="H53" s="537">
        <v>7.4620945943626241E-3</v>
      </c>
      <c r="I53" s="537">
        <v>9.025905514270606E-3</v>
      </c>
      <c r="J53" s="537">
        <v>1.0481696726249734E-2</v>
      </c>
      <c r="K53" s="538">
        <v>7.6542590343438698E-3</v>
      </c>
      <c r="L53" s="596">
        <v>1.0491304948248799E-2</v>
      </c>
      <c r="M53" s="537">
        <v>1.1604985225412832E-2</v>
      </c>
      <c r="N53" s="537">
        <v>1.0531484785699423E-2</v>
      </c>
      <c r="O53" s="537">
        <v>1.1445139350337523E-2</v>
      </c>
      <c r="P53" s="537">
        <v>1.1377299479859297E-2</v>
      </c>
      <c r="Q53" s="537">
        <v>1.122007402896555E-2</v>
      </c>
      <c r="R53" s="537">
        <v>1.110361073200722E-2</v>
      </c>
      <c r="S53" s="537">
        <v>1.0995008707593576E-2</v>
      </c>
      <c r="T53" s="537">
        <v>1.0526243937336296E-2</v>
      </c>
      <c r="U53" s="537">
        <v>1.0413565697529112E-2</v>
      </c>
      <c r="V53" s="537">
        <v>1.0286329545602137E-2</v>
      </c>
      <c r="W53" s="537">
        <v>1.0430744033830467E-2</v>
      </c>
      <c r="X53" s="537">
        <v>1.0422300444800988E-2</v>
      </c>
      <c r="Y53" s="537">
        <v>1.0297975875297969E-2</v>
      </c>
      <c r="Z53" s="537">
        <v>1.043685835692078E-2</v>
      </c>
      <c r="AA53" s="537">
        <v>1.0305545989600262E-2</v>
      </c>
      <c r="AB53" s="537">
        <v>1.0319230426992865E-2</v>
      </c>
      <c r="AC53" s="537">
        <v>1.0552157020909527E-2</v>
      </c>
      <c r="AD53" s="537">
        <v>1.0636884069446711E-2</v>
      </c>
      <c r="AE53" s="537">
        <v>1.0645909974960982E-2</v>
      </c>
      <c r="AF53" s="537">
        <v>1.0561474084666192E-2</v>
      </c>
      <c r="AG53" s="537">
        <v>1.0633681328780356E-2</v>
      </c>
      <c r="AH53" s="537">
        <v>1.0741409878466814E-2</v>
      </c>
      <c r="AI53" s="537">
        <v>1.0908534709602017E-2</v>
      </c>
      <c r="AJ53" s="537">
        <v>1.1065177844010971E-2</v>
      </c>
      <c r="AK53" s="537">
        <v>1.1279470310414298E-2</v>
      </c>
    </row>
    <row r="54" spans="1:39">
      <c r="A54" s="57" t="s">
        <v>71</v>
      </c>
      <c r="B54" s="537">
        <v>6.4141530715026635E-5</v>
      </c>
      <c r="C54" s="537">
        <v>8.7799011018190325E-5</v>
      </c>
      <c r="D54" s="537">
        <v>1.9140456863198728E-4</v>
      </c>
      <c r="E54" s="537">
        <v>2.0314737129663481E-4</v>
      </c>
      <c r="F54" s="537">
        <v>2.5195631499823356E-4</v>
      </c>
      <c r="G54" s="537">
        <v>2.4329716608371889E-4</v>
      </c>
      <c r="H54" s="537">
        <v>2.7257630270114249E-4</v>
      </c>
      <c r="I54" s="537">
        <v>2.4918414142488174E-4</v>
      </c>
      <c r="J54" s="537">
        <v>3.1148017678110212E-4</v>
      </c>
      <c r="K54" s="538">
        <v>2.7980264280246404E-4</v>
      </c>
      <c r="L54" s="596">
        <v>3.1085721642753989E-4</v>
      </c>
      <c r="M54" s="537">
        <v>3.4128882969905363E-4</v>
      </c>
      <c r="N54" s="537">
        <v>3.7941400333706056E-4</v>
      </c>
      <c r="O54" s="537">
        <v>4.0308649677242423E-4</v>
      </c>
      <c r="P54" s="537">
        <v>4.3669520784710516E-4</v>
      </c>
      <c r="Q54" s="537">
        <v>4.7790403523524503E-4</v>
      </c>
      <c r="R54" s="537">
        <v>4.8818288106902138E-4</v>
      </c>
      <c r="S54" s="537">
        <v>4.9450592865767778E-4</v>
      </c>
      <c r="T54" s="537">
        <v>4.9958305553920979E-4</v>
      </c>
      <c r="U54" s="537">
        <v>5.048470705268103E-4</v>
      </c>
      <c r="V54" s="537">
        <v>5.1278981503472844E-4</v>
      </c>
      <c r="W54" s="537">
        <v>5.2509328201758205E-4</v>
      </c>
      <c r="X54" s="537">
        <v>5.4393783271283866E-4</v>
      </c>
      <c r="Y54" s="537">
        <v>5.6888739487300486E-4</v>
      </c>
      <c r="Z54" s="537">
        <v>5.952386178286861E-4</v>
      </c>
      <c r="AA54" s="537">
        <v>6.2345872184505402E-4</v>
      </c>
      <c r="AB54" s="537">
        <v>6.5192801000284683E-4</v>
      </c>
      <c r="AC54" s="537">
        <v>6.7996122591314591E-4</v>
      </c>
      <c r="AD54" s="537">
        <v>7.0939610261896015E-4</v>
      </c>
      <c r="AE54" s="537">
        <v>7.4312940576435347E-4</v>
      </c>
      <c r="AF54" s="537">
        <v>7.7577252829101303E-4</v>
      </c>
      <c r="AG54" s="537">
        <v>8.1140586051477105E-4</v>
      </c>
      <c r="AH54" s="537">
        <v>8.4834740948100981E-4</v>
      </c>
      <c r="AI54" s="537">
        <v>8.8834146417970331E-4</v>
      </c>
      <c r="AJ54" s="537">
        <v>9.3017325192140535E-4</v>
      </c>
      <c r="AK54" s="537">
        <v>9.7256570398131324E-4</v>
      </c>
    </row>
    <row r="55" spans="1:39">
      <c r="A55" s="57" t="s">
        <v>72</v>
      </c>
      <c r="B55" s="537">
        <v>0</v>
      </c>
      <c r="C55" s="537">
        <v>0</v>
      </c>
      <c r="D55" s="537">
        <v>0</v>
      </c>
      <c r="E55" s="537">
        <v>0</v>
      </c>
      <c r="F55" s="537">
        <v>0</v>
      </c>
      <c r="G55" s="537">
        <v>0</v>
      </c>
      <c r="H55" s="537">
        <v>0</v>
      </c>
      <c r="I55" s="537">
        <v>0</v>
      </c>
      <c r="J55" s="537">
        <v>0</v>
      </c>
      <c r="K55" s="538">
        <v>1.8519254759732349E-7</v>
      </c>
      <c r="L55" s="596">
        <v>8.5188571894768807E-6</v>
      </c>
      <c r="M55" s="537">
        <v>1.7222906926551083E-5</v>
      </c>
      <c r="N55" s="537">
        <v>2.6852919401611904E-5</v>
      </c>
      <c r="O55" s="537">
        <v>5.3891031350821139E-5</v>
      </c>
      <c r="P55" s="537">
        <v>1.0389301920209846E-4</v>
      </c>
      <c r="Q55" s="537">
        <v>1.7630330531265197E-4</v>
      </c>
      <c r="R55" s="537">
        <v>2.672328461829378E-4</v>
      </c>
      <c r="S55" s="537">
        <v>3.6594047405231117E-4</v>
      </c>
      <c r="T55" s="537">
        <v>4.7501888458713473E-4</v>
      </c>
      <c r="U55" s="537">
        <v>5.8187498455079031E-4</v>
      </c>
      <c r="V55" s="537">
        <v>6.8873108451444605E-4</v>
      </c>
      <c r="W55" s="537">
        <v>7.9151294843096058E-4</v>
      </c>
      <c r="X55" s="537">
        <v>8.8744268808637413E-4</v>
      </c>
      <c r="Y55" s="537">
        <v>9.6929779412439107E-4</v>
      </c>
      <c r="Z55" s="537">
        <v>1.0428192355205284E-3</v>
      </c>
      <c r="AA55" s="537">
        <v>1.1100441302983571E-3</v>
      </c>
      <c r="AB55" s="537">
        <v>1.1728244039338495E-3</v>
      </c>
      <c r="AC55" s="537">
        <v>1.2265302427370735E-3</v>
      </c>
      <c r="AD55" s="537">
        <v>1.2746803051123775E-3</v>
      </c>
      <c r="AE55" s="537">
        <v>1.3176449761549565E-3</v>
      </c>
      <c r="AF55" s="537">
        <v>1.3570909887931865E-3</v>
      </c>
      <c r="AG55" s="537">
        <v>1.4098708648584237E-3</v>
      </c>
      <c r="AH55" s="537">
        <v>1.4607988154476874E-3</v>
      </c>
      <c r="AI55" s="537">
        <v>1.5102452256561731E-3</v>
      </c>
      <c r="AJ55" s="537">
        <v>1.5572841327458932E-3</v>
      </c>
      <c r="AK55" s="537">
        <v>1.6056193876687946E-3</v>
      </c>
    </row>
    <row r="56" spans="1:39">
      <c r="A56" s="57" t="s">
        <v>27</v>
      </c>
      <c r="B56" s="537">
        <v>5.6235595390524971E-6</v>
      </c>
      <c r="C56" s="537">
        <v>3.8583013230900555E-6</v>
      </c>
      <c r="D56" s="537">
        <v>5.2343149807938542E-6</v>
      </c>
      <c r="E56" s="537">
        <v>5.3367477592829711E-6</v>
      </c>
      <c r="F56" s="537">
        <v>8.9594536918480589E-6</v>
      </c>
      <c r="G56" s="537">
        <v>2.3726845924029026E-5</v>
      </c>
      <c r="H56" s="537">
        <v>2.4184379001280413E-5</v>
      </c>
      <c r="I56" s="537">
        <v>2.3805377720870681E-5</v>
      </c>
      <c r="J56" s="537">
        <v>2.9188476312419975E-4</v>
      </c>
      <c r="K56" s="538">
        <v>5.7637900128040972E-4</v>
      </c>
      <c r="L56" s="596">
        <v>1.1620145113102858E-4</v>
      </c>
      <c r="M56" s="537">
        <v>1.7946222791293218E-4</v>
      </c>
      <c r="N56" s="537">
        <v>6.172356807511738E-4</v>
      </c>
      <c r="O56" s="537">
        <v>8.5457311139564669E-4</v>
      </c>
      <c r="P56" s="537">
        <v>1.1288348271446863E-3</v>
      </c>
      <c r="Q56" s="537">
        <v>1.4242055484421684E-3</v>
      </c>
      <c r="R56" s="537">
        <v>1.7494842509603072E-3</v>
      </c>
      <c r="S56" s="537">
        <v>2.0987107127614169E-3</v>
      </c>
      <c r="T56" s="537">
        <v>2.4682461801109694E-3</v>
      </c>
      <c r="U56" s="537">
        <v>2.8554704225352114E-3</v>
      </c>
      <c r="V56" s="537">
        <v>3.2612732394366193E-3</v>
      </c>
      <c r="W56" s="537">
        <v>3.6836431924882631E-3</v>
      </c>
      <c r="X56" s="537">
        <v>4.1007153222364506E-3</v>
      </c>
      <c r="Y56" s="537">
        <v>4.5081075544174138E-3</v>
      </c>
      <c r="Z56" s="537">
        <v>4.9006675202731527E-3</v>
      </c>
      <c r="AA56" s="537">
        <v>5.2743320529236026E-3</v>
      </c>
      <c r="AB56" s="537">
        <v>5.567743918053778E-3</v>
      </c>
      <c r="AC56" s="537">
        <v>5.8514246692274868E-3</v>
      </c>
      <c r="AD56" s="537">
        <v>6.0934221084080259E-3</v>
      </c>
      <c r="AE56" s="537">
        <v>6.3314622279129328E-3</v>
      </c>
      <c r="AF56" s="537">
        <v>6.4979496372172428E-3</v>
      </c>
      <c r="AG56" s="537">
        <v>6.7705352112675315E-3</v>
      </c>
      <c r="AH56" s="537">
        <v>7.0045801109687609E-3</v>
      </c>
      <c r="AI56" s="537">
        <v>7.2386250106699895E-3</v>
      </c>
      <c r="AJ56" s="537">
        <v>7.472669910371218E-3</v>
      </c>
      <c r="AK56" s="537">
        <v>7.7067148100724474E-3</v>
      </c>
    </row>
    <row r="57" spans="1:39">
      <c r="B57" s="558">
        <f t="shared" ref="B57:K57" si="5">SUM(B46:B55)</f>
        <v>0.61370244122587803</v>
      </c>
      <c r="C57" s="558">
        <f t="shared" si="5"/>
        <v>0.62401097642300274</v>
      </c>
      <c r="D57" s="558">
        <f t="shared" si="5"/>
        <v>0.64851856313772682</v>
      </c>
      <c r="E57" s="558">
        <f t="shared" si="5"/>
        <v>0.62920203649174489</v>
      </c>
      <c r="F57" s="558">
        <f t="shared" si="5"/>
        <v>0.5888727332383622</v>
      </c>
      <c r="G57" s="558">
        <f t="shared" si="5"/>
        <v>0.59426221226487908</v>
      </c>
      <c r="H57" s="558">
        <f t="shared" si="5"/>
        <v>0.57640118184891909</v>
      </c>
      <c r="I57" s="558">
        <f t="shared" si="5"/>
        <v>0.55635526631882404</v>
      </c>
      <c r="J57" s="558">
        <f t="shared" si="5"/>
        <v>0.56461897319800758</v>
      </c>
      <c r="K57" s="558">
        <f t="shared" si="5"/>
        <v>0.56458630333447468</v>
      </c>
      <c r="L57" s="581">
        <f>SUM(L46:L55)</f>
        <v>0.56978264563823111</v>
      </c>
      <c r="M57" s="320"/>
      <c r="N57" s="320"/>
      <c r="O57" s="320"/>
      <c r="P57" s="320"/>
      <c r="Q57" s="320"/>
      <c r="R57" s="320"/>
      <c r="S57" s="320"/>
      <c r="T57" s="320"/>
      <c r="U57" s="320"/>
      <c r="V57" s="320"/>
      <c r="W57" s="320"/>
      <c r="X57" s="320"/>
      <c r="Y57" s="320"/>
      <c r="Z57" s="320"/>
      <c r="AA57" s="320"/>
      <c r="AB57" s="320"/>
      <c r="AC57" s="320"/>
      <c r="AD57" s="320"/>
      <c r="AE57" s="320"/>
      <c r="AF57" s="320"/>
      <c r="AG57" s="320"/>
      <c r="AH57" s="320"/>
      <c r="AI57" s="320"/>
      <c r="AJ57" s="320"/>
      <c r="AK57" s="320"/>
    </row>
    <row r="58" spans="1:39">
      <c r="A58" s="57" t="s">
        <v>457</v>
      </c>
      <c r="B58" s="320"/>
      <c r="C58" s="320"/>
      <c r="D58" s="320"/>
      <c r="E58" s="320"/>
      <c r="F58" s="320"/>
      <c r="G58" s="320"/>
      <c r="H58" s="320"/>
      <c r="I58" s="320"/>
      <c r="J58" s="320"/>
      <c r="K58" s="320"/>
      <c r="L58" s="597"/>
      <c r="M58" s="320"/>
      <c r="N58" s="320"/>
      <c r="O58" s="320"/>
      <c r="P58" s="320"/>
      <c r="Q58" s="320"/>
      <c r="R58" s="502" t="s">
        <v>1311</v>
      </c>
      <c r="S58" s="502"/>
      <c r="T58" s="502" t="s">
        <v>1312</v>
      </c>
      <c r="U58" s="502"/>
      <c r="V58" s="502"/>
      <c r="W58" s="502" t="s">
        <v>1313</v>
      </c>
      <c r="X58" s="320"/>
      <c r="Y58" s="320"/>
      <c r="Z58" s="320"/>
      <c r="AA58" s="320"/>
      <c r="AB58" s="320"/>
      <c r="AC58" s="320"/>
      <c r="AD58" s="320"/>
      <c r="AE58" s="320"/>
      <c r="AF58" s="320"/>
      <c r="AG58" s="320"/>
      <c r="AH58" s="320"/>
      <c r="AI58" s="320"/>
      <c r="AJ58" s="320"/>
      <c r="AK58" s="320"/>
    </row>
    <row r="59" spans="1:39">
      <c r="A59" s="91" t="s">
        <v>372</v>
      </c>
      <c r="B59" s="61">
        <v>0.17707664852868421</v>
      </c>
      <c r="C59" s="61">
        <v>0.16294122913948395</v>
      </c>
      <c r="D59" s="61">
        <v>0.16837681974754837</v>
      </c>
      <c r="E59" s="61">
        <v>0.16853914684150373</v>
      </c>
      <c r="F59" s="61">
        <v>0.1650957382302197</v>
      </c>
      <c r="G59" s="61">
        <v>0.1801941786271056</v>
      </c>
      <c r="H59" s="61">
        <v>0.14159989334378198</v>
      </c>
      <c r="I59" s="61">
        <v>0.13403302152718738</v>
      </c>
      <c r="J59" s="61">
        <v>0.14805459336355323</v>
      </c>
      <c r="K59" s="61">
        <v>0.15282317562040892</v>
      </c>
      <c r="L59" s="602">
        <v>0.16291514609908839</v>
      </c>
      <c r="M59" s="61">
        <v>0.14636250617220056</v>
      </c>
      <c r="N59" s="61">
        <v>0.13233164479530193</v>
      </c>
      <c r="O59" s="61">
        <v>0.12922180279896667</v>
      </c>
      <c r="P59" s="61">
        <v>0.12388391372313245</v>
      </c>
      <c r="Q59" s="61">
        <v>0.11854602464729816</v>
      </c>
      <c r="R59" s="61">
        <v>9.6420492525352286E-2</v>
      </c>
      <c r="S59" s="61">
        <v>9.6253087699667589E-2</v>
      </c>
      <c r="T59" s="61">
        <v>8.5301134353814048E-2</v>
      </c>
      <c r="U59" s="61">
        <v>8.5047856097280342E-2</v>
      </c>
      <c r="V59" s="61">
        <v>8.4830036763175701E-2</v>
      </c>
      <c r="W59" s="61">
        <v>6.1691828071227445E-2</v>
      </c>
      <c r="X59" s="61">
        <v>6.1395145923072172E-2</v>
      </c>
      <c r="Y59" s="61">
        <v>6.1192995766155389E-2</v>
      </c>
      <c r="Z59" s="61">
        <v>6.1287820548476681E-2</v>
      </c>
      <c r="AA59" s="61">
        <v>6.1741304290695881E-2</v>
      </c>
      <c r="AB59" s="61">
        <v>6.2120371453011601E-2</v>
      </c>
      <c r="AC59" s="61">
        <v>6.2697179016757101E-2</v>
      </c>
      <c r="AD59" s="61">
        <v>6.3290618773207366E-2</v>
      </c>
      <c r="AE59" s="61">
        <v>6.389749268181992E-2</v>
      </c>
      <c r="AF59" s="61">
        <v>6.4537358557785043E-2</v>
      </c>
      <c r="AG59" s="61">
        <v>6.5075373312133825E-2</v>
      </c>
      <c r="AH59" s="61">
        <v>6.5635407494027617E-2</v>
      </c>
      <c r="AI59" s="61">
        <v>6.6183832040326782E-2</v>
      </c>
      <c r="AJ59" s="61">
        <v>6.6721004253122745E-2</v>
      </c>
      <c r="AK59" s="61">
        <v>6.7247266921458812E-2</v>
      </c>
      <c r="AL59" s="667" t="s">
        <v>1309</v>
      </c>
    </row>
    <row r="60" spans="1:39">
      <c r="A60" s="91" t="s">
        <v>422</v>
      </c>
      <c r="B60" s="61">
        <v>6.3460039434900681E-2</v>
      </c>
      <c r="C60" s="61">
        <v>5.2083846100893595E-2</v>
      </c>
      <c r="D60" s="61">
        <v>7.1380310094665556E-2</v>
      </c>
      <c r="E60" s="61">
        <v>8.2793252002603471E-2</v>
      </c>
      <c r="F60" s="61">
        <v>0.1122844927309035</v>
      </c>
      <c r="G60" s="61">
        <v>0.11831655880145737</v>
      </c>
      <c r="H60" s="61">
        <v>6.2391137116694986E-2</v>
      </c>
      <c r="I60" s="61">
        <v>7.6705517494405059E-2</v>
      </c>
      <c r="J60" s="61">
        <v>0.11852463910011082</v>
      </c>
      <c r="K60" s="61">
        <v>0.10344042999688234</v>
      </c>
      <c r="L60" s="602">
        <v>0.12369074292682812</v>
      </c>
      <c r="M60" s="61">
        <v>0.10362853446030115</v>
      </c>
      <c r="N60" s="61">
        <v>0.10968973070783744</v>
      </c>
      <c r="O60" s="61">
        <v>0.11360052496702135</v>
      </c>
      <c r="P60" s="61">
        <v>0.11528327214670719</v>
      </c>
      <c r="Q60" s="61">
        <v>0.116966019326393</v>
      </c>
      <c r="R60" s="61">
        <v>0.13909155144833887</v>
      </c>
      <c r="S60" s="61">
        <v>0.13925895627402357</v>
      </c>
      <c r="T60" s="61">
        <v>0.15021090961987713</v>
      </c>
      <c r="U60" s="61">
        <v>0.15046418787641083</v>
      </c>
      <c r="V60" s="61">
        <v>0.15068200721051547</v>
      </c>
      <c r="W60" s="61">
        <v>0.17382021590246372</v>
      </c>
      <c r="X60" s="61">
        <v>0.174116898050619</v>
      </c>
      <c r="Y60" s="61">
        <v>0.17431904820753577</v>
      </c>
      <c r="Z60" s="61">
        <v>0.17422422342521449</v>
      </c>
      <c r="AA60" s="61">
        <v>0.17377073968299528</v>
      </c>
      <c r="AB60" s="61">
        <v>0.17339167252067955</v>
      </c>
      <c r="AC60" s="61">
        <v>0.17281486495693404</v>
      </c>
      <c r="AD60" s="61">
        <v>0.17222142520048381</v>
      </c>
      <c r="AE60" s="61">
        <v>0.17161455129187123</v>
      </c>
      <c r="AF60" s="61">
        <v>0.17097468541590613</v>
      </c>
      <c r="AG60" s="61">
        <v>0.17043667066155732</v>
      </c>
      <c r="AH60" s="61">
        <v>0.16987663647966353</v>
      </c>
      <c r="AI60" s="61">
        <v>0.16932821193336439</v>
      </c>
      <c r="AJ60" s="61">
        <v>0.16879103972056839</v>
      </c>
      <c r="AK60" s="61">
        <v>0.16826477705223233</v>
      </c>
      <c r="AL60" s="667" t="s">
        <v>1310</v>
      </c>
    </row>
    <row r="61" spans="1:39">
      <c r="A61" s="91" t="s">
        <v>423</v>
      </c>
      <c r="B61" s="61">
        <v>3.1705263572331638E-2</v>
      </c>
      <c r="C61" s="61">
        <v>3.1644319659083285E-2</v>
      </c>
      <c r="D61" s="61">
        <v>2.443320621631288E-2</v>
      </c>
      <c r="E61" s="61">
        <v>1.833142871851311E-2</v>
      </c>
      <c r="F61" s="61">
        <v>2.1010896514468837E-2</v>
      </c>
      <c r="G61" s="61">
        <v>1.9557756702993964E-2</v>
      </c>
      <c r="H61" s="61">
        <v>1.4478201728221233E-2</v>
      </c>
      <c r="I61" s="61">
        <v>5.3683677687399733E-3</v>
      </c>
      <c r="J61" s="61">
        <v>1.2336356954421037E-2</v>
      </c>
      <c r="K61" s="61">
        <v>1.0333425362330444E-2</v>
      </c>
      <c r="L61" s="602">
        <v>0.01</v>
      </c>
      <c r="M61" s="61">
        <v>0.01</v>
      </c>
      <c r="N61" s="61">
        <v>3.4733199125644987E-3</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67"/>
    </row>
    <row r="62" spans="1:39">
      <c r="A62" s="91" t="s">
        <v>424</v>
      </c>
      <c r="B62" s="61">
        <v>5.2709437643101546E-4</v>
      </c>
      <c r="C62" s="61">
        <v>7.1182717775411812E-4</v>
      </c>
      <c r="D62" s="61">
        <v>7.8450837860507443E-4</v>
      </c>
      <c r="E62" s="61">
        <v>7.8398006222402583E-4</v>
      </c>
      <c r="F62" s="61">
        <v>1.0617143960275869E-3</v>
      </c>
      <c r="G62" s="61">
        <v>9.1900213334896103E-4</v>
      </c>
      <c r="H62" s="61">
        <v>7.5230271045485255E-4</v>
      </c>
      <c r="I62" s="61">
        <v>7.4555115730218745E-4</v>
      </c>
      <c r="J62" s="61">
        <v>7.075488201951129E-4</v>
      </c>
      <c r="K62" s="61">
        <v>6.5016534241318826E-4</v>
      </c>
      <c r="L62" s="602">
        <v>5.3336649079166671E-4</v>
      </c>
      <c r="M62" s="61">
        <v>7.0767476992851519E-4</v>
      </c>
      <c r="N62" s="61">
        <v>6.9039605340027663E-4</v>
      </c>
      <c r="O62" s="61">
        <v>6.8282846303476148E-4</v>
      </c>
      <c r="P62" s="61">
        <v>6.752608726692446E-4</v>
      </c>
      <c r="Q62" s="61">
        <v>6.6769328230372946E-4</v>
      </c>
      <c r="R62" s="61">
        <v>6.6769328230372946E-4</v>
      </c>
      <c r="S62" s="61">
        <v>6.6769328230372946E-4</v>
      </c>
      <c r="T62" s="61">
        <v>6.6769328230372946E-4</v>
      </c>
      <c r="U62" s="61">
        <v>6.6769328230372946E-4</v>
      </c>
      <c r="V62" s="61">
        <v>6.6769328230372946E-4</v>
      </c>
      <c r="W62" s="61">
        <v>6.6769328230372946E-4</v>
      </c>
      <c r="X62" s="61">
        <v>6.6769328230372946E-4</v>
      </c>
      <c r="Y62" s="61">
        <v>6.6769328230372946E-4</v>
      </c>
      <c r="Z62" s="61">
        <v>6.6769328230372946E-4</v>
      </c>
      <c r="AA62" s="61">
        <v>6.6769328230372946E-4</v>
      </c>
      <c r="AB62" s="61">
        <v>6.6769328230372946E-4</v>
      </c>
      <c r="AC62" s="61">
        <v>6.6769328230372946E-4</v>
      </c>
      <c r="AD62" s="61">
        <v>6.6769328230372946E-4</v>
      </c>
      <c r="AE62" s="61">
        <v>6.6769328230372946E-4</v>
      </c>
      <c r="AF62" s="61">
        <v>6.6769328230372946E-4</v>
      </c>
      <c r="AG62" s="61">
        <v>6.6769328230372946E-4</v>
      </c>
      <c r="AH62" s="61">
        <v>6.6769328230372946E-4</v>
      </c>
      <c r="AI62" s="61">
        <v>6.6769328230372946E-4</v>
      </c>
      <c r="AJ62" s="61">
        <v>6.6769328230372946E-4</v>
      </c>
      <c r="AK62" s="61">
        <v>6.6769328230372946E-4</v>
      </c>
      <c r="AL62" s="667"/>
    </row>
    <row r="63" spans="1:39">
      <c r="A63" s="91" t="s">
        <v>425</v>
      </c>
      <c r="B63" s="61">
        <v>5.2473935503038548E-2</v>
      </c>
      <c r="C63" s="61">
        <v>5.1623675476377369E-2</v>
      </c>
      <c r="D63" s="61">
        <v>4.8998488500467681E-2</v>
      </c>
      <c r="E63" s="61">
        <v>5.6987135137738947E-2</v>
      </c>
      <c r="F63" s="61">
        <v>4.1108509403607232E-2</v>
      </c>
      <c r="G63" s="61">
        <v>6.1332206404646566E-2</v>
      </c>
      <c r="H63" s="61">
        <v>2.62357888526496E-2</v>
      </c>
      <c r="I63" s="61">
        <v>4.6769875398182593E-2</v>
      </c>
      <c r="J63" s="61">
        <v>4.6514006035721818E-2</v>
      </c>
      <c r="K63" s="61">
        <v>5.0307799051020105E-2</v>
      </c>
      <c r="L63" s="602">
        <v>4.5537403932920044E-2</v>
      </c>
      <c r="M63" s="61">
        <v>4.9268368252782226E-2</v>
      </c>
      <c r="N63" s="61">
        <v>4.465664914269251E-2</v>
      </c>
      <c r="O63" s="61">
        <v>4.1974849355937094E-2</v>
      </c>
      <c r="P63" s="61">
        <v>4.1222968892515865E-2</v>
      </c>
      <c r="Q63" s="61">
        <v>4.0471088429094859E-2</v>
      </c>
      <c r="R63" s="61">
        <v>4.0471088429094859E-2</v>
      </c>
      <c r="S63" s="61">
        <v>4.0471088429094859E-2</v>
      </c>
      <c r="T63" s="61">
        <v>4.0471088429094859E-2</v>
      </c>
      <c r="U63" s="61">
        <v>4.0471088429094859E-2</v>
      </c>
      <c r="V63" s="61">
        <v>4.0471088429094859E-2</v>
      </c>
      <c r="W63" s="61">
        <v>4.0471088429094859E-2</v>
      </c>
      <c r="X63" s="61">
        <v>4.0471088429094859E-2</v>
      </c>
      <c r="Y63" s="61">
        <v>4.0471088429094859E-2</v>
      </c>
      <c r="Z63" s="61">
        <v>4.0471088429094859E-2</v>
      </c>
      <c r="AA63" s="61">
        <v>4.0471088429094859E-2</v>
      </c>
      <c r="AB63" s="61">
        <v>4.0471088429094859E-2</v>
      </c>
      <c r="AC63" s="61">
        <v>4.0471088429094859E-2</v>
      </c>
      <c r="AD63" s="61">
        <v>4.0471088429094859E-2</v>
      </c>
      <c r="AE63" s="61">
        <v>4.0471088429094859E-2</v>
      </c>
      <c r="AF63" s="61">
        <v>4.0471088429094859E-2</v>
      </c>
      <c r="AG63" s="61">
        <v>4.0471088429094859E-2</v>
      </c>
      <c r="AH63" s="61">
        <v>4.0471088429094859E-2</v>
      </c>
      <c r="AI63" s="61">
        <v>4.0471088429094859E-2</v>
      </c>
      <c r="AJ63" s="61">
        <v>4.0471088429094859E-2</v>
      </c>
      <c r="AK63" s="61">
        <v>4.0471088429094859E-2</v>
      </c>
      <c r="AL63" s="667"/>
    </row>
    <row r="64" spans="1:39">
      <c r="A64" s="91" t="s">
        <v>249</v>
      </c>
      <c r="B64" s="61">
        <v>0.65947597669635838</v>
      </c>
      <c r="C64" s="61">
        <v>0.68183374790741358</v>
      </c>
      <c r="D64" s="61">
        <v>0.67052971020389363</v>
      </c>
      <c r="E64" s="61">
        <v>0.65281192951749445</v>
      </c>
      <c r="F64" s="61">
        <v>0.64376284587438171</v>
      </c>
      <c r="G64" s="61">
        <v>0.60322481669586725</v>
      </c>
      <c r="H64" s="61">
        <v>0.73373002968949907</v>
      </c>
      <c r="I64" s="61">
        <v>0.69485785965413116</v>
      </c>
      <c r="J64" s="61">
        <v>0.63596816340219686</v>
      </c>
      <c r="K64" s="61">
        <v>0.65070798217051784</v>
      </c>
      <c r="L64" s="602">
        <v>0.62619566318968134</v>
      </c>
      <c r="M64" s="61">
        <v>0.6368912385248412</v>
      </c>
      <c r="N64" s="61">
        <v>0.63066651554940167</v>
      </c>
      <c r="O64" s="61">
        <v>0.62753155281926665</v>
      </c>
      <c r="P64" s="61">
        <v>0.62216854300963353</v>
      </c>
      <c r="Q64" s="61">
        <v>0.61680553320000031</v>
      </c>
      <c r="R64" s="61">
        <v>0.61680553320000031</v>
      </c>
      <c r="S64" s="61">
        <v>0.61680553320000031</v>
      </c>
      <c r="T64" s="61">
        <v>0.61680553320000031</v>
      </c>
      <c r="U64" s="61">
        <v>0.61680553320000031</v>
      </c>
      <c r="V64" s="61">
        <v>0.61680553320000031</v>
      </c>
      <c r="W64" s="61">
        <v>0.61680553320000031</v>
      </c>
      <c r="X64" s="61">
        <v>0.61680553320000031</v>
      </c>
      <c r="Y64" s="61">
        <v>0.61680553320000031</v>
      </c>
      <c r="Z64" s="61">
        <v>0.61680553320000031</v>
      </c>
      <c r="AA64" s="61">
        <v>0.61680553320000031</v>
      </c>
      <c r="AB64" s="61">
        <v>0.61680553320000031</v>
      </c>
      <c r="AC64" s="61">
        <v>0.61680553320000031</v>
      </c>
      <c r="AD64" s="61">
        <v>0.61680553320000031</v>
      </c>
      <c r="AE64" s="61">
        <v>0.61680553320000031</v>
      </c>
      <c r="AF64" s="61">
        <v>0.61680553320000031</v>
      </c>
      <c r="AG64" s="61">
        <v>0.61680553320000031</v>
      </c>
      <c r="AH64" s="61">
        <v>0.61680553320000031</v>
      </c>
      <c r="AI64" s="61">
        <v>0.61680553320000031</v>
      </c>
      <c r="AJ64" s="61">
        <v>0.61680553320000031</v>
      </c>
      <c r="AK64" s="61">
        <v>0.61680553320000031</v>
      </c>
      <c r="AL64" s="667"/>
    </row>
    <row r="65" spans="1:38">
      <c r="A65" s="91" t="s">
        <v>426</v>
      </c>
      <c r="B65" s="61">
        <v>6.9958899913413666E-3</v>
      </c>
      <c r="C65" s="61">
        <v>4.4919713223739149E-3</v>
      </c>
      <c r="D65" s="61">
        <v>5.2210093982710476E-3</v>
      </c>
      <c r="E65" s="61">
        <v>4.65461977481464E-3</v>
      </c>
      <c r="F65" s="61">
        <v>5.0078614945081052E-3</v>
      </c>
      <c r="G65" s="61">
        <v>5.5607354900667335E-3</v>
      </c>
      <c r="H65" s="61">
        <v>4.9051469486321971E-3</v>
      </c>
      <c r="I65" s="61">
        <v>3.4289364429422324E-3</v>
      </c>
      <c r="J65" s="61">
        <v>2.8578791645998206E-3</v>
      </c>
      <c r="K65" s="61">
        <v>3.2731184687870823E-3</v>
      </c>
      <c r="L65" s="602">
        <v>4.5448241558907476E-3</v>
      </c>
      <c r="M65" s="61">
        <v>7.7258879043987736E-3</v>
      </c>
      <c r="N65" s="61">
        <v>4.4456798030148292E-3</v>
      </c>
      <c r="O65" s="61">
        <v>2.6838747864036394E-3</v>
      </c>
      <c r="P65" s="61">
        <v>2.4404728545651677E-3</v>
      </c>
      <c r="Q65" s="61">
        <v>2.1970709227266405E-3</v>
      </c>
      <c r="R65" s="61">
        <v>2.1970709227266405E-3</v>
      </c>
      <c r="S65" s="61">
        <v>2.1970709227266405E-3</v>
      </c>
      <c r="T65" s="61">
        <v>2.1970709227266405E-3</v>
      </c>
      <c r="U65" s="61">
        <v>2.1970709227266405E-3</v>
      </c>
      <c r="V65" s="61">
        <v>2.1970709227266405E-3</v>
      </c>
      <c r="W65" s="61">
        <v>2.1970709227266405E-3</v>
      </c>
      <c r="X65" s="61">
        <v>2.1970709227266405E-3</v>
      </c>
      <c r="Y65" s="61">
        <v>2.1970709227266405E-3</v>
      </c>
      <c r="Z65" s="61">
        <v>2.1970709227266405E-3</v>
      </c>
      <c r="AA65" s="61">
        <v>2.1970709227266405E-3</v>
      </c>
      <c r="AB65" s="61">
        <v>2.1970709227266405E-3</v>
      </c>
      <c r="AC65" s="61">
        <v>2.1970709227266405E-3</v>
      </c>
      <c r="AD65" s="61">
        <v>2.1970709227266405E-3</v>
      </c>
      <c r="AE65" s="61">
        <v>2.1970709227266405E-3</v>
      </c>
      <c r="AF65" s="61">
        <v>2.1970709227266405E-3</v>
      </c>
      <c r="AG65" s="61">
        <v>2.1970709227266405E-3</v>
      </c>
      <c r="AH65" s="61">
        <v>2.1970709227266405E-3</v>
      </c>
      <c r="AI65" s="61">
        <v>2.1970709227266405E-3</v>
      </c>
      <c r="AJ65" s="61">
        <v>2.1970709227266405E-3</v>
      </c>
      <c r="AK65" s="61">
        <v>2.1970709227266405E-3</v>
      </c>
      <c r="AL65" s="667"/>
    </row>
    <row r="66" spans="1:38">
      <c r="A66" s="91" t="s">
        <v>427</v>
      </c>
      <c r="B66" s="61">
        <v>0</v>
      </c>
      <c r="C66" s="61">
        <v>1.647058439204055E-4</v>
      </c>
      <c r="D66" s="61">
        <v>1.2672518529265126E-4</v>
      </c>
      <c r="E66" s="61">
        <v>1.890617525719054E-4</v>
      </c>
      <c r="F66" s="61">
        <v>2.164519940101673E-4</v>
      </c>
      <c r="G66" s="61">
        <v>1.9623690612093891E-4</v>
      </c>
      <c r="H66" s="61">
        <v>1.9874598756994071E-4</v>
      </c>
      <c r="I66" s="61">
        <v>1.8758244395432368E-4</v>
      </c>
      <c r="J66" s="61">
        <v>1.7672567922348721E-4</v>
      </c>
      <c r="K66" s="61">
        <v>1.9514548124748826E-4</v>
      </c>
      <c r="L66" s="602">
        <v>1.8211768711012905E-4</v>
      </c>
      <c r="M66" s="61">
        <v>0</v>
      </c>
      <c r="N66" s="61">
        <v>1.6392496019718237E-4</v>
      </c>
      <c r="O66" s="61">
        <v>2.5116782140021179E-4</v>
      </c>
      <c r="P66" s="61">
        <v>2.6172858360908394E-4</v>
      </c>
      <c r="Q66" s="61">
        <v>2.7228934581795608E-4</v>
      </c>
      <c r="R66" s="61">
        <v>2.7228934581795608E-4</v>
      </c>
      <c r="S66" s="61">
        <v>2.7228934581795608E-4</v>
      </c>
      <c r="T66" s="61">
        <v>2.7228934581795608E-4</v>
      </c>
      <c r="U66" s="61">
        <v>2.7228934581795608E-4</v>
      </c>
      <c r="V66" s="61">
        <v>2.7228934581795608E-4</v>
      </c>
      <c r="W66" s="61">
        <v>2.7228934581795608E-4</v>
      </c>
      <c r="X66" s="61">
        <v>2.7228934581795608E-4</v>
      </c>
      <c r="Y66" s="61">
        <v>2.7228934581795608E-4</v>
      </c>
      <c r="Z66" s="61">
        <v>2.7228934581795608E-4</v>
      </c>
      <c r="AA66" s="61">
        <v>2.7228934581795608E-4</v>
      </c>
      <c r="AB66" s="61">
        <v>2.7228934581795608E-4</v>
      </c>
      <c r="AC66" s="61">
        <v>2.7228934581795608E-4</v>
      </c>
      <c r="AD66" s="61">
        <v>2.7228934581795608E-4</v>
      </c>
      <c r="AE66" s="61">
        <v>2.7228934581795608E-4</v>
      </c>
      <c r="AF66" s="61">
        <v>2.7228934581795608E-4</v>
      </c>
      <c r="AG66" s="61">
        <v>2.7228934581795608E-4</v>
      </c>
      <c r="AH66" s="61">
        <v>2.7228934581795608E-4</v>
      </c>
      <c r="AI66" s="61">
        <v>2.7228934581795608E-4</v>
      </c>
      <c r="AJ66" s="61">
        <v>2.7228934581795608E-4</v>
      </c>
      <c r="AK66" s="61">
        <v>2.7228934581795608E-4</v>
      </c>
      <c r="AL66" s="667"/>
    </row>
    <row r="67" spans="1:38">
      <c r="A67" s="91" t="s">
        <v>428</v>
      </c>
      <c r="B67" s="61">
        <v>5.1557964091804341E-3</v>
      </c>
      <c r="C67" s="61">
        <v>9.9215200687948271E-3</v>
      </c>
      <c r="D67" s="61">
        <v>6.1796152784450737E-3</v>
      </c>
      <c r="E67" s="61">
        <v>1.1332353833410377E-2</v>
      </c>
      <c r="F67" s="61">
        <v>6.615925995702425E-3</v>
      </c>
      <c r="G67" s="61">
        <v>6.4067475516769385E-3</v>
      </c>
      <c r="H67" s="61">
        <v>1.1170492693989646E-2</v>
      </c>
      <c r="I67" s="61">
        <v>3.3219463293768882E-2</v>
      </c>
      <c r="J67" s="61">
        <v>3.1313177472848411E-2</v>
      </c>
      <c r="K67" s="61">
        <v>2.4183320142269062E-2</v>
      </c>
      <c r="L67" s="602">
        <v>2.2973118738727968E-2</v>
      </c>
      <c r="M67" s="61">
        <v>4.1865729735520045E-2</v>
      </c>
      <c r="N67" s="61">
        <v>7.0000000000000007E-2</v>
      </c>
      <c r="O67" s="61">
        <v>0.08</v>
      </c>
      <c r="P67" s="61">
        <v>9.0000000000000011E-2</v>
      </c>
      <c r="Q67" s="61">
        <v>0.1</v>
      </c>
      <c r="R67" s="61">
        <v>0.1</v>
      </c>
      <c r="S67" s="61">
        <v>0.1</v>
      </c>
      <c r="T67" s="61">
        <v>0.1</v>
      </c>
      <c r="U67" s="61">
        <v>0.1</v>
      </c>
      <c r="V67" s="61">
        <v>0.1</v>
      </c>
      <c r="W67" s="61">
        <v>0.1</v>
      </c>
      <c r="X67" s="61">
        <v>0.1</v>
      </c>
      <c r="Y67" s="61">
        <v>0.1</v>
      </c>
      <c r="Z67" s="61">
        <v>9.9999999999999992E-2</v>
      </c>
      <c r="AA67" s="61">
        <v>0.1</v>
      </c>
      <c r="AB67" s="61">
        <v>0.1</v>
      </c>
      <c r="AC67" s="61">
        <v>0.1</v>
      </c>
      <c r="AD67" s="61">
        <v>0.1</v>
      </c>
      <c r="AE67" s="61">
        <v>9.9999999999999992E-2</v>
      </c>
      <c r="AF67" s="61">
        <v>0.1</v>
      </c>
      <c r="AG67" s="61">
        <v>0.1</v>
      </c>
      <c r="AH67" s="61">
        <v>0.1</v>
      </c>
      <c r="AI67" s="61">
        <v>0.1</v>
      </c>
      <c r="AJ67" s="61">
        <v>0.1</v>
      </c>
      <c r="AK67" s="61">
        <v>9.9999999999999992E-2</v>
      </c>
      <c r="AL67" s="667"/>
    </row>
    <row r="68" spans="1:38">
      <c r="A68" s="91" t="s">
        <v>255</v>
      </c>
      <c r="B68" s="61">
        <v>0</v>
      </c>
      <c r="C68" s="61">
        <v>0</v>
      </c>
      <c r="D68" s="61">
        <v>0</v>
      </c>
      <c r="E68" s="61">
        <v>0</v>
      </c>
      <c r="F68" s="61">
        <v>0</v>
      </c>
      <c r="G68" s="61">
        <v>0</v>
      </c>
      <c r="H68" s="61">
        <v>0</v>
      </c>
      <c r="I68" s="61">
        <v>1.5809624776899372E-5</v>
      </c>
      <c r="J68" s="61">
        <v>1.8715093926938878E-5</v>
      </c>
      <c r="K68" s="61">
        <v>7.210500781061232E-5</v>
      </c>
      <c r="L68" s="602">
        <v>9.9714670213174158E-5</v>
      </c>
      <c r="M68" s="61">
        <v>3.9918766510800903E-5</v>
      </c>
      <c r="N68" s="61">
        <v>6.557369986480259E-5</v>
      </c>
      <c r="O68" s="61">
        <v>8.2377338876542944E-5</v>
      </c>
      <c r="P68" s="61">
        <v>9.0329683546025441E-5</v>
      </c>
      <c r="Q68" s="61">
        <v>9.8282028215504469E-5</v>
      </c>
      <c r="R68" s="61">
        <v>9.8282028215504469E-5</v>
      </c>
      <c r="S68" s="61">
        <v>9.8282028215504469E-5</v>
      </c>
      <c r="T68" s="61">
        <v>9.8282028215504469E-5</v>
      </c>
      <c r="U68" s="61">
        <v>9.8282028215504482E-5</v>
      </c>
      <c r="V68" s="61">
        <v>9.8282028215504482E-5</v>
      </c>
      <c r="W68" s="61">
        <v>9.8282028215504482E-5</v>
      </c>
      <c r="X68" s="61">
        <v>9.8282028215504455E-5</v>
      </c>
      <c r="Y68" s="61">
        <v>9.8282028215504455E-5</v>
      </c>
      <c r="Z68" s="61">
        <v>9.8282028215504469E-5</v>
      </c>
      <c r="AA68" s="61">
        <v>9.8282028215504469E-5</v>
      </c>
      <c r="AB68" s="61">
        <v>9.8282028215504455E-5</v>
      </c>
      <c r="AC68" s="61">
        <v>9.8282028215504469E-5</v>
      </c>
      <c r="AD68" s="61">
        <v>9.8282028215504469E-5</v>
      </c>
      <c r="AE68" s="61">
        <v>9.8282028215504482E-5</v>
      </c>
      <c r="AF68" s="61">
        <v>9.8282028215504469E-5</v>
      </c>
      <c r="AG68" s="61">
        <v>9.8282028215504469E-5</v>
      </c>
      <c r="AH68" s="61">
        <v>9.8282028215504455E-5</v>
      </c>
      <c r="AI68" s="61">
        <v>9.8282028215504469E-5</v>
      </c>
      <c r="AJ68" s="61">
        <v>9.8282028215504469E-5</v>
      </c>
      <c r="AK68" s="61">
        <v>9.8282028215504469E-5</v>
      </c>
      <c r="AL68" s="667"/>
    </row>
    <row r="69" spans="1:38">
      <c r="A69" s="91" t="s">
        <v>374</v>
      </c>
      <c r="B69" s="61">
        <v>9.592633848641679E-4</v>
      </c>
      <c r="C69" s="61">
        <v>6.6179805189737096E-4</v>
      </c>
      <c r="D69" s="61">
        <v>5.5542676186193815E-4</v>
      </c>
      <c r="E69" s="61">
        <v>2.5830910345953057E-4</v>
      </c>
      <c r="F69" s="61">
        <v>1.8068367152797814E-4</v>
      </c>
      <c r="G69" s="61">
        <v>2.1218061970037027E-4</v>
      </c>
      <c r="H69" s="61">
        <v>5.4013262840766469E-4</v>
      </c>
      <c r="I69" s="61">
        <v>9.2300684908240842E-4</v>
      </c>
      <c r="J69" s="61">
        <v>6.6516882400011385E-4</v>
      </c>
      <c r="K69" s="61">
        <v>1.1378056921532269E-3</v>
      </c>
      <c r="L69" s="602">
        <v>1.5073479589894747E-3</v>
      </c>
      <c r="M69" s="61">
        <v>1.6943692538730867E-3</v>
      </c>
      <c r="N69" s="61">
        <v>1.3283059085993087E-3</v>
      </c>
      <c r="O69" s="61">
        <v>1.1755584362632965E-3</v>
      </c>
      <c r="P69" s="61">
        <v>1.2361268368650258E-3</v>
      </c>
      <c r="Q69" s="61">
        <v>1.2966952374667412E-3</v>
      </c>
      <c r="R69" s="61">
        <v>1.2966952374667412E-3</v>
      </c>
      <c r="S69" s="61">
        <v>1.2966952374667412E-3</v>
      </c>
      <c r="T69" s="61">
        <v>1.2966952374667412E-3</v>
      </c>
      <c r="U69" s="61">
        <v>1.2966952374667412E-3</v>
      </c>
      <c r="V69" s="61">
        <v>1.2966952374667412E-3</v>
      </c>
      <c r="W69" s="61">
        <v>1.2966952374667412E-3</v>
      </c>
      <c r="X69" s="61">
        <v>1.2966952374667412E-3</v>
      </c>
      <c r="Y69" s="61">
        <v>1.2966952374667412E-3</v>
      </c>
      <c r="Z69" s="61">
        <v>1.2966952374667412E-3</v>
      </c>
      <c r="AA69" s="61">
        <v>1.2966952374667412E-3</v>
      </c>
      <c r="AB69" s="61">
        <v>1.2966952374667412E-3</v>
      </c>
      <c r="AC69" s="61">
        <v>1.2966952374667412E-3</v>
      </c>
      <c r="AD69" s="61">
        <v>1.2966952374667412E-3</v>
      </c>
      <c r="AE69" s="61">
        <v>1.2966952374667412E-3</v>
      </c>
      <c r="AF69" s="61">
        <v>1.2966952374667412E-3</v>
      </c>
      <c r="AG69" s="61">
        <v>1.2966952374667412E-3</v>
      </c>
      <c r="AH69" s="61">
        <v>1.2966952374667412E-3</v>
      </c>
      <c r="AI69" s="61">
        <v>1.2966952374667412E-3</v>
      </c>
      <c r="AJ69" s="61">
        <v>1.2966952374667412E-3</v>
      </c>
      <c r="AK69" s="61">
        <v>1.2966952374667412E-3</v>
      </c>
      <c r="AL69" s="667"/>
    </row>
    <row r="70" spans="1:38">
      <c r="A70" s="91" t="s">
        <v>373</v>
      </c>
      <c r="B70" s="61">
        <v>1.7988273821387636E-3</v>
      </c>
      <c r="C70" s="61">
        <v>3.7971039237130817E-3</v>
      </c>
      <c r="D70" s="61">
        <v>3.2678155152453532E-3</v>
      </c>
      <c r="E70" s="61">
        <v>3.1014176230452087E-3</v>
      </c>
      <c r="F70" s="61">
        <v>3.3325198104813079E-3</v>
      </c>
      <c r="G70" s="61">
        <v>3.757657773227268E-3</v>
      </c>
      <c r="H70" s="61">
        <v>3.6984032984225131E-3</v>
      </c>
      <c r="I70" s="61">
        <v>3.343485915486194E-3</v>
      </c>
      <c r="J70" s="61">
        <v>2.4301587792292067E-3</v>
      </c>
      <c r="K70" s="61">
        <v>2.2222026885845405E-3</v>
      </c>
      <c r="L70" s="602">
        <v>1.2535607064825711E-3</v>
      </c>
      <c r="M70" s="61">
        <v>1.2658171108505154E-3</v>
      </c>
      <c r="N70" s="61">
        <v>1.8756655263769129E-3</v>
      </c>
      <c r="O70" s="61">
        <v>2.1320038775308747E-3</v>
      </c>
      <c r="P70" s="61">
        <v>2.0348321643124945E-3</v>
      </c>
      <c r="Q70" s="61">
        <v>1.9376604510941418E-3</v>
      </c>
      <c r="R70" s="61">
        <v>1.937660451094142E-3</v>
      </c>
      <c r="S70" s="61">
        <v>1.9376604510941418E-3</v>
      </c>
      <c r="T70" s="61">
        <v>1.9376604510941422E-3</v>
      </c>
      <c r="U70" s="61">
        <v>1.937660451094142E-3</v>
      </c>
      <c r="V70" s="61">
        <v>1.937660451094142E-3</v>
      </c>
      <c r="W70" s="61">
        <v>1.937660451094142E-3</v>
      </c>
      <c r="X70" s="61">
        <v>1.937660451094142E-3</v>
      </c>
      <c r="Y70" s="61">
        <v>1.937660451094142E-3</v>
      </c>
      <c r="Z70" s="61">
        <v>1.937660451094142E-3</v>
      </c>
      <c r="AA70" s="61">
        <v>1.937660451094142E-3</v>
      </c>
      <c r="AB70" s="61">
        <v>1.937660451094142E-3</v>
      </c>
      <c r="AC70" s="61">
        <v>1.9376604510941422E-3</v>
      </c>
      <c r="AD70" s="61">
        <v>1.9376604510941418E-3</v>
      </c>
      <c r="AE70" s="61">
        <v>1.937660451094142E-3</v>
      </c>
      <c r="AF70" s="61">
        <v>1.937660451094142E-3</v>
      </c>
      <c r="AG70" s="61">
        <v>1.937660451094142E-3</v>
      </c>
      <c r="AH70" s="61">
        <v>1.9376604510941422E-3</v>
      </c>
      <c r="AI70" s="61">
        <v>1.937660451094142E-3</v>
      </c>
      <c r="AJ70" s="61">
        <v>1.937660451094142E-3</v>
      </c>
      <c r="AK70" s="61">
        <v>1.9376604510941422E-3</v>
      </c>
      <c r="AL70" s="667"/>
    </row>
    <row r="71" spans="1:38">
      <c r="A71" s="91" t="s">
        <v>375</v>
      </c>
      <c r="B71" s="61">
        <v>3.7126472073078284E-4</v>
      </c>
      <c r="C71" s="61">
        <v>1.2425532829452244E-4</v>
      </c>
      <c r="D71" s="61">
        <v>1.4636471939059393E-4</v>
      </c>
      <c r="E71" s="61">
        <v>2.173656326206033E-4</v>
      </c>
      <c r="F71" s="61">
        <v>3.2235988416141805E-4</v>
      </c>
      <c r="G71" s="61">
        <v>3.219222937879827E-4</v>
      </c>
      <c r="H71" s="61">
        <v>2.9972500167656517E-4</v>
      </c>
      <c r="I71" s="61">
        <v>4.0152243004053928E-4</v>
      </c>
      <c r="J71" s="61">
        <v>4.3286730997310711E-4</v>
      </c>
      <c r="K71" s="61">
        <v>6.5332497557503129E-4</v>
      </c>
      <c r="L71" s="602">
        <v>5.6699344327640919E-4</v>
      </c>
      <c r="M71" s="61">
        <v>5.4995504879317369E-4</v>
      </c>
      <c r="N71" s="61">
        <v>6.1259394074875129E-4</v>
      </c>
      <c r="O71" s="61">
        <v>6.6345933529907142E-4</v>
      </c>
      <c r="P71" s="61">
        <v>7.0255123244410134E-4</v>
      </c>
      <c r="Q71" s="61">
        <v>7.4164312958911749E-4</v>
      </c>
      <c r="R71" s="61">
        <v>7.4164312958911738E-4</v>
      </c>
      <c r="S71" s="61">
        <v>7.4164312958911727E-4</v>
      </c>
      <c r="T71" s="61">
        <v>7.4164312958911727E-4</v>
      </c>
      <c r="U71" s="61">
        <v>7.4164312958911749E-4</v>
      </c>
      <c r="V71" s="61">
        <v>7.4164312958911738E-4</v>
      </c>
      <c r="W71" s="61">
        <v>7.4164312958911738E-4</v>
      </c>
      <c r="X71" s="61">
        <v>7.4164312958911738E-4</v>
      </c>
      <c r="Y71" s="61">
        <v>7.4164312958911738E-4</v>
      </c>
      <c r="Z71" s="61">
        <v>7.4164312958911727E-4</v>
      </c>
      <c r="AA71" s="61">
        <v>7.4164312958911738E-4</v>
      </c>
      <c r="AB71" s="61">
        <v>7.4164312958911727E-4</v>
      </c>
      <c r="AC71" s="61">
        <v>7.4164312958911738E-4</v>
      </c>
      <c r="AD71" s="61">
        <v>7.4164312958911738E-4</v>
      </c>
      <c r="AE71" s="61">
        <v>7.4164312958911727E-4</v>
      </c>
      <c r="AF71" s="61">
        <v>7.4164312958911738E-4</v>
      </c>
      <c r="AG71" s="61">
        <v>7.4164312958911738E-4</v>
      </c>
      <c r="AH71" s="61">
        <v>7.4164312958911738E-4</v>
      </c>
      <c r="AI71" s="61">
        <v>7.4164312958911738E-4</v>
      </c>
      <c r="AJ71" s="61">
        <v>7.4164312958911738E-4</v>
      </c>
      <c r="AK71" s="61">
        <v>7.4164312958911749E-4</v>
      </c>
      <c r="AL71" s="667"/>
    </row>
    <row r="72" spans="1:38" ht="14.1" customHeight="1">
      <c r="B72" s="358"/>
      <c r="C72" s="358"/>
      <c r="D72" s="358"/>
      <c r="E72" s="358"/>
      <c r="F72" s="358"/>
      <c r="G72" s="358"/>
      <c r="H72" s="358"/>
      <c r="I72" s="358"/>
      <c r="J72" s="358"/>
      <c r="K72" s="358"/>
      <c r="L72" s="596">
        <v>1</v>
      </c>
      <c r="M72" s="537"/>
      <c r="N72" s="537"/>
      <c r="O72" s="537"/>
      <c r="P72" s="537"/>
      <c r="Q72" s="537">
        <v>1.0000382148589675</v>
      </c>
      <c r="R72" s="537"/>
      <c r="S72" s="537"/>
      <c r="T72" s="537"/>
      <c r="U72" s="537"/>
      <c r="V72" s="537">
        <v>1.0000382148589675</v>
      </c>
      <c r="W72" s="537"/>
      <c r="X72" s="537"/>
      <c r="Y72" s="537"/>
      <c r="Z72" s="537"/>
      <c r="AA72" s="537">
        <v>1.0000382148589675</v>
      </c>
      <c r="AB72" s="537"/>
      <c r="AC72" s="537"/>
      <c r="AD72" s="537"/>
      <c r="AE72" s="537"/>
      <c r="AF72" s="537">
        <v>1.0000382148589675</v>
      </c>
      <c r="AG72" s="320"/>
      <c r="AH72" s="320"/>
      <c r="AI72" s="320"/>
      <c r="AJ72" s="320"/>
      <c r="AK72" s="537">
        <v>1.0000382148589675</v>
      </c>
    </row>
    <row r="73" spans="1:38" ht="14.25">
      <c r="A73" s="57" t="s">
        <v>499</v>
      </c>
      <c r="B73" s="320"/>
      <c r="C73" s="320"/>
      <c r="D73" s="320"/>
      <c r="E73" s="320"/>
      <c r="F73" s="320"/>
      <c r="G73" s="320"/>
      <c r="H73" s="320"/>
      <c r="I73" s="320"/>
      <c r="J73" s="320"/>
      <c r="K73" s="320"/>
      <c r="L73" s="597"/>
      <c r="M73" s="320"/>
      <c r="N73" s="320"/>
      <c r="O73" s="320"/>
      <c r="P73" s="320"/>
      <c r="Q73" s="320"/>
      <c r="R73" s="320"/>
      <c r="S73" s="320"/>
      <c r="T73" s="320"/>
      <c r="U73" s="320"/>
      <c r="V73" s="320"/>
      <c r="W73" s="320"/>
      <c r="X73" s="320"/>
      <c r="Y73" s="320"/>
      <c r="Z73" s="320"/>
      <c r="AA73" s="320"/>
      <c r="AB73" s="320"/>
      <c r="AC73" s="320"/>
      <c r="AD73" s="320"/>
      <c r="AE73" s="320"/>
      <c r="AF73" s="320"/>
      <c r="AG73" s="320"/>
      <c r="AH73" s="320"/>
      <c r="AI73" s="320"/>
      <c r="AJ73" s="320"/>
      <c r="AK73" s="320"/>
    </row>
    <row r="74" spans="1:38">
      <c r="A74" s="77" t="s">
        <v>492</v>
      </c>
      <c r="B74" s="358">
        <v>0.5</v>
      </c>
      <c r="C74" s="358">
        <v>0.5</v>
      </c>
      <c r="D74" s="358">
        <v>0.5</v>
      </c>
      <c r="E74" s="358">
        <v>0.3</v>
      </c>
      <c r="F74" s="358">
        <v>0.3</v>
      </c>
      <c r="G74" s="358">
        <v>0.3</v>
      </c>
      <c r="H74" s="358">
        <v>0.3</v>
      </c>
      <c r="I74" s="358">
        <v>0.34</v>
      </c>
      <c r="J74" s="358">
        <v>0.34371834859623779</v>
      </c>
      <c r="K74" s="358">
        <v>0.3478287726829033</v>
      </c>
      <c r="L74" s="596">
        <v>0.3527122461311783</v>
      </c>
      <c r="M74" s="537">
        <v>0.35736804778010989</v>
      </c>
      <c r="N74" s="537">
        <v>0.36194235879169528</v>
      </c>
      <c r="O74" s="537">
        <v>0.36624947286131643</v>
      </c>
      <c r="P74" s="537">
        <v>0.37038809190464933</v>
      </c>
      <c r="Q74" s="537">
        <v>0.37438828329721957</v>
      </c>
      <c r="R74" s="537">
        <v>0.37828192144351058</v>
      </c>
      <c r="S74" s="537">
        <v>0.38221605342652304</v>
      </c>
      <c r="T74" s="537">
        <v>0.38615287877681626</v>
      </c>
      <c r="U74" s="537">
        <v>0.39009163814033976</v>
      </c>
      <c r="V74" s="537">
        <v>0.3939925545217432</v>
      </c>
      <c r="W74" s="537">
        <v>0.39785368155605638</v>
      </c>
      <c r="X74" s="537">
        <v>0.40171286226715003</v>
      </c>
      <c r="Y74" s="537">
        <v>0.40552913445868799</v>
      </c>
      <c r="Z74" s="537">
        <v>0.40930055540915383</v>
      </c>
      <c r="AA74" s="537">
        <v>0.41306612051891806</v>
      </c>
      <c r="AB74" s="537">
        <v>0.41674240899153642</v>
      </c>
      <c r="AC74" s="537">
        <v>0.42036806794976284</v>
      </c>
      <c r="AD74" s="537">
        <v>0.42394119652733575</v>
      </c>
      <c r="AE74" s="537">
        <v>0.42745990845851262</v>
      </c>
      <c r="AF74" s="537">
        <v>0.4309223337170266</v>
      </c>
      <c r="AG74" s="537">
        <v>0.43432662015339113</v>
      </c>
      <c r="AH74" s="537">
        <v>0.4376709351285723</v>
      </c>
      <c r="AI74" s="537">
        <v>0.44099723423554954</v>
      </c>
      <c r="AJ74" s="537">
        <v>0.44430471349231621</v>
      </c>
      <c r="AK74" s="537">
        <v>0.44754813790081011</v>
      </c>
    </row>
    <row r="75" spans="1:38">
      <c r="A75" s="77" t="s">
        <v>493</v>
      </c>
      <c r="B75" s="358">
        <v>1</v>
      </c>
      <c r="C75" s="358">
        <v>2.1</v>
      </c>
      <c r="D75" s="358">
        <v>0.8</v>
      </c>
      <c r="E75" s="358">
        <v>0.9</v>
      </c>
      <c r="F75" s="358">
        <v>0.5</v>
      </c>
      <c r="G75" s="358">
        <v>0.5</v>
      </c>
      <c r="H75" s="358">
        <v>0.5</v>
      </c>
      <c r="I75" s="358">
        <v>0.64</v>
      </c>
      <c r="J75" s="358">
        <v>0.64699924441644752</v>
      </c>
      <c r="K75" s="358">
        <v>0.654736513285465</v>
      </c>
      <c r="L75" s="596">
        <v>0.66392893389398266</v>
      </c>
      <c r="M75" s="537">
        <v>0.6726927958213833</v>
      </c>
      <c r="N75" s="537">
        <v>0.68130326360789695</v>
      </c>
      <c r="O75" s="537">
        <v>0.68941077244483084</v>
      </c>
      <c r="P75" s="537">
        <v>0.69720111417345754</v>
      </c>
      <c r="Q75" s="537">
        <v>0.7047308862065309</v>
      </c>
      <c r="R75" s="537">
        <v>0.71206008742307869</v>
      </c>
      <c r="S75" s="537">
        <v>0.71946551233227862</v>
      </c>
      <c r="T75" s="537">
        <v>0.72687600710930111</v>
      </c>
      <c r="U75" s="537">
        <v>0.734290142381816</v>
      </c>
      <c r="V75" s="537">
        <v>0.74163304380563422</v>
      </c>
      <c r="W75" s="537">
        <v>0.7489010476349296</v>
      </c>
      <c r="X75" s="537">
        <v>0.75616538779698828</v>
      </c>
      <c r="Y75" s="537">
        <v>0.7633489589810597</v>
      </c>
      <c r="Z75" s="537">
        <v>0.77044810429958366</v>
      </c>
      <c r="AA75" s="537">
        <v>0.77753622685913981</v>
      </c>
      <c r="AB75" s="537">
        <v>0.78445629927818616</v>
      </c>
      <c r="AC75" s="537">
        <v>0.79128106908190643</v>
      </c>
      <c r="AD75" s="537">
        <v>0.7980069581691025</v>
      </c>
      <c r="AE75" s="537">
        <v>0.80463041592190609</v>
      </c>
      <c r="AF75" s="537">
        <v>0.81114792229087362</v>
      </c>
      <c r="AG75" s="537">
        <v>0.81755599087697151</v>
      </c>
      <c r="AH75" s="537">
        <v>0.82385117200672431</v>
      </c>
      <c r="AI75" s="537">
        <v>0.83011244091397562</v>
      </c>
      <c r="AJ75" s="537">
        <v>0.83633828422083045</v>
      </c>
      <c r="AK75" s="537">
        <v>0.8424435536956425</v>
      </c>
    </row>
    <row r="76" spans="1:38">
      <c r="A76" s="77" t="s">
        <v>494</v>
      </c>
      <c r="B76" s="358">
        <v>0</v>
      </c>
      <c r="C76" s="358">
        <v>0</v>
      </c>
      <c r="D76" s="358">
        <v>0</v>
      </c>
      <c r="E76" s="358">
        <v>0</v>
      </c>
      <c r="F76" s="358">
        <v>0</v>
      </c>
      <c r="G76" s="358">
        <v>0</v>
      </c>
      <c r="H76" s="358">
        <v>0</v>
      </c>
      <c r="I76" s="358">
        <v>0</v>
      </c>
      <c r="J76" s="358">
        <v>0</v>
      </c>
      <c r="K76" s="358">
        <v>0</v>
      </c>
      <c r="L76" s="596">
        <v>0</v>
      </c>
      <c r="M76" s="537">
        <v>0</v>
      </c>
      <c r="N76" s="537">
        <v>0</v>
      </c>
      <c r="O76" s="537">
        <v>0</v>
      </c>
      <c r="P76" s="537">
        <v>0</v>
      </c>
      <c r="Q76" s="537">
        <v>0</v>
      </c>
      <c r="R76" s="537">
        <v>0</v>
      </c>
      <c r="S76" s="537">
        <v>0</v>
      </c>
      <c r="T76" s="537">
        <v>0</v>
      </c>
      <c r="U76" s="537">
        <v>0</v>
      </c>
      <c r="V76" s="537">
        <v>0</v>
      </c>
      <c r="W76" s="537">
        <v>0</v>
      </c>
      <c r="X76" s="537">
        <v>0</v>
      </c>
      <c r="Y76" s="537">
        <v>0</v>
      </c>
      <c r="Z76" s="537">
        <v>0</v>
      </c>
      <c r="AA76" s="537">
        <v>0</v>
      </c>
      <c r="AB76" s="537">
        <v>0</v>
      </c>
      <c r="AC76" s="537">
        <v>0</v>
      </c>
      <c r="AD76" s="537">
        <v>0</v>
      </c>
      <c r="AE76" s="537">
        <v>0</v>
      </c>
      <c r="AF76" s="537">
        <v>0</v>
      </c>
      <c r="AG76" s="537">
        <v>0</v>
      </c>
      <c r="AH76" s="537">
        <v>0</v>
      </c>
      <c r="AI76" s="537">
        <v>0</v>
      </c>
      <c r="AJ76" s="537">
        <v>0</v>
      </c>
      <c r="AK76" s="537">
        <v>0</v>
      </c>
    </row>
    <row r="77" spans="1:38">
      <c r="A77" s="77" t="s">
        <v>495</v>
      </c>
      <c r="B77" s="358">
        <v>0.1</v>
      </c>
      <c r="C77" s="358">
        <v>0.1</v>
      </c>
      <c r="D77" s="358">
        <v>0.1</v>
      </c>
      <c r="E77" s="358">
        <v>0.1</v>
      </c>
      <c r="F77" s="358">
        <v>0.1</v>
      </c>
      <c r="G77" s="358">
        <v>0.1</v>
      </c>
      <c r="H77" s="358">
        <v>0.1</v>
      </c>
      <c r="I77" s="358">
        <v>0.1</v>
      </c>
      <c r="J77" s="358">
        <v>0.10109363194006993</v>
      </c>
      <c r="K77" s="358">
        <v>0.10230258020085391</v>
      </c>
      <c r="L77" s="596">
        <v>0.1037388959209348</v>
      </c>
      <c r="M77" s="537">
        <v>0.10510824934709113</v>
      </c>
      <c r="N77" s="537">
        <v>0.1064536349387339</v>
      </c>
      <c r="O77" s="537">
        <v>0.10772043319450482</v>
      </c>
      <c r="P77" s="537">
        <v>0.10893767408960274</v>
      </c>
      <c r="Q77" s="537">
        <v>0.11011420096977045</v>
      </c>
      <c r="R77" s="537">
        <v>0.11125938865985606</v>
      </c>
      <c r="S77" s="537">
        <v>0.11241648630191854</v>
      </c>
      <c r="T77" s="537">
        <v>0.11357437611082831</v>
      </c>
      <c r="U77" s="537">
        <v>0.11473283474715874</v>
      </c>
      <c r="V77" s="537">
        <v>0.11588016309463034</v>
      </c>
      <c r="W77" s="537">
        <v>0.11701578869295776</v>
      </c>
      <c r="X77" s="537">
        <v>0.11815084184327942</v>
      </c>
      <c r="Y77" s="537">
        <v>0.11927327484079059</v>
      </c>
      <c r="Z77" s="537">
        <v>0.12038251629680995</v>
      </c>
      <c r="AA77" s="537">
        <v>0.1214900354467406</v>
      </c>
      <c r="AB77" s="537">
        <v>0.12257129676221659</v>
      </c>
      <c r="AC77" s="537">
        <v>0.12363766704404788</v>
      </c>
      <c r="AD77" s="537">
        <v>0.12468858721392227</v>
      </c>
      <c r="AE77" s="537">
        <v>0.12572350248779782</v>
      </c>
      <c r="AF77" s="537">
        <v>0.126741862857949</v>
      </c>
      <c r="AG77" s="537">
        <v>0.1277431235745268</v>
      </c>
      <c r="AH77" s="537">
        <v>0.12872674562605066</v>
      </c>
      <c r="AI77" s="537">
        <v>0.12970506889280869</v>
      </c>
      <c r="AJ77" s="537">
        <v>0.13067785690950476</v>
      </c>
      <c r="AK77" s="537">
        <v>0.13163180526494414</v>
      </c>
    </row>
    <row r="78" spans="1:38">
      <c r="A78" s="77" t="s">
        <v>496</v>
      </c>
      <c r="B78" s="358">
        <v>2.1</v>
      </c>
      <c r="C78" s="358">
        <v>2.2000000000000002</v>
      </c>
      <c r="D78" s="358">
        <v>2.2000000000000002</v>
      </c>
      <c r="E78" s="358">
        <v>2.2000000000000002</v>
      </c>
      <c r="F78" s="358">
        <v>2.2999999999999998</v>
      </c>
      <c r="G78" s="358">
        <v>2.5</v>
      </c>
      <c r="H78" s="358">
        <v>2.6</v>
      </c>
      <c r="I78" s="358">
        <v>2.36</v>
      </c>
      <c r="J78" s="358">
        <v>2.3858097137856502</v>
      </c>
      <c r="K78" s="358">
        <v>2.4143408927401517</v>
      </c>
      <c r="L78" s="596">
        <v>2.4482379437340609</v>
      </c>
      <c r="M78" s="537">
        <v>2.4805546845913504</v>
      </c>
      <c r="N78" s="537">
        <v>2.5123057845541199</v>
      </c>
      <c r="O78" s="537">
        <v>2.5422022233903134</v>
      </c>
      <c r="P78" s="537">
        <v>2.5709291085146244</v>
      </c>
      <c r="Q78" s="537">
        <v>2.5986951428865823</v>
      </c>
      <c r="R78" s="537">
        <v>2.6257215723726026</v>
      </c>
      <c r="S78" s="537">
        <v>2.6530290767252773</v>
      </c>
      <c r="T78" s="537">
        <v>2.6803552762155478</v>
      </c>
      <c r="U78" s="537">
        <v>2.707694900032946</v>
      </c>
      <c r="V78" s="537">
        <v>2.734771849033276</v>
      </c>
      <c r="W78" s="537">
        <v>2.7615726131538025</v>
      </c>
      <c r="X78" s="537">
        <v>2.7883598675013941</v>
      </c>
      <c r="Y78" s="537">
        <v>2.8148492862426573</v>
      </c>
      <c r="Z78" s="537">
        <v>2.8410273846047143</v>
      </c>
      <c r="AA78" s="537">
        <v>2.8671648365430777</v>
      </c>
      <c r="AB78" s="537">
        <v>2.8926826035883111</v>
      </c>
      <c r="AC78" s="537">
        <v>2.9178489422395297</v>
      </c>
      <c r="AD78" s="537">
        <v>2.9426506582485654</v>
      </c>
      <c r="AE78" s="537">
        <v>2.9670746587120282</v>
      </c>
      <c r="AF78" s="537">
        <v>2.9911079634475963</v>
      </c>
      <c r="AG78" s="537">
        <v>3.014737716358832</v>
      </c>
      <c r="AH78" s="537">
        <v>3.0379511967747956</v>
      </c>
      <c r="AI78" s="537">
        <v>3.0610396258702846</v>
      </c>
      <c r="AJ78" s="537">
        <v>3.0839974230643121</v>
      </c>
      <c r="AK78" s="537">
        <v>3.1065106042526813</v>
      </c>
    </row>
    <row r="79" spans="1:38">
      <c r="A79" s="77" t="s">
        <v>497</v>
      </c>
      <c r="B79" s="358">
        <v>0.1</v>
      </c>
      <c r="C79" s="358">
        <v>0.1</v>
      </c>
      <c r="D79" s="358">
        <v>0.1</v>
      </c>
      <c r="E79" s="358">
        <v>0.1</v>
      </c>
      <c r="F79" s="358">
        <v>0.1</v>
      </c>
      <c r="G79" s="358">
        <v>0.1</v>
      </c>
      <c r="H79" s="358">
        <v>0.1</v>
      </c>
      <c r="I79" s="358">
        <v>0.1</v>
      </c>
      <c r="J79" s="358">
        <v>0.10109363194006993</v>
      </c>
      <c r="K79" s="358">
        <v>0.10230258020085391</v>
      </c>
      <c r="L79" s="596">
        <v>0.1037388959209348</v>
      </c>
      <c r="M79" s="537">
        <v>0.10510824934709113</v>
      </c>
      <c r="N79" s="537">
        <v>0.1064536349387339</v>
      </c>
      <c r="O79" s="537">
        <v>0.10772043319450482</v>
      </c>
      <c r="P79" s="537">
        <v>0.10893767408960274</v>
      </c>
      <c r="Q79" s="537">
        <v>0.11011420096977045</v>
      </c>
      <c r="R79" s="537">
        <v>0.11125938865985606</v>
      </c>
      <c r="S79" s="537">
        <v>0.11241648630191854</v>
      </c>
      <c r="T79" s="537">
        <v>0.11357437611082831</v>
      </c>
      <c r="U79" s="537">
        <v>0.11473283474715874</v>
      </c>
      <c r="V79" s="537">
        <v>0.11588016309463034</v>
      </c>
      <c r="W79" s="537">
        <v>0.11701578869295776</v>
      </c>
      <c r="X79" s="537">
        <v>0.11815084184327942</v>
      </c>
      <c r="Y79" s="537">
        <v>0.11927327484079059</v>
      </c>
      <c r="Z79" s="537">
        <v>0.12038251629680995</v>
      </c>
      <c r="AA79" s="537">
        <v>0.1214900354467406</v>
      </c>
      <c r="AB79" s="537">
        <v>0.12257129676221659</v>
      </c>
      <c r="AC79" s="537">
        <v>0.12363766704404788</v>
      </c>
      <c r="AD79" s="537">
        <v>0.12468858721392227</v>
      </c>
      <c r="AE79" s="537">
        <v>0.12572350248779782</v>
      </c>
      <c r="AF79" s="537">
        <v>0.126741862857949</v>
      </c>
      <c r="AG79" s="537">
        <v>0.1277431235745268</v>
      </c>
      <c r="AH79" s="537">
        <v>0.12872674562605066</v>
      </c>
      <c r="AI79" s="537">
        <v>0.12970506889280869</v>
      </c>
      <c r="AJ79" s="537">
        <v>0.13067785690950476</v>
      </c>
      <c r="AK79" s="537">
        <v>0.13163180526494414</v>
      </c>
    </row>
    <row r="80" spans="1:38">
      <c r="A80" s="77" t="s">
        <v>498</v>
      </c>
      <c r="B80" s="358">
        <v>0.3</v>
      </c>
      <c r="C80" s="358">
        <v>0.3</v>
      </c>
      <c r="D80" s="358">
        <v>0.3</v>
      </c>
      <c r="E80" s="358">
        <v>0.3</v>
      </c>
      <c r="F80" s="358">
        <v>0.3</v>
      </c>
      <c r="G80" s="358">
        <v>0.3</v>
      </c>
      <c r="H80" s="358">
        <v>0.2</v>
      </c>
      <c r="I80" s="358">
        <v>0.27999999999999997</v>
      </c>
      <c r="J80" s="358">
        <v>0.28306216943219575</v>
      </c>
      <c r="K80" s="358">
        <v>0.28644722456239091</v>
      </c>
      <c r="L80" s="596">
        <v>0.2904689085786174</v>
      </c>
      <c r="M80" s="537">
        <v>0.29430309817185513</v>
      </c>
      <c r="N80" s="537">
        <v>0.29807017782845491</v>
      </c>
      <c r="O80" s="537">
        <v>0.30161721294461347</v>
      </c>
      <c r="P80" s="537">
        <v>0.30502548745088764</v>
      </c>
      <c r="Q80" s="537">
        <v>0.30831976271535722</v>
      </c>
      <c r="R80" s="537">
        <v>0.31152628824759693</v>
      </c>
      <c r="S80" s="537">
        <v>0.31476616164537186</v>
      </c>
      <c r="T80" s="537">
        <v>0.31800825311031922</v>
      </c>
      <c r="U80" s="537">
        <v>0.32125193729204443</v>
      </c>
      <c r="V80" s="537">
        <v>0.32446445666496493</v>
      </c>
      <c r="W80" s="537">
        <v>0.32764420834028163</v>
      </c>
      <c r="X80" s="537">
        <v>0.33082235716118236</v>
      </c>
      <c r="Y80" s="537">
        <v>0.33396516955421357</v>
      </c>
      <c r="Z80" s="537">
        <v>0.33707104563106777</v>
      </c>
      <c r="AA80" s="537">
        <v>0.34017209925087366</v>
      </c>
      <c r="AB80" s="537">
        <v>0.34319963093420641</v>
      </c>
      <c r="AC80" s="537">
        <v>0.34618546772333403</v>
      </c>
      <c r="AD80" s="537">
        <v>0.3491280441989823</v>
      </c>
      <c r="AE80" s="537">
        <v>0.35202580696583385</v>
      </c>
      <c r="AF80" s="537">
        <v>0.35487721600225713</v>
      </c>
      <c r="AG80" s="537">
        <v>0.357680746008675</v>
      </c>
      <c r="AH80" s="537">
        <v>0.3604348877529418</v>
      </c>
      <c r="AI80" s="537">
        <v>0.3631741928998643</v>
      </c>
      <c r="AJ80" s="537">
        <v>0.36589799934661327</v>
      </c>
      <c r="AK80" s="537">
        <v>0.36856905474184354</v>
      </c>
    </row>
    <row r="81" spans="1:37">
      <c r="L81" s="593"/>
    </row>
    <row r="82" spans="1:37">
      <c r="L82" s="593"/>
    </row>
    <row r="83" spans="1:37">
      <c r="L83" s="593"/>
    </row>
    <row r="84" spans="1:37">
      <c r="A84" s="441" t="s">
        <v>33</v>
      </c>
      <c r="B84" s="443">
        <v>0.14251605938037251</v>
      </c>
      <c r="C84" s="443">
        <v>0.14319502873841108</v>
      </c>
      <c r="D84" s="443">
        <v>0.12815623854600711</v>
      </c>
      <c r="E84" s="443">
        <v>0.12116402023672831</v>
      </c>
      <c r="F84" s="443">
        <v>0.10076782231487014</v>
      </c>
      <c r="G84" s="443">
        <v>0.10476499589127861</v>
      </c>
      <c r="H84" s="443">
        <v>9.8183512686020713E-2</v>
      </c>
      <c r="I84" s="443">
        <v>9.8228069748587082E-2</v>
      </c>
      <c r="J84" s="443">
        <v>0.10612682174898894</v>
      </c>
      <c r="K84" s="538">
        <v>0.10002635228734523</v>
      </c>
      <c r="L84" s="596">
        <v>0.10301033746827302</v>
      </c>
      <c r="M84" s="443">
        <v>0.10400364311448713</v>
      </c>
      <c r="N84" s="443">
        <v>0.10694361653444849</v>
      </c>
      <c r="O84" s="443">
        <v>9.9456053964636984E-2</v>
      </c>
      <c r="P84" s="443">
        <v>0.10246126072692227</v>
      </c>
      <c r="Q84" s="443">
        <v>0.10400006612292551</v>
      </c>
      <c r="R84" s="443">
        <v>0.10545536839472867</v>
      </c>
      <c r="S84" s="443">
        <v>0.10666946725242354</v>
      </c>
      <c r="T84" s="443">
        <v>0.10780145966561036</v>
      </c>
      <c r="U84" s="443">
        <v>0.10762537146930473</v>
      </c>
      <c r="V84" s="443">
        <v>0.10629229100751984</v>
      </c>
      <c r="W84" s="443">
        <v>0.10630516596359303</v>
      </c>
      <c r="X84" s="443">
        <v>0.10528295161922767</v>
      </c>
      <c r="Y84" s="443">
        <v>0.10482237032145518</v>
      </c>
      <c r="Z84" s="443">
        <v>0.10463035570600146</v>
      </c>
      <c r="AA84" s="443">
        <v>0.10484487041534919</v>
      </c>
      <c r="AB84" s="443">
        <v>0.10633079544302435</v>
      </c>
      <c r="AC84" s="443">
        <v>0.10768855228718888</v>
      </c>
      <c r="AD84" s="443">
        <v>0.10839850042706316</v>
      </c>
      <c r="AE84" s="443">
        <v>0.10868651883421306</v>
      </c>
      <c r="AF84" s="443">
        <v>0.10974399374010171</v>
      </c>
      <c r="AG84" s="443">
        <v>0.11156876651870042</v>
      </c>
      <c r="AH84" s="443">
        <v>0.11345859435942453</v>
      </c>
      <c r="AI84" s="443">
        <v>0.11479412361372095</v>
      </c>
      <c r="AJ84" s="443">
        <v>0.11613770250618771</v>
      </c>
      <c r="AK84" s="443">
        <v>0.11774524096161366</v>
      </c>
    </row>
    <row r="85" spans="1:37">
      <c r="A85" s="441" t="s">
        <v>1160</v>
      </c>
      <c r="B85" s="453">
        <v>0.75</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AL85"/>
  <sheetViews>
    <sheetView topLeftCell="A45" workbookViewId="0">
      <pane xSplit="1" topLeftCell="F1" activePane="topRight" state="frozen"/>
      <selection pane="topRight" activeCell="Q70" sqref="Q70"/>
    </sheetView>
  </sheetViews>
  <sheetFormatPr defaultColWidth="9.140625" defaultRowHeight="12.75"/>
  <cols>
    <col min="1" max="1" width="35.5703125" style="57" customWidth="1"/>
    <col min="2" max="37" width="8.7109375" style="57" customWidth="1"/>
    <col min="38" max="16384" width="9.140625" style="57"/>
  </cols>
  <sheetData>
    <row r="1" spans="1:37" ht="27">
      <c r="A1" s="110" t="s">
        <v>461</v>
      </c>
    </row>
    <row r="2" spans="1:37" ht="15.75">
      <c r="A2" s="64" t="s">
        <v>454</v>
      </c>
      <c r="C2" s="58" t="s">
        <v>1076</v>
      </c>
      <c r="L2" s="425"/>
    </row>
    <row r="3" spans="1:37" ht="15.75">
      <c r="A3" s="64" t="s">
        <v>380</v>
      </c>
      <c r="C3" s="58" t="s">
        <v>326</v>
      </c>
      <c r="K3" s="2"/>
      <c r="L3" s="2"/>
    </row>
    <row r="4" spans="1:37">
      <c r="B4" s="57" t="s">
        <v>21</v>
      </c>
      <c r="C4" s="57" t="s">
        <v>21</v>
      </c>
      <c r="D4" s="57" t="s">
        <v>21</v>
      </c>
      <c r="E4" s="57" t="s">
        <v>21</v>
      </c>
      <c r="F4" s="57" t="s">
        <v>21</v>
      </c>
      <c r="G4" s="57" t="s">
        <v>21</v>
      </c>
      <c r="H4" s="57" t="s">
        <v>21</v>
      </c>
      <c r="L4" s="18" t="s">
        <v>363</v>
      </c>
      <c r="M4" s="303" t="s">
        <v>364</v>
      </c>
    </row>
    <row r="5" spans="1:37" ht="13.5">
      <c r="A5" s="59" t="s">
        <v>22</v>
      </c>
      <c r="B5" s="59">
        <v>2005</v>
      </c>
      <c r="C5" s="59">
        <v>2006</v>
      </c>
      <c r="D5" s="59">
        <v>2007</v>
      </c>
      <c r="E5" s="59">
        <v>2008</v>
      </c>
      <c r="F5" s="59">
        <v>2009</v>
      </c>
      <c r="G5" s="59">
        <v>2010</v>
      </c>
      <c r="H5" s="59">
        <v>2011</v>
      </c>
      <c r="I5" s="317">
        <v>2012</v>
      </c>
      <c r="J5" s="318">
        <v>2013</v>
      </c>
      <c r="K5" s="59">
        <v>2014</v>
      </c>
      <c r="L5" s="59">
        <v>2015</v>
      </c>
      <c r="M5" s="59">
        <v>2016</v>
      </c>
      <c r="N5" s="59">
        <v>2017</v>
      </c>
      <c r="O5" s="59">
        <v>2018</v>
      </c>
      <c r="P5" s="59">
        <v>2019</v>
      </c>
      <c r="Q5" s="59">
        <v>2020</v>
      </c>
      <c r="R5" s="59">
        <v>2021</v>
      </c>
      <c r="S5" s="59">
        <v>2022</v>
      </c>
      <c r="T5" s="59">
        <v>2023</v>
      </c>
      <c r="U5" s="59">
        <v>2024</v>
      </c>
      <c r="V5" s="59">
        <v>2025</v>
      </c>
      <c r="W5" s="59">
        <v>2026</v>
      </c>
      <c r="X5" s="59">
        <v>2027</v>
      </c>
      <c r="Y5" s="59">
        <v>2028</v>
      </c>
      <c r="Z5" s="59">
        <v>2029</v>
      </c>
      <c r="AA5" s="59">
        <v>2030</v>
      </c>
      <c r="AB5" s="59">
        <v>2031</v>
      </c>
      <c r="AC5" s="59">
        <v>2032</v>
      </c>
      <c r="AD5" s="59">
        <v>2033</v>
      </c>
      <c r="AE5" s="59">
        <v>2034</v>
      </c>
      <c r="AF5" s="59">
        <v>2035</v>
      </c>
      <c r="AG5" s="59">
        <v>2036</v>
      </c>
      <c r="AH5" s="59">
        <v>2037</v>
      </c>
      <c r="AI5" s="59">
        <v>2038</v>
      </c>
      <c r="AJ5" s="59">
        <v>2039</v>
      </c>
      <c r="AK5" s="59">
        <v>2040</v>
      </c>
    </row>
    <row r="6" spans="1:37">
      <c r="A6" s="57" t="s">
        <v>78</v>
      </c>
      <c r="I6" s="355"/>
      <c r="K6" s="355"/>
      <c r="L6" s="588"/>
    </row>
    <row r="7" spans="1:37">
      <c r="A7" s="57" t="s">
        <v>24</v>
      </c>
      <c r="B7" s="408">
        <v>5.8942762385447468E-3</v>
      </c>
      <c r="C7" s="408">
        <v>6.2467946001240303E-3</v>
      </c>
      <c r="D7" s="408">
        <v>7.438418335187668E-3</v>
      </c>
      <c r="E7" s="408">
        <v>7.3868315449196285E-3</v>
      </c>
      <c r="F7" s="408">
        <v>8.1507128623502095E-3</v>
      </c>
      <c r="G7" s="408">
        <v>8.8649914968307545E-3</v>
      </c>
      <c r="H7" s="408">
        <v>8.755865594340672E-3</v>
      </c>
      <c r="I7" s="408">
        <v>6.7459648812051402E-3</v>
      </c>
      <c r="J7" s="408">
        <v>5.5639253246374965E-3</v>
      </c>
      <c r="K7" s="423">
        <v>6.0565345818184586E-3</v>
      </c>
      <c r="L7" s="589">
        <v>6.9229472539708743E-3</v>
      </c>
      <c r="M7" s="450">
        <v>5.454509427917956E-3</v>
      </c>
      <c r="N7" s="450">
        <v>6.6453706401824637E-3</v>
      </c>
      <c r="O7" s="450">
        <v>6.9711610617983113E-3</v>
      </c>
      <c r="P7" s="450">
        <v>6.9007252520092571E-3</v>
      </c>
      <c r="Q7" s="450">
        <v>6.8463607114960167E-3</v>
      </c>
      <c r="R7" s="450">
        <v>6.8066785651359867E-3</v>
      </c>
      <c r="S7" s="450">
        <v>6.7620361504809523E-3</v>
      </c>
      <c r="T7" s="450">
        <v>6.7221555933891222E-3</v>
      </c>
      <c r="U7" s="450">
        <v>6.6923939836190998E-3</v>
      </c>
      <c r="V7" s="450">
        <v>6.6648148918988783E-3</v>
      </c>
      <c r="W7" s="450">
        <v>6.6336644070062543E-3</v>
      </c>
      <c r="X7" s="450">
        <v>6.5973552430868276E-3</v>
      </c>
      <c r="Y7" s="450">
        <v>6.5616413113628001E-3</v>
      </c>
      <c r="Z7" s="450">
        <v>6.5269194332977735E-3</v>
      </c>
      <c r="AA7" s="450">
        <v>6.491602323037346E-3</v>
      </c>
      <c r="AB7" s="450">
        <v>6.4479519620413124E-3</v>
      </c>
      <c r="AC7" s="450">
        <v>6.4007302078728763E-3</v>
      </c>
      <c r="AD7" s="450">
        <v>6.3594607756584445E-3</v>
      </c>
      <c r="AE7" s="450">
        <v>6.322556379543617E-3</v>
      </c>
      <c r="AF7" s="450">
        <v>6.2876360907467913E-3</v>
      </c>
      <c r="AG7" s="450">
        <v>6.2483507658503603E-3</v>
      </c>
      <c r="AH7" s="450">
        <v>6.2126368341263337E-3</v>
      </c>
      <c r="AI7" s="450">
        <v>6.1789070097203079E-3</v>
      </c>
      <c r="AJ7" s="450">
        <v>6.1457724175096821E-3</v>
      </c>
      <c r="AK7" s="450">
        <v>6.1162092184714597E-3</v>
      </c>
    </row>
    <row r="8" spans="1:37">
      <c r="A8" s="57" t="s">
        <v>56</v>
      </c>
      <c r="B8" s="408">
        <v>5.8034862224497956E-4</v>
      </c>
      <c r="C8" s="408">
        <v>6.231536076880495E-4</v>
      </c>
      <c r="D8" s="408">
        <v>3.5001391495894139E-4</v>
      </c>
      <c r="E8" s="408">
        <v>2.6297341758819938E-4</v>
      </c>
      <c r="F8" s="408">
        <v>2.7778882139598525E-4</v>
      </c>
      <c r="G8" s="408">
        <v>2.5186186473235997E-4</v>
      </c>
      <c r="H8" s="408">
        <v>2.2037913164081496E-4</v>
      </c>
      <c r="I8" s="408">
        <v>1.8519254759732348E-4</v>
      </c>
      <c r="J8" s="408">
        <v>0</v>
      </c>
      <c r="K8" s="423">
        <v>5.5387401635138217E-5</v>
      </c>
      <c r="L8" s="589">
        <v>7.1113938277372215E-5</v>
      </c>
      <c r="M8" s="450">
        <v>7.1113938277372215E-5</v>
      </c>
      <c r="N8" s="450">
        <v>9.1485118513077792E-5</v>
      </c>
      <c r="O8" s="450">
        <v>1.0370782665450115E-4</v>
      </c>
      <c r="P8" s="450">
        <v>9.7966857678984112E-5</v>
      </c>
      <c r="Q8" s="450">
        <v>9.3151851441453708E-5</v>
      </c>
      <c r="R8" s="450">
        <v>8.907761539431259E-5</v>
      </c>
      <c r="S8" s="450">
        <v>8.5373764442366122E-5</v>
      </c>
      <c r="T8" s="450">
        <v>8.1855106038016985E-5</v>
      </c>
      <c r="U8" s="450">
        <v>7.870683272886247E-5</v>
      </c>
      <c r="V8" s="450">
        <v>7.5558559419707983E-5</v>
      </c>
      <c r="W8" s="450">
        <v>7.2410286110553482E-5</v>
      </c>
      <c r="X8" s="450">
        <v>6.9447205348996312E-5</v>
      </c>
      <c r="Y8" s="450">
        <v>6.6669317135036461E-5</v>
      </c>
      <c r="Z8" s="450">
        <v>6.4076621468673928E-5</v>
      </c>
      <c r="AA8" s="450">
        <v>6.1483925802311394E-5</v>
      </c>
      <c r="AB8" s="450">
        <v>5.8891230135948861E-5</v>
      </c>
      <c r="AC8" s="450">
        <v>5.6483727017183659E-5</v>
      </c>
      <c r="AD8" s="450">
        <v>5.4261416446015782E-5</v>
      </c>
      <c r="AE8" s="450">
        <v>5.2039105874847898E-5</v>
      </c>
      <c r="AF8" s="450">
        <v>5.0001987851277339E-5</v>
      </c>
      <c r="AG8" s="450">
        <v>4.796486982770678E-5</v>
      </c>
      <c r="AH8" s="450">
        <v>4.5927751804136228E-5</v>
      </c>
      <c r="AI8" s="450">
        <v>4.4075826328162993E-5</v>
      </c>
      <c r="AJ8" s="450">
        <v>4.2223900852189759E-5</v>
      </c>
      <c r="AK8" s="450">
        <v>4.0557167923813843E-5</v>
      </c>
    </row>
    <row r="9" spans="1:37">
      <c r="A9" s="57" t="s">
        <v>25</v>
      </c>
      <c r="B9" s="408">
        <v>6.8304536086320998E-3</v>
      </c>
      <c r="C9" s="408">
        <v>7.422900146842013E-3</v>
      </c>
      <c r="D9" s="408">
        <v>5.5950143999999999E-3</v>
      </c>
      <c r="E9" s="408">
        <v>5.7114527999999999E-3</v>
      </c>
      <c r="F9" s="408">
        <v>6.0786816E-3</v>
      </c>
      <c r="G9" s="408">
        <v>5.4427488000000001E-3</v>
      </c>
      <c r="H9" s="408">
        <v>4.8157727999999997E-3</v>
      </c>
      <c r="I9" s="408">
        <v>4.1798399999999998E-3</v>
      </c>
      <c r="J9" s="408">
        <v>3.2891403800113603E-3</v>
      </c>
      <c r="K9" s="423">
        <v>3.5525568321251233E-3</v>
      </c>
      <c r="L9" s="589">
        <v>3.75409344E-3</v>
      </c>
      <c r="M9" s="450">
        <v>1.3545667200000001E-3</v>
      </c>
      <c r="N9" s="450">
        <v>3.9087475199999994E-3</v>
      </c>
      <c r="O9" s="450">
        <v>4.0845993599999998E-3</v>
      </c>
      <c r="P9" s="450">
        <v>4.0132435200000002E-3</v>
      </c>
      <c r="Q9" s="450">
        <v>3.9550243200000001E-3</v>
      </c>
      <c r="R9" s="450">
        <v>3.9042691200000001E-3</v>
      </c>
      <c r="S9" s="450">
        <v>3.8579923199999998E-3</v>
      </c>
      <c r="T9" s="450">
        <v>3.8147011200000002E-3</v>
      </c>
      <c r="U9" s="450">
        <v>3.7737983999999998E-3</v>
      </c>
      <c r="V9" s="450">
        <v>3.7328956799999998E-3</v>
      </c>
      <c r="W9" s="450">
        <v>3.69259008E-3</v>
      </c>
      <c r="X9" s="450">
        <v>3.6534787199999997E-3</v>
      </c>
      <c r="Y9" s="450">
        <v>3.6164572800000002E-3</v>
      </c>
      <c r="Z9" s="450">
        <v>3.5806300800000001E-3</v>
      </c>
      <c r="AA9" s="450">
        <v>3.5456985599999998E-3</v>
      </c>
      <c r="AB9" s="450">
        <v>3.5104684799999999E-3</v>
      </c>
      <c r="AC9" s="450">
        <v>3.4761340800000002E-3</v>
      </c>
      <c r="AD9" s="450">
        <v>3.4447852799999999E-3</v>
      </c>
      <c r="AE9" s="450">
        <v>3.4149292799999999E-3</v>
      </c>
      <c r="AF9" s="450">
        <v>3.3859689600000001E-3</v>
      </c>
      <c r="AG9" s="450">
        <v>3.3564115199999998E-3</v>
      </c>
      <c r="AH9" s="450">
        <v>3.3283468799999998E-3</v>
      </c>
      <c r="AI9" s="450">
        <v>3.3014764800000001E-3</v>
      </c>
      <c r="AJ9" s="450">
        <v>3.2755017599999997E-3</v>
      </c>
      <c r="AK9" s="450">
        <v>3.2498256000000002E-3</v>
      </c>
    </row>
    <row r="10" spans="1:37">
      <c r="A10" s="57" t="s">
        <v>26</v>
      </c>
      <c r="B10" s="408">
        <v>8.4166511630701268E-2</v>
      </c>
      <c r="C10" s="408">
        <v>8.5692120231936994E-2</v>
      </c>
      <c r="D10" s="408">
        <v>8.5412684212981829E-2</v>
      </c>
      <c r="E10" s="408">
        <v>8.7322338930097929E-2</v>
      </c>
      <c r="F10" s="408">
        <v>8.5662978763283465E-2</v>
      </c>
      <c r="G10" s="408">
        <v>8.5290847712305912E-2</v>
      </c>
      <c r="H10" s="408">
        <v>8.9915337498831169E-2</v>
      </c>
      <c r="I10" s="408">
        <v>8.4226102641181549E-2</v>
      </c>
      <c r="J10" s="408">
        <v>8.0242244211655378E-2</v>
      </c>
      <c r="K10" s="423">
        <v>7.3474030813135971E-2</v>
      </c>
      <c r="L10" s="589">
        <v>7.2795057827221066E-2</v>
      </c>
      <c r="M10" s="450">
        <v>7.3522501194843715E-2</v>
      </c>
      <c r="N10" s="450">
        <v>7.7205141870196045E-2</v>
      </c>
      <c r="O10" s="450">
        <v>8.2056824140083029E-2</v>
      </c>
      <c r="P10" s="450">
        <v>8.1900664215362462E-2</v>
      </c>
      <c r="Q10" s="450">
        <v>8.1897152925978906E-2</v>
      </c>
      <c r="R10" s="450">
        <v>8.1943700825138716E-2</v>
      </c>
      <c r="S10" s="450">
        <v>8.2001106771677615E-2</v>
      </c>
      <c r="T10" s="450">
        <v>8.1963210859198762E-2</v>
      </c>
      <c r="U10" s="450">
        <v>8.1917955818301094E-2</v>
      </c>
      <c r="V10" s="450">
        <v>8.1725888216654899E-2</v>
      </c>
      <c r="W10" s="450">
        <v>8.2382777750707278E-2</v>
      </c>
      <c r="X10" s="450">
        <v>8.1994908019198801E-2</v>
      </c>
      <c r="Y10" s="450">
        <v>8.1582614587885807E-2</v>
      </c>
      <c r="Z10" s="450">
        <v>8.1221010466400706E-2</v>
      </c>
      <c r="AA10" s="450">
        <v>8.1204792450977906E-2</v>
      </c>
      <c r="AB10" s="450">
        <v>8.1063111511465544E-2</v>
      </c>
      <c r="AC10" s="450">
        <v>8.0890562717852457E-2</v>
      </c>
      <c r="AD10" s="450">
        <v>8.0690927849347352E-2</v>
      </c>
      <c r="AE10" s="450">
        <v>8.0496640678354811E-2</v>
      </c>
      <c r="AF10" s="450">
        <v>8.0229811093723111E-2</v>
      </c>
      <c r="AG10" s="450">
        <v>7.9927351444460129E-2</v>
      </c>
      <c r="AH10" s="450">
        <v>7.9659189126552038E-2</v>
      </c>
      <c r="AI10" s="450">
        <v>7.9432007436552543E-2</v>
      </c>
      <c r="AJ10" s="450">
        <v>7.9244835572141056E-2</v>
      </c>
      <c r="AK10" s="450">
        <v>7.9082234422044886E-2</v>
      </c>
    </row>
    <row r="11" spans="1:37">
      <c r="A11" s="57" t="s">
        <v>58</v>
      </c>
      <c r="B11" s="408">
        <v>2.5619835112737261E-2</v>
      </c>
      <c r="C11" s="408">
        <v>2.864199903128303E-2</v>
      </c>
      <c r="D11" s="408">
        <v>2.4351163685010991E-2</v>
      </c>
      <c r="E11" s="408">
        <v>2.5910547916754244E-2</v>
      </c>
      <c r="F11" s="408">
        <v>2.4137076390130387E-2</v>
      </c>
      <c r="G11" s="408">
        <v>2.4553740910274364E-2</v>
      </c>
      <c r="H11" s="408">
        <v>4.2340021288398137E-2</v>
      </c>
      <c r="I11" s="408">
        <v>3.4990611636400056E-2</v>
      </c>
      <c r="J11" s="408">
        <v>3.4582573402144538E-2</v>
      </c>
      <c r="K11" s="423">
        <v>2.4137227874880499E-2</v>
      </c>
      <c r="L11" s="589">
        <v>2.2825849259334761E-2</v>
      </c>
      <c r="M11" s="450">
        <v>2.0282123873925417E-2</v>
      </c>
      <c r="N11" s="450">
        <v>2.0698788394069391E-2</v>
      </c>
      <c r="O11" s="450">
        <v>2.4448308672580472E-2</v>
      </c>
      <c r="P11" s="450">
        <v>2.4986519527882466E-2</v>
      </c>
      <c r="Q11" s="450">
        <v>2.4989281944590602E-2</v>
      </c>
      <c r="R11" s="450">
        <v>2.4734218801872637E-2</v>
      </c>
      <c r="S11" s="450">
        <v>2.4352544893365059E-2</v>
      </c>
      <c r="T11" s="450">
        <v>2.3909637414493784E-2</v>
      </c>
      <c r="U11" s="450">
        <v>2.3438645365756454E-2</v>
      </c>
      <c r="V11" s="450">
        <v>2.2998500303593315E-2</v>
      </c>
      <c r="W11" s="450">
        <v>2.2569865311047418E-2</v>
      </c>
      <c r="X11" s="450">
        <v>2.2064803456243062E-2</v>
      </c>
      <c r="Y11" s="450">
        <v>2.1511399309046313E-2</v>
      </c>
      <c r="Z11" s="450">
        <v>2.0985158926146247E-2</v>
      </c>
      <c r="AA11" s="450">
        <v>2.0504958821715123E-2</v>
      </c>
      <c r="AB11" s="450">
        <v>2.0065274162336676E-2</v>
      </c>
      <c r="AC11" s="450">
        <v>1.9651832461685528E-2</v>
      </c>
      <c r="AD11" s="450">
        <v>1.9171171954469716E-2</v>
      </c>
      <c r="AE11" s="450">
        <v>1.8732868503445337E-2</v>
      </c>
      <c r="AF11" s="450">
        <v>1.8295946260775024E-2</v>
      </c>
      <c r="AG11" s="450">
        <v>1.7941436116564128E-2</v>
      </c>
      <c r="AH11" s="450">
        <v>1.7575415902735998E-2</v>
      </c>
      <c r="AI11" s="450">
        <v>1.7198806424860005E-2</v>
      </c>
      <c r="AJ11" s="450">
        <v>1.6858108364189796E-2</v>
      </c>
      <c r="AK11" s="450">
        <v>1.6531222387060267E-2</v>
      </c>
    </row>
    <row r="12" spans="1:37">
      <c r="A12" s="57" t="s">
        <v>27</v>
      </c>
      <c r="B12" s="450">
        <v>0.11340058728126334</v>
      </c>
      <c r="C12" s="450">
        <v>0.11758793000426805</v>
      </c>
      <c r="D12" s="450">
        <v>0.12083236534357662</v>
      </c>
      <c r="E12" s="450">
        <v>0.12406605889884764</v>
      </c>
      <c r="F12" s="450">
        <v>0.12554224157063595</v>
      </c>
      <c r="G12" s="450">
        <v>0.11918711395646608</v>
      </c>
      <c r="H12" s="450">
        <v>0.12420364660691421</v>
      </c>
      <c r="I12" s="450">
        <v>0.12124954673495521</v>
      </c>
      <c r="J12" s="450">
        <v>0.12136216645326504</v>
      </c>
      <c r="K12" s="423">
        <v>0.11726217328211695</v>
      </c>
      <c r="L12" s="589">
        <v>0.11633632095603927</v>
      </c>
      <c r="M12" s="450">
        <v>0.11705924592908457</v>
      </c>
      <c r="N12" s="450">
        <v>0.12149176269739652</v>
      </c>
      <c r="O12" s="450">
        <v>0.12028793512590696</v>
      </c>
      <c r="P12" s="450">
        <v>0.11862723687580025</v>
      </c>
      <c r="Q12" s="450">
        <v>0.11684761416986772</v>
      </c>
      <c r="R12" s="450">
        <v>0.11521526589842083</v>
      </c>
      <c r="S12" s="450">
        <v>0.11355577635510031</v>
      </c>
      <c r="T12" s="450">
        <v>0.11187522321809647</v>
      </c>
      <c r="U12" s="450">
        <v>0.11009632437046522</v>
      </c>
      <c r="V12" s="450">
        <v>0.10833609901835253</v>
      </c>
      <c r="W12" s="450">
        <v>0.10663235510029878</v>
      </c>
      <c r="X12" s="450">
        <v>0.10476178915919761</v>
      </c>
      <c r="Y12" s="450">
        <v>0.10292075800256084</v>
      </c>
      <c r="Z12" s="450">
        <v>0.1018107383696116</v>
      </c>
      <c r="AA12" s="450">
        <v>0.1015605360648741</v>
      </c>
      <c r="AB12" s="450">
        <v>0.10167605292360224</v>
      </c>
      <c r="AC12" s="450">
        <v>0.10186643790012807</v>
      </c>
      <c r="AD12" s="450">
        <v>0.10217900469483568</v>
      </c>
      <c r="AE12" s="450">
        <v>0.10262277080665815</v>
      </c>
      <c r="AF12" s="450">
        <v>0.1031030712761417</v>
      </c>
      <c r="AG12" s="450">
        <v>0.10337257840375587</v>
      </c>
      <c r="AH12" s="450">
        <v>0.10373361536491674</v>
      </c>
      <c r="AI12" s="450">
        <v>0.1040946523260777</v>
      </c>
      <c r="AJ12" s="450">
        <v>0.10445568928723856</v>
      </c>
      <c r="AK12" s="450">
        <v>0.10481672624839952</v>
      </c>
    </row>
    <row r="13" spans="1:37">
      <c r="B13" s="605">
        <f>B7+B8+B9+B10</f>
        <v>9.7471590100123101E-2</v>
      </c>
      <c r="C13" s="605">
        <f t="shared" ref="C13:K13" si="0">C7+C8+C9+C10</f>
        <v>9.9984968586591089E-2</v>
      </c>
      <c r="D13" s="605">
        <f t="shared" si="0"/>
        <v>9.879613086312844E-2</v>
      </c>
      <c r="E13" s="605">
        <f t="shared" si="0"/>
        <v>0.10068359669260576</v>
      </c>
      <c r="F13" s="605">
        <f t="shared" si="0"/>
        <v>0.10017016204702966</v>
      </c>
      <c r="G13" s="605">
        <f t="shared" si="0"/>
        <v>9.9850449873869027E-2</v>
      </c>
      <c r="H13" s="605">
        <f t="shared" si="0"/>
        <v>0.10370735502481265</v>
      </c>
      <c r="I13" s="605">
        <f t="shared" si="0"/>
        <v>9.5337100069984013E-2</v>
      </c>
      <c r="J13" s="605">
        <f t="shared" si="0"/>
        <v>8.9095309916304238E-2</v>
      </c>
      <c r="K13" s="605">
        <f t="shared" si="0"/>
        <v>8.3138509628714691E-2</v>
      </c>
      <c r="L13" s="580">
        <f>L7+L8+L9+L10</f>
        <v>8.3543212459469315E-2</v>
      </c>
      <c r="M13" s="450"/>
      <c r="N13" s="450"/>
      <c r="O13" s="450"/>
      <c r="P13" s="450"/>
      <c r="Q13" s="450"/>
      <c r="R13" s="450"/>
      <c r="S13" s="450"/>
      <c r="T13" s="450"/>
      <c r="U13" s="450"/>
      <c r="V13" s="450"/>
      <c r="W13" s="450"/>
      <c r="X13" s="450"/>
      <c r="Y13" s="450"/>
      <c r="Z13" s="450"/>
      <c r="AA13" s="450"/>
      <c r="AB13" s="450"/>
      <c r="AC13" s="450"/>
      <c r="AD13" s="450"/>
      <c r="AE13" s="450"/>
      <c r="AF13" s="450"/>
      <c r="AG13" s="502"/>
      <c r="AH13" s="502"/>
      <c r="AI13" s="502"/>
      <c r="AJ13" s="502"/>
      <c r="AK13" s="502"/>
    </row>
    <row r="14" spans="1:37">
      <c r="A14" s="57" t="s">
        <v>79</v>
      </c>
      <c r="B14" s="408"/>
      <c r="C14" s="408"/>
      <c r="D14" s="408"/>
      <c r="E14" s="408"/>
      <c r="F14" s="408"/>
      <c r="G14" s="408"/>
      <c r="H14" s="408"/>
      <c r="I14" s="408"/>
      <c r="J14" s="408"/>
      <c r="K14" s="423"/>
      <c r="L14" s="590"/>
      <c r="M14" s="502"/>
      <c r="N14" s="502"/>
      <c r="O14" s="502"/>
      <c r="P14" s="502"/>
      <c r="Q14" s="502"/>
      <c r="R14" s="502"/>
      <c r="S14" s="502"/>
      <c r="T14" s="502"/>
      <c r="U14" s="502"/>
      <c r="V14" s="502"/>
      <c r="W14" s="502"/>
      <c r="X14" s="502"/>
      <c r="Y14" s="502"/>
      <c r="Z14" s="502"/>
      <c r="AA14" s="502"/>
      <c r="AB14" s="502"/>
      <c r="AC14" s="502"/>
      <c r="AD14" s="502"/>
      <c r="AE14" s="502"/>
      <c r="AF14" s="502"/>
      <c r="AG14" s="502"/>
      <c r="AH14" s="502"/>
      <c r="AI14" s="502"/>
      <c r="AJ14" s="502"/>
      <c r="AK14" s="502"/>
    </row>
    <row r="15" spans="1:37">
      <c r="A15" s="57" t="s">
        <v>24</v>
      </c>
      <c r="B15" s="408">
        <v>1.2587159951896001E-3</v>
      </c>
      <c r="C15" s="408">
        <v>1.0560701573511305E-3</v>
      </c>
      <c r="D15" s="408">
        <v>1.3134790445170008E-3</v>
      </c>
      <c r="E15" s="408">
        <v>1.2928443284097851E-3</v>
      </c>
      <c r="F15" s="408">
        <v>2.7083064890720638E-3</v>
      </c>
      <c r="G15" s="408">
        <v>3.0475888404503221E-3</v>
      </c>
      <c r="H15" s="408">
        <v>3.1586988502584068E-3</v>
      </c>
      <c r="I15" s="408">
        <v>3.3729824406025701E-3</v>
      </c>
      <c r="J15" s="408">
        <v>3.5768091372669615E-3</v>
      </c>
      <c r="K15" s="423">
        <v>3.1522256265062039E-3</v>
      </c>
      <c r="L15" s="589">
        <v>3.0670330921667367E-3</v>
      </c>
      <c r="M15" s="450">
        <v>3.7505580632182576E-3</v>
      </c>
      <c r="N15" s="450">
        <v>3.8378587852103238E-3</v>
      </c>
      <c r="O15" s="450">
        <v>3.8557157510723376E-3</v>
      </c>
      <c r="P15" s="450">
        <v>3.9255563286659913E-3</v>
      </c>
      <c r="Q15" s="450">
        <v>4.0027381033362498E-3</v>
      </c>
      <c r="R15" s="450">
        <v>4.0749596097115048E-3</v>
      </c>
      <c r="S15" s="450">
        <v>4.0953959150869202E-3</v>
      </c>
      <c r="T15" s="450">
        <v>4.128728918029346E-3</v>
      </c>
      <c r="U15" s="450">
        <v>4.1699983502437778E-3</v>
      </c>
      <c r="V15" s="450">
        <v>4.2146407648988114E-3</v>
      </c>
      <c r="W15" s="450">
        <v>4.2525372146726406E-3</v>
      </c>
      <c r="X15" s="450">
        <v>4.2832908781016638E-3</v>
      </c>
      <c r="Y15" s="450">
        <v>4.3229730244616939E-3</v>
      </c>
      <c r="Z15" s="450">
        <v>4.3588853669175205E-3</v>
      </c>
      <c r="AA15" s="450">
        <v>4.3904326732737446E-3</v>
      </c>
      <c r="AB15" s="450">
        <v>4.4104721571855601E-3</v>
      </c>
      <c r="AC15" s="450">
        <v>4.4368607845149807E-3</v>
      </c>
      <c r="AD15" s="450">
        <v>4.4727731269708082E-3</v>
      </c>
      <c r="AE15" s="450">
        <v>4.5043204333270323E-3</v>
      </c>
      <c r="AF15" s="450">
        <v>4.5422168831008606E-3</v>
      </c>
      <c r="AG15" s="450">
        <v>4.563645242135277E-3</v>
      </c>
      <c r="AH15" s="450">
        <v>4.5967798343459028E-3</v>
      </c>
      <c r="AI15" s="450">
        <v>4.6285255514339268E-3</v>
      </c>
      <c r="AJ15" s="450">
        <v>4.6475729816867414E-3</v>
      </c>
      <c r="AK15" s="450">
        <v>4.6807075738973664E-3</v>
      </c>
    </row>
    <row r="16" spans="1:37">
      <c r="A16" s="57" t="s">
        <v>30</v>
      </c>
      <c r="B16" s="408">
        <v>3.6985840507473735E-4</v>
      </c>
      <c r="C16" s="408">
        <v>3.5468746916060654E-4</v>
      </c>
      <c r="D16" s="408">
        <v>4.7044319165203357E-4</v>
      </c>
      <c r="E16" s="408">
        <v>3.9724816211992637E-4</v>
      </c>
      <c r="F16" s="408">
        <v>3.6395318551876526E-4</v>
      </c>
      <c r="G16" s="408">
        <v>3.9630457978709989E-4</v>
      </c>
      <c r="H16" s="408">
        <v>3.7608495836939074E-4</v>
      </c>
      <c r="I16" s="408">
        <v>4.0439242835418361E-4</v>
      </c>
      <c r="J16" s="408">
        <v>4.0500568348393395E-4</v>
      </c>
      <c r="K16" s="423">
        <v>3.9097665357716018E-4</v>
      </c>
      <c r="L16" s="589">
        <v>5.4660376565873812E-4</v>
      </c>
      <c r="M16" s="450">
        <v>5.6547541231526674E-4</v>
      </c>
      <c r="N16" s="450">
        <v>4.4604484847466448E-4</v>
      </c>
      <c r="O16" s="450">
        <v>5.1169121934416034E-4</v>
      </c>
      <c r="P16" s="450">
        <v>5.3015847357233464E-4</v>
      </c>
      <c r="Q16" s="450">
        <v>5.6844095678986416E-4</v>
      </c>
      <c r="R16" s="450">
        <v>6.0537546524621288E-4</v>
      </c>
      <c r="S16" s="450">
        <v>6.0618425010292118E-4</v>
      </c>
      <c r="T16" s="450">
        <v>6.1548527595506742E-4</v>
      </c>
      <c r="U16" s="450">
        <v>6.2546028918780401E-4</v>
      </c>
      <c r="V16" s="450">
        <v>6.3273935289817932E-4</v>
      </c>
      <c r="W16" s="450">
        <v>6.384008468951378E-4</v>
      </c>
      <c r="X16" s="450">
        <v>6.4608430303386742E-4</v>
      </c>
      <c r="Y16" s="450">
        <v>6.5754208850390256E-4</v>
      </c>
      <c r="Z16" s="450">
        <v>6.6576473454710424E-4</v>
      </c>
      <c r="AA16" s="450">
        <v>6.7250460835300738E-4</v>
      </c>
      <c r="AB16" s="450">
        <v>6.7681812758878528E-4</v>
      </c>
      <c r="AC16" s="450">
        <v>6.8261441906186193E-4</v>
      </c>
      <c r="AD16" s="450">
        <v>6.9447659696025138E-4</v>
      </c>
      <c r="AE16" s="450">
        <v>7.0216005309898079E-4</v>
      </c>
      <c r="AF16" s="450">
        <v>7.115958764272451E-4</v>
      </c>
      <c r="AG16" s="450">
        <v>7.1483101585407855E-4</v>
      </c>
      <c r="AH16" s="450">
        <v>7.2467123161069696E-4</v>
      </c>
      <c r="AI16" s="450">
        <v>7.3397225746284331E-4</v>
      </c>
      <c r="AJ16" s="450">
        <v>7.4071213126874623E-4</v>
      </c>
      <c r="AK16" s="450">
        <v>7.4933916974030213E-4</v>
      </c>
    </row>
    <row r="17" spans="1:37">
      <c r="A17" s="57" t="s">
        <v>56</v>
      </c>
      <c r="B17" s="408">
        <v>1.592482195869598E-4</v>
      </c>
      <c r="C17" s="408">
        <v>1.317943040934273E-4</v>
      </c>
      <c r="D17" s="408">
        <v>1.6852521831356437E-4</v>
      </c>
      <c r="E17" s="408">
        <v>1.979708333815388E-4</v>
      </c>
      <c r="F17" s="408">
        <v>5.7409689755170276E-5</v>
      </c>
      <c r="G17" s="408">
        <v>6.2965466183089992E-5</v>
      </c>
      <c r="H17" s="408">
        <v>6.1113540707116745E-5</v>
      </c>
      <c r="I17" s="408">
        <v>0</v>
      </c>
      <c r="J17" s="408">
        <v>0</v>
      </c>
      <c r="K17" s="423">
        <v>2.7507837053692808E-5</v>
      </c>
      <c r="L17" s="589">
        <v>1.4259826164993908E-5</v>
      </c>
      <c r="M17" s="450">
        <v>1.8278504447855829E-4</v>
      </c>
      <c r="N17" s="450">
        <v>8.9262807941909922E-5</v>
      </c>
      <c r="O17" s="450">
        <v>8.6114534632755421E-5</v>
      </c>
      <c r="P17" s="450">
        <v>9.0003578132299207E-5</v>
      </c>
      <c r="Q17" s="450">
        <v>9.8152050226581444E-5</v>
      </c>
      <c r="R17" s="450">
        <v>1.0759687015404495E-4</v>
      </c>
      <c r="S17" s="450">
        <v>1.0944879563001818E-4</v>
      </c>
      <c r="T17" s="450">
        <v>1.1167110620118606E-4</v>
      </c>
      <c r="U17" s="450">
        <v>1.1389341677235394E-4</v>
      </c>
      <c r="V17" s="450">
        <v>1.1481937951034055E-4</v>
      </c>
      <c r="W17" s="450">
        <v>1.1574534224832718E-4</v>
      </c>
      <c r="X17" s="450">
        <v>1.1685649753391113E-4</v>
      </c>
      <c r="Y17" s="450">
        <v>1.1981957829546829E-4</v>
      </c>
      <c r="Z17" s="450">
        <v>1.214863112238442E-4</v>
      </c>
      <c r="AA17" s="450">
        <v>1.2241227396183083E-4</v>
      </c>
      <c r="AB17" s="450">
        <v>1.2333823669981745E-4</v>
      </c>
      <c r="AC17" s="450">
        <v>1.2407900689020672E-4</v>
      </c>
      <c r="AD17" s="450">
        <v>1.2722728019936124E-4</v>
      </c>
      <c r="AE17" s="450">
        <v>1.2852362803254249E-4</v>
      </c>
      <c r="AF17" s="450">
        <v>1.3074593860371039E-4</v>
      </c>
      <c r="AG17" s="450">
        <v>1.3056074605611304E-4</v>
      </c>
      <c r="AH17" s="450">
        <v>1.3315344172247558E-4</v>
      </c>
      <c r="AI17" s="450">
        <v>1.3519055974604613E-4</v>
      </c>
      <c r="AJ17" s="450">
        <v>1.3648690757922741E-4</v>
      </c>
      <c r="AK17" s="450">
        <v>1.3852402560279796E-4</v>
      </c>
    </row>
    <row r="18" spans="1:37">
      <c r="A18" s="57" t="s">
        <v>25</v>
      </c>
      <c r="B18" s="408">
        <v>4.6543384913355045E-3</v>
      </c>
      <c r="C18" s="408">
        <v>4.6359459206461858E-3</v>
      </c>
      <c r="D18" s="408">
        <v>4.55793E-3</v>
      </c>
      <c r="E18" s="408">
        <v>4.3696793999999997E-3</v>
      </c>
      <c r="F18" s="408">
        <v>7.4005679999999997E-3</v>
      </c>
      <c r="G18" s="408">
        <v>9.3495999999999996E-3</v>
      </c>
      <c r="H18" s="408">
        <v>1.2508686E-2</v>
      </c>
      <c r="I18" s="408">
        <v>7.3717999999999995E-3</v>
      </c>
      <c r="J18" s="408">
        <v>7.0228338974701789E-3</v>
      </c>
      <c r="K18" s="423">
        <v>6.7362608934019444E-3</v>
      </c>
      <c r="L18" s="589">
        <v>6.6919761999999997E-3</v>
      </c>
      <c r="M18" s="450">
        <v>7.8389203999999994E-3</v>
      </c>
      <c r="N18" s="450">
        <v>8.7564397999999998E-3</v>
      </c>
      <c r="O18" s="450">
        <v>8.4764611928933292E-3</v>
      </c>
      <c r="P18" s="450">
        <v>8.1790169431363337E-3</v>
      </c>
      <c r="Q18" s="450">
        <v>7.9717452357298876E-3</v>
      </c>
      <c r="R18" s="450">
        <v>7.7990998054990488E-3</v>
      </c>
      <c r="S18" s="450">
        <v>7.7943976730225932E-3</v>
      </c>
      <c r="T18" s="450">
        <v>7.7851065014702871E-3</v>
      </c>
      <c r="U18" s="450">
        <v>7.7638335973316298E-3</v>
      </c>
      <c r="V18" s="450">
        <v>7.7258384727289936E-3</v>
      </c>
      <c r="W18" s="450">
        <v>7.6962260016317924E-3</v>
      </c>
      <c r="X18" s="450">
        <v>7.6760250340855386E-3</v>
      </c>
      <c r="Y18" s="450">
        <v>7.6677550658484075E-3</v>
      </c>
      <c r="Z18" s="450">
        <v>7.6515936754040035E-3</v>
      </c>
      <c r="AA18" s="450">
        <v>7.6246868802900929E-3</v>
      </c>
      <c r="AB18" s="450">
        <v>7.598408647481656E-3</v>
      </c>
      <c r="AC18" s="450">
        <v>7.5696298657830612E-3</v>
      </c>
      <c r="AD18" s="450">
        <v>7.5579560587747232E-3</v>
      </c>
      <c r="AE18" s="450">
        <v>7.5438046582378439E-3</v>
      </c>
      <c r="AF18" s="450">
        <v>7.5365116444678368E-3</v>
      </c>
      <c r="AG18" s="450">
        <v>7.5133227337724658E-3</v>
      </c>
      <c r="AH18" s="450">
        <v>7.4958480800281294E-3</v>
      </c>
      <c r="AI18" s="450">
        <v>7.4883152943146739E-3</v>
      </c>
      <c r="AJ18" s="450">
        <v>7.4805004515912082E-3</v>
      </c>
      <c r="AK18" s="450">
        <v>7.4679547919260913E-3</v>
      </c>
    </row>
    <row r="19" spans="1:37">
      <c r="A19" s="57" t="s">
        <v>31</v>
      </c>
      <c r="B19" s="408">
        <v>0</v>
      </c>
      <c r="C19" s="408">
        <v>0</v>
      </c>
      <c r="D19" s="408">
        <v>3.7438924259351497E-5</v>
      </c>
      <c r="E19" s="408">
        <v>2.0502268046787723E-5</v>
      </c>
      <c r="F19" s="408">
        <v>3.5834398933950719E-4</v>
      </c>
      <c r="G19" s="408">
        <v>3.9400010768174669E-4</v>
      </c>
      <c r="H19" s="408">
        <v>3.3873312425127543E-5</v>
      </c>
      <c r="I19" s="408">
        <v>0</v>
      </c>
      <c r="J19" s="408">
        <v>0</v>
      </c>
      <c r="K19" s="423">
        <v>1.055667861182861E-5</v>
      </c>
      <c r="L19" s="589">
        <v>2.1393671005343709E-6</v>
      </c>
      <c r="M19" s="450">
        <v>5.9189156448117596E-5</v>
      </c>
      <c r="N19" s="450">
        <v>3.0485981182614788E-5</v>
      </c>
      <c r="O19" s="450">
        <v>2.888145585721401E-5</v>
      </c>
      <c r="P19" s="450">
        <v>3.5299557158817118E-5</v>
      </c>
      <c r="Q19" s="450">
        <v>4.546155088635539E-5</v>
      </c>
      <c r="R19" s="450">
        <v>5.7941192306139213E-5</v>
      </c>
      <c r="S19" s="450">
        <v>6.0793681773518377E-5</v>
      </c>
      <c r="T19" s="450">
        <v>5.9545717631539994E-5</v>
      </c>
      <c r="U19" s="450">
        <v>5.8832595264695204E-5</v>
      </c>
      <c r="V19" s="450">
        <v>5.6336666980738432E-5</v>
      </c>
      <c r="W19" s="450">
        <v>5.4732141655337658E-5</v>
      </c>
      <c r="X19" s="450">
        <v>5.4732141655337658E-5</v>
      </c>
      <c r="Y19" s="450">
        <v>5.5266983430471256E-5</v>
      </c>
      <c r="Z19" s="450">
        <v>5.4197299880204073E-5</v>
      </c>
      <c r="AA19" s="450">
        <v>5.2592774554803292E-5</v>
      </c>
      <c r="AB19" s="450">
        <v>5.1166529821113703E-5</v>
      </c>
      <c r="AC19" s="450">
        <v>4.9740285087424128E-5</v>
      </c>
      <c r="AD19" s="450">
        <v>5.0809968637691311E-5</v>
      </c>
      <c r="AE19" s="450">
        <v>5.0631688045980119E-5</v>
      </c>
      <c r="AF19" s="450">
        <v>5.0988249229402511E-5</v>
      </c>
      <c r="AG19" s="450">
        <v>4.8848882128868138E-5</v>
      </c>
      <c r="AH19" s="450">
        <v>4.9562004495712929E-5</v>
      </c>
      <c r="AI19" s="450">
        <v>4.9562004495712929E-5</v>
      </c>
      <c r="AJ19" s="450">
        <v>4.920544331229053E-5</v>
      </c>
      <c r="AK19" s="450">
        <v>4.9562004495712929E-5</v>
      </c>
    </row>
    <row r="20" spans="1:37">
      <c r="A20" s="57" t="s">
        <v>26</v>
      </c>
      <c r="B20" s="408">
        <v>5.2920138170092404E-2</v>
      </c>
      <c r="C20" s="408">
        <v>5.5287782865762719E-2</v>
      </c>
      <c r="D20" s="408">
        <v>5.609780877803569E-2</v>
      </c>
      <c r="E20" s="408">
        <v>5.7402590463995061E-2</v>
      </c>
      <c r="F20" s="408">
        <v>5.6288219502541724E-2</v>
      </c>
      <c r="G20" s="408">
        <v>5.4883550223398858E-2</v>
      </c>
      <c r="H20" s="408">
        <v>5.5991678210278228E-2</v>
      </c>
      <c r="I20" s="408">
        <v>5.6967142987460771E-2</v>
      </c>
      <c r="J20" s="408">
        <v>5.8282085732506692E-2</v>
      </c>
      <c r="K20" s="423">
        <v>5.7954576195843426E-2</v>
      </c>
      <c r="L20" s="589">
        <v>5.41730465956188E-2</v>
      </c>
      <c r="M20" s="450">
        <v>5.3534513946517225E-2</v>
      </c>
      <c r="N20" s="450">
        <v>5.5025198939132804E-2</v>
      </c>
      <c r="O20" s="450">
        <v>5.732701489087963E-2</v>
      </c>
      <c r="P20" s="450">
        <v>5.7950134292422961E-2</v>
      </c>
      <c r="Q20" s="450">
        <v>5.8987796188357526E-2</v>
      </c>
      <c r="R20" s="450">
        <v>6.0369703496911037E-2</v>
      </c>
      <c r="S20" s="450">
        <v>6.0803660674183857E-2</v>
      </c>
      <c r="T20" s="450">
        <v>6.1107284306219561E-2</v>
      </c>
      <c r="U20" s="450">
        <v>6.1341750426956165E-2</v>
      </c>
      <c r="V20" s="450">
        <v>6.1569059154845653E-2</v>
      </c>
      <c r="W20" s="450">
        <v>6.296046563891082E-2</v>
      </c>
      <c r="X20" s="450">
        <v>6.2984339898438046E-2</v>
      </c>
      <c r="Y20" s="450">
        <v>6.3019619804043192E-2</v>
      </c>
      <c r="Z20" s="450">
        <v>6.3129547907342515E-2</v>
      </c>
      <c r="AA20" s="450">
        <v>6.3694326235580939E-2</v>
      </c>
      <c r="AB20" s="450">
        <v>6.4147761950978682E-2</v>
      </c>
      <c r="AC20" s="450">
        <v>6.4662452459470707E-2</v>
      </c>
      <c r="AD20" s="450">
        <v>6.5181331916103827E-2</v>
      </c>
      <c r="AE20" s="450">
        <v>6.571678920853502E-2</v>
      </c>
      <c r="AF20" s="450">
        <v>6.6280270956731113E-2</v>
      </c>
      <c r="AG20" s="450">
        <v>6.6824461827462239E-2</v>
      </c>
      <c r="AH20" s="450">
        <v>6.7416582643058984E-2</v>
      </c>
      <c r="AI20" s="450">
        <v>6.8073785135124409E-2</v>
      </c>
      <c r="AJ20" s="450">
        <v>6.8732827934056884E-2</v>
      </c>
      <c r="AK20" s="450">
        <v>6.9411094903691573E-2</v>
      </c>
    </row>
    <row r="21" spans="1:37">
      <c r="A21" s="57" t="s">
        <v>57</v>
      </c>
      <c r="B21" s="408">
        <v>0</v>
      </c>
      <c r="C21" s="408">
        <v>0</v>
      </c>
      <c r="D21" s="408">
        <v>0</v>
      </c>
      <c r="E21" s="408">
        <v>0</v>
      </c>
      <c r="F21" s="408">
        <v>0</v>
      </c>
      <c r="G21" s="408">
        <v>0</v>
      </c>
      <c r="H21" s="408">
        <v>0</v>
      </c>
      <c r="I21" s="408">
        <v>0</v>
      </c>
      <c r="J21" s="408">
        <v>0</v>
      </c>
      <c r="K21" s="423">
        <v>0</v>
      </c>
      <c r="L21" s="589">
        <v>0</v>
      </c>
      <c r="M21" s="450">
        <v>0</v>
      </c>
      <c r="N21" s="450">
        <v>0</v>
      </c>
      <c r="O21" s="450">
        <v>0</v>
      </c>
      <c r="P21" s="450">
        <v>0</v>
      </c>
      <c r="Q21" s="450">
        <v>0</v>
      </c>
      <c r="R21" s="450">
        <v>0</v>
      </c>
      <c r="S21" s="450">
        <v>0</v>
      </c>
      <c r="T21" s="450">
        <v>0</v>
      </c>
      <c r="U21" s="450">
        <v>0</v>
      </c>
      <c r="V21" s="450">
        <v>0</v>
      </c>
      <c r="W21" s="450">
        <v>0</v>
      </c>
      <c r="X21" s="450">
        <v>0</v>
      </c>
      <c r="Y21" s="450">
        <v>0</v>
      </c>
      <c r="Z21" s="450">
        <v>0</v>
      </c>
      <c r="AA21" s="450">
        <v>0</v>
      </c>
      <c r="AB21" s="450">
        <v>0</v>
      </c>
      <c r="AC21" s="450">
        <v>0</v>
      </c>
      <c r="AD21" s="450">
        <v>0</v>
      </c>
      <c r="AE21" s="450">
        <v>0</v>
      </c>
      <c r="AF21" s="450">
        <v>0</v>
      </c>
      <c r="AG21" s="450">
        <v>0</v>
      </c>
      <c r="AH21" s="450">
        <v>0</v>
      </c>
      <c r="AI21" s="450">
        <v>0</v>
      </c>
      <c r="AJ21" s="450">
        <v>0</v>
      </c>
      <c r="AK21" s="450">
        <v>0</v>
      </c>
    </row>
    <row r="22" spans="1:37">
      <c r="A22" s="57" t="s">
        <v>59</v>
      </c>
      <c r="B22" s="408">
        <v>1.1232510506697361E-2</v>
      </c>
      <c r="C22" s="408">
        <v>1.2004280513282546E-2</v>
      </c>
      <c r="D22" s="408">
        <v>7.0902028842179067E-3</v>
      </c>
      <c r="E22" s="408">
        <v>8.4327374043724132E-3</v>
      </c>
      <c r="F22" s="408">
        <v>7.6196660866108016E-3</v>
      </c>
      <c r="G22" s="408">
        <v>7.5091694182853287E-3</v>
      </c>
      <c r="H22" s="408">
        <v>1.1597546146327862E-2</v>
      </c>
      <c r="I22" s="408">
        <v>1.0589264047857911E-2</v>
      </c>
      <c r="J22" s="408">
        <v>1.4294130339553075E-2</v>
      </c>
      <c r="K22" s="423">
        <v>1.5898493395313924E-2</v>
      </c>
      <c r="L22" s="589">
        <v>1.5290897285106825E-2</v>
      </c>
      <c r="M22" s="450">
        <v>1.5290897285106825E-2</v>
      </c>
      <c r="N22" s="450">
        <v>1.5290897285106825E-2</v>
      </c>
      <c r="O22" s="450">
        <v>1.5290897285106825E-2</v>
      </c>
      <c r="P22" s="450">
        <v>1.5290897285106825E-2</v>
      </c>
      <c r="Q22" s="450">
        <v>1.5290897285106825E-2</v>
      </c>
      <c r="R22" s="450">
        <v>1.5290897285106825E-2</v>
      </c>
      <c r="S22" s="450">
        <v>1.5290897285106825E-2</v>
      </c>
      <c r="T22" s="450">
        <v>1.5290897285106825E-2</v>
      </c>
      <c r="U22" s="450">
        <v>1.5290897285106825E-2</v>
      </c>
      <c r="V22" s="450">
        <v>1.5290897285106825E-2</v>
      </c>
      <c r="W22" s="450">
        <v>1.5290897285106825E-2</v>
      </c>
      <c r="X22" s="450">
        <v>1.5290897285106825E-2</v>
      </c>
      <c r="Y22" s="450">
        <v>1.5290897285106825E-2</v>
      </c>
      <c r="Z22" s="450">
        <v>1.5290897285106825E-2</v>
      </c>
      <c r="AA22" s="450">
        <v>1.5290897285106825E-2</v>
      </c>
      <c r="AB22" s="450">
        <v>1.5290897285106825E-2</v>
      </c>
      <c r="AC22" s="450">
        <v>1.5290897285106825E-2</v>
      </c>
      <c r="AD22" s="450">
        <v>1.5290897285106825E-2</v>
      </c>
      <c r="AE22" s="450">
        <v>1.5290897285106825E-2</v>
      </c>
      <c r="AF22" s="450">
        <v>1.5290897285106825E-2</v>
      </c>
      <c r="AG22" s="450">
        <v>1.5290897285106825E-2</v>
      </c>
      <c r="AH22" s="450">
        <v>1.5290897285106825E-2</v>
      </c>
      <c r="AI22" s="450">
        <v>1.5290897285106825E-2</v>
      </c>
      <c r="AJ22" s="450">
        <v>1.5290897285106825E-2</v>
      </c>
      <c r="AK22" s="450">
        <v>1.5290897285106825E-2</v>
      </c>
    </row>
    <row r="23" spans="1:37">
      <c r="A23" s="57" t="s">
        <v>27</v>
      </c>
      <c r="B23" s="450">
        <v>9.594394536918481E-2</v>
      </c>
      <c r="C23" s="450">
        <v>9.7585143832693136E-2</v>
      </c>
      <c r="D23" s="450">
        <v>0.10106370294494238</v>
      </c>
      <c r="E23" s="450">
        <v>0.10201720187793428</v>
      </c>
      <c r="F23" s="450">
        <v>0.1026672607767819</v>
      </c>
      <c r="G23" s="450">
        <v>9.8449102859581736E-2</v>
      </c>
      <c r="H23" s="450">
        <v>0.10041452496798976</v>
      </c>
      <c r="I23" s="450">
        <v>9.9836462654716185E-2</v>
      </c>
      <c r="J23" s="450">
        <v>0.1073937772087068</v>
      </c>
      <c r="K23" s="423">
        <v>0.11340672641912081</v>
      </c>
      <c r="L23" s="589">
        <v>0.10973002304737518</v>
      </c>
      <c r="M23" s="450">
        <v>0.11315573444866063</v>
      </c>
      <c r="N23" s="450">
        <v>0.12092425403329068</v>
      </c>
      <c r="O23" s="450">
        <v>0.11976606094750319</v>
      </c>
      <c r="P23" s="450">
        <v>0.11852353734528383</v>
      </c>
      <c r="Q23" s="450">
        <v>0.11723716636790441</v>
      </c>
      <c r="R23" s="450">
        <v>0.11573189722577894</v>
      </c>
      <c r="S23" s="450">
        <v>0.11418027827571492</v>
      </c>
      <c r="T23" s="450">
        <v>0.11258705898420829</v>
      </c>
      <c r="U23" s="450">
        <v>0.11100995885616735</v>
      </c>
      <c r="V23" s="450">
        <v>0.10967878070849338</v>
      </c>
      <c r="W23" s="450">
        <v>0.10833258079385408</v>
      </c>
      <c r="X23" s="450">
        <v>0.10744939001280411</v>
      </c>
      <c r="Y23" s="450">
        <v>0.1070870784464362</v>
      </c>
      <c r="Z23" s="450">
        <v>0.1073293022620572</v>
      </c>
      <c r="AA23" s="450">
        <v>0.1083855043960734</v>
      </c>
      <c r="AB23" s="450">
        <v>0.10971714280836536</v>
      </c>
      <c r="AC23" s="450">
        <v>0.11109537072129751</v>
      </c>
      <c r="AD23" s="450">
        <v>0.11253964421681607</v>
      </c>
      <c r="AE23" s="450">
        <v>0.11399005275288095</v>
      </c>
      <c r="AF23" s="450">
        <v>0.11566237951344428</v>
      </c>
      <c r="AG23" s="450">
        <v>0.11703646463508321</v>
      </c>
      <c r="AH23" s="450">
        <v>0.11851498017925768</v>
      </c>
      <c r="AI23" s="450">
        <v>0.11999349572343178</v>
      </c>
      <c r="AJ23" s="450">
        <v>0.12147201126760586</v>
      </c>
      <c r="AK23" s="450">
        <v>0.12295052681177993</v>
      </c>
    </row>
    <row r="24" spans="1:37">
      <c r="B24" s="558">
        <f>B15+B16+B17+B18+B19+B20+B21</f>
        <v>5.9362299281279209E-2</v>
      </c>
      <c r="C24" s="558">
        <f>C15+C16+C17+C18+C19+C20+C21</f>
        <v>6.1466280717014071E-2</v>
      </c>
      <c r="D24" s="558">
        <f t="shared" ref="D24:K24" si="1">D15+D16+D17+D18+D19+D20+D21</f>
        <v>6.2645625156777643E-2</v>
      </c>
      <c r="E24" s="558">
        <f t="shared" si="1"/>
        <v>6.36808354559531E-2</v>
      </c>
      <c r="F24" s="558">
        <f t="shared" si="1"/>
        <v>6.7176800856227237E-2</v>
      </c>
      <c r="G24" s="558">
        <f t="shared" si="1"/>
        <v>6.8134009217501124E-2</v>
      </c>
      <c r="H24" s="558">
        <f t="shared" si="1"/>
        <v>7.2130134872038273E-2</v>
      </c>
      <c r="I24" s="558">
        <f t="shared" si="1"/>
        <v>6.811631785641753E-2</v>
      </c>
      <c r="J24" s="558">
        <f t="shared" si="1"/>
        <v>6.9286734450727763E-2</v>
      </c>
      <c r="K24" s="558">
        <f t="shared" si="1"/>
        <v>6.8272103884994259E-2</v>
      </c>
      <c r="L24" s="581">
        <f>L15+L16+L17+L18+L19+L20+L21</f>
        <v>6.4495058846709807E-2</v>
      </c>
      <c r="M24" s="450"/>
      <c r="N24" s="450"/>
      <c r="O24" s="450"/>
      <c r="P24" s="450"/>
      <c r="Q24" s="450"/>
      <c r="R24" s="450"/>
      <c r="S24" s="450"/>
      <c r="T24" s="450"/>
      <c r="U24" s="450"/>
      <c r="V24" s="450"/>
      <c r="W24" s="450"/>
      <c r="X24" s="450"/>
      <c r="Y24" s="450"/>
      <c r="Z24" s="450"/>
      <c r="AA24" s="450"/>
      <c r="AB24" s="450"/>
      <c r="AC24" s="450"/>
      <c r="AD24" s="502"/>
      <c r="AE24" s="450"/>
      <c r="AF24" s="450"/>
      <c r="AG24" s="502"/>
      <c r="AH24" s="502"/>
      <c r="AI24" s="502"/>
      <c r="AJ24" s="502"/>
      <c r="AK24" s="502"/>
    </row>
    <row r="25" spans="1:37">
      <c r="A25" s="57" t="s">
        <v>80</v>
      </c>
      <c r="B25" s="408"/>
      <c r="C25" s="408"/>
      <c r="D25" s="408"/>
      <c r="E25" s="408"/>
      <c r="F25" s="408"/>
      <c r="G25" s="408"/>
      <c r="H25" s="408"/>
      <c r="I25" s="408"/>
      <c r="J25" s="408"/>
      <c r="K25" s="423"/>
      <c r="L25" s="590"/>
      <c r="M25" s="502"/>
      <c r="N25" s="502"/>
      <c r="O25" s="502"/>
      <c r="P25" s="502"/>
      <c r="Q25" s="502"/>
      <c r="R25" s="502"/>
      <c r="S25" s="502"/>
      <c r="T25" s="502"/>
      <c r="U25" s="502"/>
      <c r="V25" s="502"/>
      <c r="W25" s="502"/>
      <c r="X25" s="502"/>
      <c r="Y25" s="502"/>
      <c r="Z25" s="502"/>
      <c r="AA25" s="502"/>
      <c r="AB25" s="502"/>
      <c r="AC25" s="502"/>
      <c r="AD25" s="585"/>
      <c r="AE25" s="502"/>
      <c r="AF25" s="502"/>
      <c r="AG25" s="502"/>
      <c r="AH25" s="502"/>
      <c r="AI25" s="502"/>
      <c r="AJ25" s="502"/>
      <c r="AK25" s="502"/>
    </row>
    <row r="26" spans="1:37">
      <c r="A26" s="57" t="s">
        <v>24</v>
      </c>
      <c r="B26" s="408">
        <v>4.716850778559491E-3</v>
      </c>
      <c r="C26" s="408">
        <v>4.2493773066018276E-3</v>
      </c>
      <c r="D26" s="408">
        <v>1.8075217666993772E-3</v>
      </c>
      <c r="E26" s="408">
        <v>1.8116883920671805E-3</v>
      </c>
      <c r="F26" s="408">
        <v>5.4305017293701371E-3</v>
      </c>
      <c r="G26" s="408">
        <v>5.2023293877999635E-3</v>
      </c>
      <c r="H26" s="408">
        <v>5.9820835637745574E-3</v>
      </c>
      <c r="I26" s="408">
        <v>5.3570897586040812E-3</v>
      </c>
      <c r="J26" s="408">
        <v>5.5639253246374965E-3</v>
      </c>
      <c r="K26" s="423">
        <v>4.6604351587334935E-3</v>
      </c>
      <c r="L26" s="589">
        <v>5.2687969829530142E-3</v>
      </c>
      <c r="M26" s="537">
        <v>4.4541225181815936E-3</v>
      </c>
      <c r="N26" s="537">
        <v>2.5553318148541469E-3</v>
      </c>
      <c r="O26" s="537">
        <v>9.270146211166664E-3</v>
      </c>
      <c r="P26" s="537">
        <v>9.5481196464186745E-3</v>
      </c>
      <c r="Q26" s="537">
        <v>9.5747066844798952E-3</v>
      </c>
      <c r="R26" s="537">
        <v>9.6719279430619691E-3</v>
      </c>
      <c r="S26" s="537">
        <v>9.7435542172418232E-3</v>
      </c>
      <c r="T26" s="537">
        <v>9.8610133704675144E-3</v>
      </c>
      <c r="U26" s="537">
        <v>9.9516870749001823E-3</v>
      </c>
      <c r="V26" s="537">
        <v>1.0014980098344431E-2</v>
      </c>
      <c r="W26" s="537">
        <v>1.002807520664324E-2</v>
      </c>
      <c r="X26" s="537">
        <v>1.0161407218412943E-2</v>
      </c>
      <c r="Y26" s="537">
        <v>1.019652591794157E-2</v>
      </c>
      <c r="Z26" s="537">
        <v>1.0230255742347595E-2</v>
      </c>
      <c r="AA26" s="537">
        <v>1.0238192171619601E-2</v>
      </c>
      <c r="AB26" s="537">
        <v>1.0227081170638792E-2</v>
      </c>
      <c r="AC26" s="537">
        <v>1.019890684672317E-2</v>
      </c>
      <c r="AD26" s="537">
        <v>1.0244938136500806E-2</v>
      </c>
      <c r="AE26" s="537">
        <v>1.031537394628986E-2</v>
      </c>
      <c r="AF26" s="537">
        <v>1.0391365256569318E-2</v>
      </c>
      <c r="AG26" s="537">
        <v>1.0396127114132521E-2</v>
      </c>
      <c r="AH26" s="537">
        <v>1.0443547279032758E-2</v>
      </c>
      <c r="AI26" s="537">
        <v>1.0498903873204998E-2</v>
      </c>
      <c r="AJ26" s="537">
        <v>1.0515768785408011E-2</v>
      </c>
      <c r="AK26" s="537">
        <v>1.0586601416660667E-2</v>
      </c>
    </row>
    <row r="27" spans="1:37">
      <c r="A27" s="57" t="s">
        <v>30</v>
      </c>
      <c r="B27" s="408">
        <v>5.7916291168298292E-3</v>
      </c>
      <c r="C27" s="408">
        <v>5.937280546527866E-3</v>
      </c>
      <c r="D27" s="408">
        <v>4.6383811532224864E-3</v>
      </c>
      <c r="E27" s="408">
        <v>4.5054708417700783E-3</v>
      </c>
      <c r="F27" s="408">
        <v>3.9347383278862062E-3</v>
      </c>
      <c r="G27" s="408">
        <v>4.7206076136545039E-3</v>
      </c>
      <c r="H27" s="408">
        <v>5.7059771640775303E-3</v>
      </c>
      <c r="I27" s="408">
        <v>4.8527091402502031E-3</v>
      </c>
      <c r="J27" s="408">
        <v>5.130071990796496E-3</v>
      </c>
      <c r="K27" s="423">
        <v>5.9230933726350269E-3</v>
      </c>
      <c r="L27" s="589">
        <v>4.5262296530922588E-3</v>
      </c>
      <c r="M27" s="537">
        <v>4.6348764188434161E-3</v>
      </c>
      <c r="N27" s="537">
        <v>4.6270581652285694E-3</v>
      </c>
      <c r="O27" s="537">
        <v>4.6120956453794644E-3</v>
      </c>
      <c r="P27" s="537">
        <v>4.6042773917646168E-3</v>
      </c>
      <c r="Q27" s="537">
        <v>4.5778570864454761E-3</v>
      </c>
      <c r="R27" s="537">
        <v>4.5487408316039748E-3</v>
      </c>
      <c r="S27" s="537">
        <v>4.5282516152340292E-3</v>
      </c>
      <c r="T27" s="537">
        <v>4.5266340455206132E-3</v>
      </c>
      <c r="U27" s="537">
        <v>4.5247468808549606E-3</v>
      </c>
      <c r="V27" s="537">
        <v>4.5173330196684666E-3</v>
      </c>
      <c r="W27" s="537">
        <v>4.4961698159179317E-3</v>
      </c>
      <c r="X27" s="537">
        <v>4.4665143711719573E-3</v>
      </c>
      <c r="Y27" s="537">
        <v>4.4560001680347492E-3</v>
      </c>
      <c r="Z27" s="537">
        <v>4.4523606361795611E-3</v>
      </c>
      <c r="AA27" s="537">
        <v>4.4442727876124778E-3</v>
      </c>
      <c r="AB27" s="537">
        <v>4.43510655923645E-3</v>
      </c>
      <c r="AC27" s="537">
        <v>4.4293102677633728E-3</v>
      </c>
      <c r="AD27" s="537">
        <v>4.4249967485275954E-3</v>
      </c>
      <c r="AE27" s="537">
        <v>4.4290406728111362E-3</v>
      </c>
      <c r="AF27" s="537">
        <v>4.4316018248573806E-3</v>
      </c>
      <c r="AG27" s="537">
        <v>4.4293102677633728E-3</v>
      </c>
      <c r="AH27" s="537">
        <v>4.4293102677633728E-3</v>
      </c>
      <c r="AI27" s="537">
        <v>4.4368589264259847E-3</v>
      </c>
      <c r="AJ27" s="537">
        <v>4.4429248128512976E-3</v>
      </c>
      <c r="AK27" s="537">
        <v>4.4499342816094363E-3</v>
      </c>
    </row>
    <row r="28" spans="1:37">
      <c r="A28" s="57" t="s">
        <v>25</v>
      </c>
      <c r="B28" s="408">
        <v>1.7955278939008688E-2</v>
      </c>
      <c r="C28" s="408">
        <v>1.855505988597872E-2</v>
      </c>
      <c r="D28" s="408">
        <v>1.6026866600000002E-2</v>
      </c>
      <c r="E28" s="408">
        <v>1.4883080470000001E-2</v>
      </c>
      <c r="F28" s="408">
        <v>1.5386824700000001E-2</v>
      </c>
      <c r="G28" s="408">
        <v>1.6241572800000003E-2</v>
      </c>
      <c r="H28" s="408">
        <v>1.7688801300000001E-2</v>
      </c>
      <c r="I28" s="408">
        <v>1.7801590000000003E-2</v>
      </c>
      <c r="J28" s="408">
        <v>1.8372970148337907E-2</v>
      </c>
      <c r="K28" s="423">
        <v>1.8768553661025537E-2</v>
      </c>
      <c r="L28" s="589">
        <v>1.781205353E-2</v>
      </c>
      <c r="M28" s="537">
        <v>1.7265368060000001E-2</v>
      </c>
      <c r="N28" s="537">
        <v>1.769478046E-2</v>
      </c>
      <c r="O28" s="537">
        <v>1.825192946E-2</v>
      </c>
      <c r="P28" s="537">
        <v>1.8831364420000003E-2</v>
      </c>
      <c r="Q28" s="537">
        <v>1.8954344870000001E-2</v>
      </c>
      <c r="R28" s="537">
        <v>1.9184406640000002E-2</v>
      </c>
      <c r="S28" s="537">
        <v>1.9492061600000003E-2</v>
      </c>
      <c r="T28" s="537">
        <v>1.984523971E-2</v>
      </c>
      <c r="U28" s="537">
        <v>2.002570163E-2</v>
      </c>
      <c r="V28" s="537">
        <v>2.0119193949999999E-2</v>
      </c>
      <c r="W28" s="537">
        <v>2.015615603E-2</v>
      </c>
      <c r="X28" s="537">
        <v>2.028620276E-2</v>
      </c>
      <c r="Y28" s="537">
        <v>2.026174256E-2</v>
      </c>
      <c r="Z28" s="537">
        <v>2.0273293210000001E-2</v>
      </c>
      <c r="AA28" s="537">
        <v>2.0282669620000002E-2</v>
      </c>
      <c r="AB28" s="537">
        <v>2.031541911E-2</v>
      </c>
      <c r="AC28" s="537">
        <v>2.028987179E-2</v>
      </c>
      <c r="AD28" s="537">
        <v>2.0327649210000003E-2</v>
      </c>
      <c r="AE28" s="537">
        <v>2.043581765E-2</v>
      </c>
      <c r="AF28" s="537">
        <v>2.0529581750000001E-2</v>
      </c>
      <c r="AG28" s="537">
        <v>2.0578502150000001E-2</v>
      </c>
      <c r="AH28" s="537">
        <v>2.0625520090000002E-2</v>
      </c>
      <c r="AI28" s="537">
        <v>2.07001237E-2</v>
      </c>
      <c r="AJ28" s="537">
        <v>2.0799731070000001E-2</v>
      </c>
      <c r="AK28" s="537">
        <v>2.0906404720000004E-2</v>
      </c>
    </row>
    <row r="29" spans="1:37">
      <c r="A29" s="57" t="s">
        <v>31</v>
      </c>
      <c r="B29" s="408">
        <v>8.2412061777782316E-4</v>
      </c>
      <c r="C29" s="408">
        <v>8.7316280655768319E-4</v>
      </c>
      <c r="D29" s="408">
        <v>8.6287806388219627E-4</v>
      </c>
      <c r="E29" s="408">
        <v>8.9692965689903504E-4</v>
      </c>
      <c r="F29" s="408">
        <v>1.0299269783155885E-3</v>
      </c>
      <c r="G29" s="408">
        <v>9.6984641890891495E-4</v>
      </c>
      <c r="H29" s="408">
        <v>9.9302289583137054E-4</v>
      </c>
      <c r="I29" s="408">
        <v>7.1312236684479039E-4</v>
      </c>
      <c r="J29" s="408">
        <v>7.1420380635488982E-4</v>
      </c>
      <c r="K29" s="423">
        <v>4.5536859435769169E-4</v>
      </c>
      <c r="L29" s="589">
        <v>3.7331955904324772E-4</v>
      </c>
      <c r="M29" s="537">
        <v>3.7331955904324772E-4</v>
      </c>
      <c r="N29" s="537">
        <v>3.7331955904324772E-4</v>
      </c>
      <c r="O29" s="537">
        <v>3.7331955904324772E-4</v>
      </c>
      <c r="P29" s="537">
        <v>3.7331955904324772E-4</v>
      </c>
      <c r="Q29" s="537">
        <v>3.7331955904324772E-4</v>
      </c>
      <c r="R29" s="537">
        <v>3.7331955904324772E-4</v>
      </c>
      <c r="S29" s="537">
        <v>3.7331955904324772E-4</v>
      </c>
      <c r="T29" s="537">
        <v>3.7331955904324772E-4</v>
      </c>
      <c r="U29" s="537">
        <v>3.7331955904324772E-4</v>
      </c>
      <c r="V29" s="537">
        <v>3.7331955904324772E-4</v>
      </c>
      <c r="W29" s="537">
        <v>3.7331955904324772E-4</v>
      </c>
      <c r="X29" s="537">
        <v>3.7331955904324772E-4</v>
      </c>
      <c r="Y29" s="537">
        <v>3.7331955904324772E-4</v>
      </c>
      <c r="Z29" s="537">
        <v>3.7331955904324772E-4</v>
      </c>
      <c r="AA29" s="537">
        <v>3.7331955904324772E-4</v>
      </c>
      <c r="AB29" s="537">
        <v>3.7331955904324772E-4</v>
      </c>
      <c r="AC29" s="537">
        <v>3.7331955904324772E-4</v>
      </c>
      <c r="AD29" s="537">
        <v>3.7331955904324772E-4</v>
      </c>
      <c r="AE29" s="537">
        <v>3.7331955904324772E-4</v>
      </c>
      <c r="AF29" s="537">
        <v>3.7331955904324772E-4</v>
      </c>
      <c r="AG29" s="537">
        <v>3.7331955904324772E-4</v>
      </c>
      <c r="AH29" s="537">
        <v>3.7331955904324772E-4</v>
      </c>
      <c r="AI29" s="537">
        <v>3.7331955904324772E-4</v>
      </c>
      <c r="AJ29" s="537">
        <v>3.7331955904324772E-4</v>
      </c>
      <c r="AK29" s="537">
        <v>3.7331955904324772E-4</v>
      </c>
    </row>
    <row r="30" spans="1:37">
      <c r="A30" s="57" t="s">
        <v>60</v>
      </c>
      <c r="B30" s="408">
        <v>6.7804572629369363E-3</v>
      </c>
      <c r="C30" s="408">
        <v>7.084609643170898E-3</v>
      </c>
      <c r="D30" s="408">
        <v>6.6965625211192169E-3</v>
      </c>
      <c r="E30" s="408">
        <v>5.7652291992522772E-3</v>
      </c>
      <c r="F30" s="408">
        <v>2.1334181483211668E-3</v>
      </c>
      <c r="G30" s="408">
        <v>0</v>
      </c>
      <c r="H30" s="408">
        <v>0</v>
      </c>
      <c r="I30" s="408">
        <v>0</v>
      </c>
      <c r="J30" s="408">
        <v>0</v>
      </c>
      <c r="K30" s="423">
        <v>0</v>
      </c>
      <c r="L30" s="589">
        <v>0</v>
      </c>
      <c r="M30" s="537">
        <v>0</v>
      </c>
      <c r="N30" s="537">
        <v>0</v>
      </c>
      <c r="O30" s="537">
        <v>0</v>
      </c>
      <c r="P30" s="537">
        <v>0</v>
      </c>
      <c r="Q30" s="537">
        <v>0</v>
      </c>
      <c r="R30" s="537">
        <v>0</v>
      </c>
      <c r="S30" s="537">
        <v>0</v>
      </c>
      <c r="T30" s="537">
        <v>0</v>
      </c>
      <c r="U30" s="537">
        <v>0</v>
      </c>
      <c r="V30" s="537">
        <v>0</v>
      </c>
      <c r="W30" s="537">
        <v>0</v>
      </c>
      <c r="X30" s="537">
        <v>0</v>
      </c>
      <c r="Y30" s="537">
        <v>0</v>
      </c>
      <c r="Z30" s="537">
        <v>0</v>
      </c>
      <c r="AA30" s="537">
        <v>0</v>
      </c>
      <c r="AB30" s="537">
        <v>0</v>
      </c>
      <c r="AC30" s="537">
        <v>0</v>
      </c>
      <c r="AD30" s="537">
        <v>0</v>
      </c>
      <c r="AE30" s="537">
        <v>0</v>
      </c>
      <c r="AF30" s="537">
        <v>0</v>
      </c>
      <c r="AG30" s="537">
        <v>0</v>
      </c>
      <c r="AH30" s="537">
        <v>0</v>
      </c>
      <c r="AI30" s="537">
        <v>0</v>
      </c>
      <c r="AJ30" s="537">
        <v>0</v>
      </c>
      <c r="AK30" s="537">
        <v>0</v>
      </c>
    </row>
    <row r="31" spans="1:37">
      <c r="A31" s="57" t="s">
        <v>33</v>
      </c>
      <c r="B31" s="408">
        <f>B84*$B$85</f>
        <v>0.10688704453527939</v>
      </c>
      <c r="C31" s="450">
        <f t="shared" ref="C31:K31" si="2">C84*$B$85</f>
        <v>0.10739627155380832</v>
      </c>
      <c r="D31" s="450">
        <f t="shared" si="2"/>
        <v>9.611717890950533E-2</v>
      </c>
      <c r="E31" s="450">
        <f t="shared" si="2"/>
        <v>9.0873015177546229E-2</v>
      </c>
      <c r="F31" s="450">
        <f t="shared" si="2"/>
        <v>7.5575866736152603E-2</v>
      </c>
      <c r="G31" s="450">
        <f t="shared" si="2"/>
        <v>7.8573746918458948E-2</v>
      </c>
      <c r="H31" s="450">
        <f t="shared" si="2"/>
        <v>7.3637634514515535E-2</v>
      </c>
      <c r="I31" s="450">
        <f t="shared" si="2"/>
        <v>7.3671052311440305E-2</v>
      </c>
      <c r="J31" s="450">
        <f t="shared" si="2"/>
        <v>7.9595116311741709E-2</v>
      </c>
      <c r="K31" s="450">
        <f t="shared" si="2"/>
        <v>7.5019764215508919E-2</v>
      </c>
      <c r="L31" s="589">
        <v>7.2497480043072909E-2</v>
      </c>
      <c r="M31" s="537">
        <v>7.3259709611111695E-2</v>
      </c>
      <c r="N31" s="537">
        <v>7.5109688469051972E-2</v>
      </c>
      <c r="O31" s="537">
        <v>7.0359220039622833E-2</v>
      </c>
      <c r="P31" s="537">
        <v>6.6797088405247049E-2</v>
      </c>
      <c r="Q31" s="537">
        <v>6.6259116749634347E-2</v>
      </c>
      <c r="R31" s="537">
        <v>6.5077686483196534E-2</v>
      </c>
      <c r="S31" s="537">
        <v>6.5441358944271347E-2</v>
      </c>
      <c r="T31" s="537">
        <v>6.4792569912660719E-2</v>
      </c>
      <c r="U31" s="537">
        <v>6.5516935468837689E-2</v>
      </c>
      <c r="V31" s="537">
        <v>6.4075471428560959E-2</v>
      </c>
      <c r="W31" s="537">
        <v>6.6527591875120418E-2</v>
      </c>
      <c r="X31" s="537">
        <v>6.2429740179716448E-2</v>
      </c>
      <c r="Y31" s="537">
        <v>6.0349953239436982E-2</v>
      </c>
      <c r="Z31" s="537">
        <v>6.0053271567331298E-2</v>
      </c>
      <c r="AA31" s="537">
        <v>5.9530201779277717E-2</v>
      </c>
      <c r="AB31" s="537">
        <v>5.8819989517330674E-2</v>
      </c>
      <c r="AC31" s="537">
        <v>5.8278091160184842E-2</v>
      </c>
      <c r="AD31" s="537">
        <v>5.9113493430422798E-2</v>
      </c>
      <c r="AE31" s="537">
        <v>5.8798645273303293E-2</v>
      </c>
      <c r="AF31" s="537">
        <v>5.837031432810405E-2</v>
      </c>
      <c r="AG31" s="537">
        <v>5.7966782561204869E-2</v>
      </c>
      <c r="AH31" s="537">
        <v>5.7507997451306005E-2</v>
      </c>
      <c r="AI31" s="537">
        <v>5.7910292157546277E-2</v>
      </c>
      <c r="AJ31" s="537">
        <v>5.7585876999057865E-2</v>
      </c>
      <c r="AK31" s="537">
        <v>5.7597521452859061E-2</v>
      </c>
    </row>
    <row r="32" spans="1:37">
      <c r="A32" s="57" t="s">
        <v>26</v>
      </c>
      <c r="B32" s="408">
        <v>6.9624119764740894E-2</v>
      </c>
      <c r="C32" s="408">
        <v>6.690573766628799E-2</v>
      </c>
      <c r="D32" s="408">
        <v>6.5159312676454861E-2</v>
      </c>
      <c r="E32" s="408">
        <v>6.343528966827304E-2</v>
      </c>
      <c r="F32" s="408">
        <v>6.1649368415091971E-2</v>
      </c>
      <c r="G32" s="408">
        <v>6.0994730294016981E-2</v>
      </c>
      <c r="H32" s="408">
        <v>6.1605868496371299E-2</v>
      </c>
      <c r="I32" s="408">
        <v>6.396627392203387E-2</v>
      </c>
      <c r="J32" s="408">
        <v>7.0383336079007167E-2</v>
      </c>
      <c r="K32" s="408">
        <v>7.282616614749908E-2</v>
      </c>
      <c r="L32" s="589">
        <v>6.983375361092016E-2</v>
      </c>
      <c r="M32" s="537">
        <v>7.468634059750251E-2</v>
      </c>
      <c r="N32" s="537">
        <v>7.4464451485184338E-2</v>
      </c>
      <c r="O32" s="537">
        <v>8.114638798778466E-2</v>
      </c>
      <c r="P32" s="537">
        <v>8.1648687469580261E-2</v>
      </c>
      <c r="Q32" s="537">
        <v>8.1836337896316821E-2</v>
      </c>
      <c r="R32" s="537">
        <v>8.3195296934739121E-2</v>
      </c>
      <c r="S32" s="537">
        <v>8.4005635845218113E-2</v>
      </c>
      <c r="T32" s="537">
        <v>8.5038386169763197E-2</v>
      </c>
      <c r="U32" s="537">
        <v>8.5390081071486615E-2</v>
      </c>
      <c r="V32" s="537">
        <v>8.5520940392441763E-2</v>
      </c>
      <c r="W32" s="537">
        <v>9.4821751431132875E-2</v>
      </c>
      <c r="X32" s="537">
        <v>8.7299205010836392E-2</v>
      </c>
      <c r="Y32" s="537">
        <v>8.7863508025756806E-2</v>
      </c>
      <c r="Z32" s="537">
        <v>8.7815077926628612E-2</v>
      </c>
      <c r="AA32" s="537">
        <v>8.9686067899535066E-2</v>
      </c>
      <c r="AB32" s="537">
        <v>8.9083313321636687E-2</v>
      </c>
      <c r="AC32" s="537">
        <v>8.8593601656822091E-2</v>
      </c>
      <c r="AD32" s="537">
        <v>8.8015944285451009E-2</v>
      </c>
      <c r="AE32" s="537">
        <v>8.7363899812785362E-2</v>
      </c>
      <c r="AF32" s="537">
        <v>8.7661539143443115E-2</v>
      </c>
      <c r="AG32" s="537">
        <v>8.8593192454449202E-2</v>
      </c>
      <c r="AH32" s="537">
        <v>8.9350162369665462E-2</v>
      </c>
      <c r="AI32" s="537">
        <v>9.0439098722308486E-2</v>
      </c>
      <c r="AJ32" s="537">
        <v>9.1739974580524131E-2</v>
      </c>
      <c r="AK32" s="537">
        <v>9.2198940989295555E-2</v>
      </c>
    </row>
    <row r="33" spans="1:37">
      <c r="A33" s="57" t="s">
        <v>61</v>
      </c>
      <c r="B33" s="408">
        <v>0</v>
      </c>
      <c r="C33" s="408">
        <v>0</v>
      </c>
      <c r="D33" s="408">
        <v>0</v>
      </c>
      <c r="E33" s="408">
        <v>0</v>
      </c>
      <c r="F33" s="408">
        <v>0</v>
      </c>
      <c r="G33" s="408">
        <v>0</v>
      </c>
      <c r="H33" s="408">
        <v>0</v>
      </c>
      <c r="I33" s="408">
        <v>0</v>
      </c>
      <c r="J33" s="408">
        <v>0</v>
      </c>
      <c r="K33" s="423">
        <v>0</v>
      </c>
      <c r="L33" s="589">
        <v>0</v>
      </c>
      <c r="M33" s="537">
        <v>0</v>
      </c>
      <c r="N33" s="537">
        <v>0</v>
      </c>
      <c r="O33" s="537">
        <v>0</v>
      </c>
      <c r="P33" s="537">
        <v>0</v>
      </c>
      <c r="Q33" s="537">
        <v>0</v>
      </c>
      <c r="R33" s="537">
        <v>0</v>
      </c>
      <c r="S33" s="537">
        <v>0</v>
      </c>
      <c r="T33" s="537">
        <v>0</v>
      </c>
      <c r="U33" s="537">
        <v>0</v>
      </c>
      <c r="V33" s="537">
        <v>0</v>
      </c>
      <c r="W33" s="537">
        <v>0</v>
      </c>
      <c r="X33" s="537">
        <v>0</v>
      </c>
      <c r="Y33" s="537">
        <v>0</v>
      </c>
      <c r="Z33" s="537">
        <v>0</v>
      </c>
      <c r="AA33" s="537">
        <v>0</v>
      </c>
      <c r="AB33" s="537">
        <v>0</v>
      </c>
      <c r="AC33" s="537">
        <v>0</v>
      </c>
      <c r="AD33" s="537">
        <v>0</v>
      </c>
      <c r="AE33" s="537">
        <v>0</v>
      </c>
      <c r="AF33" s="537">
        <v>0</v>
      </c>
      <c r="AG33" s="537">
        <v>0</v>
      </c>
      <c r="AH33" s="537">
        <v>0</v>
      </c>
      <c r="AI33" s="537">
        <v>0</v>
      </c>
      <c r="AJ33" s="537">
        <v>0</v>
      </c>
      <c r="AK33" s="537">
        <v>0</v>
      </c>
    </row>
    <row r="34" spans="1:37">
      <c r="A34" s="57" t="s">
        <v>35</v>
      </c>
      <c r="B34" s="408">
        <v>0</v>
      </c>
      <c r="C34" s="408">
        <v>0</v>
      </c>
      <c r="D34" s="408">
        <v>0</v>
      </c>
      <c r="E34" s="408">
        <v>0</v>
      </c>
      <c r="F34" s="408">
        <v>0</v>
      </c>
      <c r="G34" s="408">
        <v>0</v>
      </c>
      <c r="H34" s="408">
        <v>0</v>
      </c>
      <c r="I34" s="408">
        <v>0</v>
      </c>
      <c r="J34" s="408">
        <v>0</v>
      </c>
      <c r="K34" s="423">
        <v>0</v>
      </c>
      <c r="L34" s="589">
        <v>0</v>
      </c>
      <c r="M34" s="538">
        <v>0</v>
      </c>
      <c r="N34" s="538">
        <v>0</v>
      </c>
      <c r="O34" s="538">
        <v>0</v>
      </c>
      <c r="P34" s="538">
        <v>0</v>
      </c>
      <c r="Q34" s="538">
        <v>0</v>
      </c>
      <c r="R34" s="538">
        <v>0</v>
      </c>
      <c r="S34" s="538">
        <v>0</v>
      </c>
      <c r="T34" s="538">
        <v>0</v>
      </c>
      <c r="U34" s="538">
        <v>0</v>
      </c>
      <c r="V34" s="538">
        <v>0</v>
      </c>
      <c r="W34" s="538">
        <v>0</v>
      </c>
      <c r="X34" s="538">
        <v>0</v>
      </c>
      <c r="Y34" s="538">
        <v>0</v>
      </c>
      <c r="Z34" s="538">
        <v>0</v>
      </c>
      <c r="AA34" s="538">
        <v>0</v>
      </c>
      <c r="AB34" s="538">
        <v>0</v>
      </c>
      <c r="AC34" s="538">
        <v>0</v>
      </c>
      <c r="AD34" s="538">
        <v>0</v>
      </c>
      <c r="AE34" s="538">
        <v>0</v>
      </c>
      <c r="AF34" s="538">
        <v>0</v>
      </c>
      <c r="AG34" s="538">
        <v>0</v>
      </c>
      <c r="AH34" s="538">
        <v>0</v>
      </c>
      <c r="AI34" s="538">
        <v>0</v>
      </c>
      <c r="AJ34" s="538">
        <v>0</v>
      </c>
      <c r="AK34" s="538">
        <v>0</v>
      </c>
    </row>
    <row r="35" spans="1:37">
      <c r="A35" s="57" t="s">
        <v>62</v>
      </c>
      <c r="B35" s="408">
        <f>B32+B33+B34</f>
        <v>6.9624119764740894E-2</v>
      </c>
      <c r="C35" s="408">
        <f t="shared" ref="C35:K35" si="3">C32+C33+C34</f>
        <v>6.690573766628799E-2</v>
      </c>
      <c r="D35" s="408">
        <f t="shared" si="3"/>
        <v>6.5159312676454861E-2</v>
      </c>
      <c r="E35" s="408">
        <f t="shared" si="3"/>
        <v>6.343528966827304E-2</v>
      </c>
      <c r="F35" s="408">
        <f t="shared" si="3"/>
        <v>6.1649368415091971E-2</v>
      </c>
      <c r="G35" s="408">
        <f t="shared" si="3"/>
        <v>6.0994730294016981E-2</v>
      </c>
      <c r="H35" s="408">
        <f t="shared" si="3"/>
        <v>6.1605868496371299E-2</v>
      </c>
      <c r="I35" s="408">
        <f t="shared" si="3"/>
        <v>6.396627392203387E-2</v>
      </c>
      <c r="J35" s="408">
        <f t="shared" si="3"/>
        <v>7.0383336079007167E-2</v>
      </c>
      <c r="K35" s="408">
        <f t="shared" si="3"/>
        <v>7.282616614749908E-2</v>
      </c>
      <c r="L35" s="589">
        <v>6.983375361092016E-2</v>
      </c>
      <c r="M35" s="537">
        <v>7.468634059750251E-2</v>
      </c>
      <c r="N35" s="537">
        <v>7.4464451485184338E-2</v>
      </c>
      <c r="O35" s="537">
        <v>8.114638798778466E-2</v>
      </c>
      <c r="P35" s="537">
        <v>8.1648687469580261E-2</v>
      </c>
      <c r="Q35" s="537">
        <v>8.1836337896316821E-2</v>
      </c>
      <c r="R35" s="537">
        <v>8.3195296934739121E-2</v>
      </c>
      <c r="S35" s="537">
        <v>8.4005635845218113E-2</v>
      </c>
      <c r="T35" s="537">
        <v>8.5038386169763197E-2</v>
      </c>
      <c r="U35" s="537">
        <v>8.5390081071486615E-2</v>
      </c>
      <c r="V35" s="537">
        <v>8.5520940392441763E-2</v>
      </c>
      <c r="W35" s="537">
        <v>9.4821751431132875E-2</v>
      </c>
      <c r="X35" s="537">
        <v>8.7299205010836392E-2</v>
      </c>
      <c r="Y35" s="537">
        <v>8.7863508025756806E-2</v>
      </c>
      <c r="Z35" s="537">
        <v>8.7815077926628612E-2</v>
      </c>
      <c r="AA35" s="537">
        <v>8.9686067899535066E-2</v>
      </c>
      <c r="AB35" s="537">
        <v>8.9083313321636687E-2</v>
      </c>
      <c r="AC35" s="537">
        <v>8.8593601656822091E-2</v>
      </c>
      <c r="AD35" s="537">
        <v>8.8015944285451009E-2</v>
      </c>
      <c r="AE35" s="537">
        <v>8.7363899812785362E-2</v>
      </c>
      <c r="AF35" s="537">
        <v>8.7661539143443115E-2</v>
      </c>
      <c r="AG35" s="537">
        <v>8.8593192454449202E-2</v>
      </c>
      <c r="AH35" s="537">
        <v>8.9350162369665462E-2</v>
      </c>
      <c r="AI35" s="537">
        <v>9.0439098722308486E-2</v>
      </c>
      <c r="AJ35" s="537">
        <v>9.1739974580524131E-2</v>
      </c>
      <c r="AK35" s="537">
        <v>9.2198940989295555E-2</v>
      </c>
    </row>
    <row r="36" spans="1:37">
      <c r="A36" s="57" t="s">
        <v>36</v>
      </c>
      <c r="B36" s="408">
        <v>0</v>
      </c>
      <c r="C36" s="408">
        <v>0</v>
      </c>
      <c r="D36" s="408">
        <v>0</v>
      </c>
      <c r="E36" s="408">
        <v>0</v>
      </c>
      <c r="F36" s="408">
        <v>9.0112102968652682E-6</v>
      </c>
      <c r="G36" s="408">
        <v>0</v>
      </c>
      <c r="H36" s="408">
        <v>0</v>
      </c>
      <c r="I36" s="408">
        <v>0</v>
      </c>
      <c r="J36" s="408">
        <v>0</v>
      </c>
      <c r="K36" s="423">
        <v>0</v>
      </c>
      <c r="L36" s="589">
        <v>0</v>
      </c>
      <c r="M36" s="537">
        <v>0</v>
      </c>
      <c r="N36" s="537">
        <v>0</v>
      </c>
      <c r="O36" s="537">
        <v>0</v>
      </c>
      <c r="P36" s="537">
        <v>0</v>
      </c>
      <c r="Q36" s="537">
        <v>0</v>
      </c>
      <c r="R36" s="537">
        <v>0</v>
      </c>
      <c r="S36" s="537">
        <v>0</v>
      </c>
      <c r="T36" s="537">
        <v>0</v>
      </c>
      <c r="U36" s="537">
        <v>0</v>
      </c>
      <c r="V36" s="537">
        <v>0</v>
      </c>
      <c r="W36" s="537">
        <v>0</v>
      </c>
      <c r="X36" s="537">
        <v>0</v>
      </c>
      <c r="Y36" s="537">
        <v>0</v>
      </c>
      <c r="Z36" s="537">
        <v>0</v>
      </c>
      <c r="AA36" s="537">
        <v>0</v>
      </c>
      <c r="AB36" s="537">
        <v>0</v>
      </c>
      <c r="AC36" s="537">
        <v>0</v>
      </c>
      <c r="AD36" s="537">
        <v>0</v>
      </c>
      <c r="AE36" s="537">
        <v>0</v>
      </c>
      <c r="AF36" s="537">
        <v>0</v>
      </c>
      <c r="AG36" s="537">
        <v>0</v>
      </c>
      <c r="AH36" s="537">
        <v>0</v>
      </c>
      <c r="AI36" s="537">
        <v>0</v>
      </c>
      <c r="AJ36" s="537">
        <v>0</v>
      </c>
      <c r="AK36" s="537">
        <v>0</v>
      </c>
    </row>
    <row r="37" spans="1:37">
      <c r="A37" s="57" t="s">
        <v>37</v>
      </c>
      <c r="B37" s="408">
        <v>3.578721760051585E-3</v>
      </c>
      <c r="C37" s="408">
        <v>3.5378419884432365E-3</v>
      </c>
      <c r="D37" s="408">
        <v>3.601623417064563E-3</v>
      </c>
      <c r="E37" s="408">
        <v>3.4036628607016814E-3</v>
      </c>
      <c r="F37" s="408">
        <v>2.7784565082001247E-3</v>
      </c>
      <c r="G37" s="408">
        <v>2.8077787004359561E-3</v>
      </c>
      <c r="H37" s="408">
        <v>2.9050425576084703E-3</v>
      </c>
      <c r="I37" s="408">
        <v>2.5746315133900765E-3</v>
      </c>
      <c r="J37" s="408">
        <v>2.3636579119610413E-3</v>
      </c>
      <c r="K37" s="423">
        <v>2.5589129827292756E-3</v>
      </c>
      <c r="L37" s="589">
        <v>2.522852812954121E-3</v>
      </c>
      <c r="M37" s="537">
        <v>2.4404646045256381E-3</v>
      </c>
      <c r="N37" s="537">
        <v>2.4056355615528335E-3</v>
      </c>
      <c r="O37" s="537">
        <v>2.4584870251193685E-3</v>
      </c>
      <c r="P37" s="537">
        <v>2.5039721818559267E-3</v>
      </c>
      <c r="Q37" s="537">
        <v>2.5182756902636496E-3</v>
      </c>
      <c r="R37" s="537">
        <v>2.5486706456300601E-3</v>
      </c>
      <c r="S37" s="537">
        <v>2.5789225659123938E-3</v>
      </c>
      <c r="T37" s="537">
        <v>2.6055986090927964E-3</v>
      </c>
      <c r="U37" s="537">
        <v>2.6058131617189124E-3</v>
      </c>
      <c r="V37" s="537">
        <v>2.5922248287315757E-3</v>
      </c>
      <c r="W37" s="537">
        <v>2.5784934606601618E-3</v>
      </c>
      <c r="X37" s="537">
        <v>2.5654057504670958E-3</v>
      </c>
      <c r="Y37" s="537">
        <v>2.5329367863815649E-3</v>
      </c>
      <c r="Z37" s="537">
        <v>2.4953185592692544E-3</v>
      </c>
      <c r="AA37" s="537">
        <v>2.4551972181855925E-3</v>
      </c>
      <c r="AB37" s="537">
        <v>2.4096405439069961E-3</v>
      </c>
      <c r="AC37" s="537">
        <v>2.3831075358106703E-3</v>
      </c>
      <c r="AD37" s="537">
        <v>2.3662293958895573E-3</v>
      </c>
      <c r="AE37" s="537">
        <v>2.3545005189952251E-3</v>
      </c>
      <c r="AF37" s="537">
        <v>2.3409121860078885E-3</v>
      </c>
      <c r="AG37" s="537">
        <v>2.330327589786174E-3</v>
      </c>
      <c r="AH37" s="537">
        <v>2.321817002283579E-3</v>
      </c>
      <c r="AI37" s="537">
        <v>2.3153804235001036E-3</v>
      </c>
      <c r="AJ37" s="537">
        <v>2.3108748183516712E-3</v>
      </c>
      <c r="AK37" s="537">
        <v>2.3103741955574006E-3</v>
      </c>
    </row>
    <row r="38" spans="1:37">
      <c r="A38" s="57" t="s">
        <v>63</v>
      </c>
      <c r="B38" s="408">
        <v>0</v>
      </c>
      <c r="C38" s="408">
        <v>0</v>
      </c>
      <c r="D38" s="408">
        <v>0</v>
      </c>
      <c r="E38" s="408">
        <v>0</v>
      </c>
      <c r="F38" s="408">
        <v>0</v>
      </c>
      <c r="G38" s="408">
        <v>0</v>
      </c>
      <c r="H38" s="408">
        <v>0</v>
      </c>
      <c r="I38" s="408">
        <v>0</v>
      </c>
      <c r="J38" s="408">
        <v>0</v>
      </c>
      <c r="K38" s="423">
        <v>0</v>
      </c>
      <c r="L38" s="589">
        <v>0</v>
      </c>
      <c r="M38" s="537">
        <v>0</v>
      </c>
      <c r="N38" s="537">
        <v>0</v>
      </c>
      <c r="O38" s="537">
        <v>0</v>
      </c>
      <c r="P38" s="537">
        <v>0</v>
      </c>
      <c r="Q38" s="537">
        <v>0</v>
      </c>
      <c r="R38" s="537">
        <v>0</v>
      </c>
      <c r="S38" s="537">
        <v>0</v>
      </c>
      <c r="T38" s="537">
        <v>0</v>
      </c>
      <c r="U38" s="537">
        <v>0</v>
      </c>
      <c r="V38" s="537">
        <v>0</v>
      </c>
      <c r="W38" s="537">
        <v>0</v>
      </c>
      <c r="X38" s="537">
        <v>0</v>
      </c>
      <c r="Y38" s="537">
        <v>0</v>
      </c>
      <c r="Z38" s="537">
        <v>0</v>
      </c>
      <c r="AA38" s="537">
        <v>0</v>
      </c>
      <c r="AB38" s="537">
        <v>0</v>
      </c>
      <c r="AC38" s="537">
        <v>0</v>
      </c>
      <c r="AD38" s="537">
        <v>0</v>
      </c>
      <c r="AE38" s="537">
        <v>0</v>
      </c>
      <c r="AF38" s="537">
        <v>0</v>
      </c>
      <c r="AG38" s="537">
        <v>0</v>
      </c>
      <c r="AH38" s="537">
        <v>0</v>
      </c>
      <c r="AI38" s="537">
        <v>0</v>
      </c>
      <c r="AJ38" s="537">
        <v>0</v>
      </c>
      <c r="AK38" s="537">
        <v>0</v>
      </c>
    </row>
    <row r="39" spans="1:37">
      <c r="A39" s="57" t="s">
        <v>64</v>
      </c>
      <c r="B39" s="408">
        <v>0</v>
      </c>
      <c r="C39" s="408">
        <v>0</v>
      </c>
      <c r="D39" s="408">
        <v>0</v>
      </c>
      <c r="E39" s="408">
        <v>0</v>
      </c>
      <c r="F39" s="408">
        <v>0</v>
      </c>
      <c r="G39" s="408">
        <v>0</v>
      </c>
      <c r="H39" s="408">
        <v>0</v>
      </c>
      <c r="I39" s="408">
        <v>0</v>
      </c>
      <c r="J39" s="408">
        <v>0</v>
      </c>
      <c r="K39" s="423">
        <v>0</v>
      </c>
      <c r="L39" s="589">
        <v>0</v>
      </c>
      <c r="M39" s="537">
        <v>0</v>
      </c>
      <c r="N39" s="537">
        <v>0</v>
      </c>
      <c r="O39" s="537">
        <v>0</v>
      </c>
      <c r="P39" s="537">
        <v>0</v>
      </c>
      <c r="Q39" s="537">
        <v>0</v>
      </c>
      <c r="R39" s="537">
        <v>0</v>
      </c>
      <c r="S39" s="537">
        <v>0</v>
      </c>
      <c r="T39" s="537">
        <v>0</v>
      </c>
      <c r="U39" s="537">
        <v>0</v>
      </c>
      <c r="V39" s="537">
        <v>0</v>
      </c>
      <c r="W39" s="537">
        <v>0</v>
      </c>
      <c r="X39" s="537">
        <v>0</v>
      </c>
      <c r="Y39" s="537">
        <v>0</v>
      </c>
      <c r="Z39" s="537">
        <v>0</v>
      </c>
      <c r="AA39" s="537">
        <v>0</v>
      </c>
      <c r="AB39" s="537">
        <v>0</v>
      </c>
      <c r="AC39" s="537">
        <v>0</v>
      </c>
      <c r="AD39" s="537">
        <v>0</v>
      </c>
      <c r="AE39" s="537">
        <v>0</v>
      </c>
      <c r="AF39" s="537">
        <v>0</v>
      </c>
      <c r="AG39" s="537">
        <v>0</v>
      </c>
      <c r="AH39" s="537">
        <v>0</v>
      </c>
      <c r="AI39" s="537">
        <v>0</v>
      </c>
      <c r="AJ39" s="537">
        <v>0</v>
      </c>
      <c r="AK39" s="537">
        <v>0</v>
      </c>
    </row>
    <row r="40" spans="1:37">
      <c r="A40" s="57" t="s">
        <v>65</v>
      </c>
      <c r="B40" s="408">
        <v>3.578721760051585E-3</v>
      </c>
      <c r="C40" s="408">
        <v>3.5378419884432365E-3</v>
      </c>
      <c r="D40" s="408">
        <v>3.601623417064563E-3</v>
      </c>
      <c r="E40" s="408">
        <v>3.4036628607016814E-3</v>
      </c>
      <c r="F40" s="408">
        <v>2.7874677184969894E-3</v>
      </c>
      <c r="G40" s="408">
        <v>2.8077787004359561E-3</v>
      </c>
      <c r="H40" s="408">
        <v>2.9050425576084703E-3</v>
      </c>
      <c r="I40" s="408">
        <v>2.5746315133900765E-3</v>
      </c>
      <c r="J40" s="408">
        <v>2.3636579119610413E-3</v>
      </c>
      <c r="K40" s="423">
        <v>2.5589129827292756E-3</v>
      </c>
      <c r="L40" s="589">
        <v>2.522852812954121E-3</v>
      </c>
      <c r="M40" s="537">
        <v>2.4404646045256381E-3</v>
      </c>
      <c r="N40" s="537">
        <v>2.4056355615528335E-3</v>
      </c>
      <c r="O40" s="537">
        <v>2.4584870251193685E-3</v>
      </c>
      <c r="P40" s="537">
        <v>2.5039721818559267E-3</v>
      </c>
      <c r="Q40" s="537">
        <v>2.5182756902636496E-3</v>
      </c>
      <c r="R40" s="537">
        <v>2.5486706456300601E-3</v>
      </c>
      <c r="S40" s="537">
        <v>2.5789225659123938E-3</v>
      </c>
      <c r="T40" s="537">
        <v>2.6055986090927964E-3</v>
      </c>
      <c r="U40" s="537">
        <v>2.6058131617189124E-3</v>
      </c>
      <c r="V40" s="537">
        <v>2.5922248287315757E-3</v>
      </c>
      <c r="W40" s="537">
        <v>2.5784934606601618E-3</v>
      </c>
      <c r="X40" s="537">
        <v>2.5654057504670958E-3</v>
      </c>
      <c r="Y40" s="537">
        <v>2.5329367863815649E-3</v>
      </c>
      <c r="Z40" s="537">
        <v>2.4953185592692544E-3</v>
      </c>
      <c r="AA40" s="537">
        <v>2.4551972181855925E-3</v>
      </c>
      <c r="AB40" s="537">
        <v>2.4096405439069961E-3</v>
      </c>
      <c r="AC40" s="537">
        <v>2.3831075358106703E-3</v>
      </c>
      <c r="AD40" s="537">
        <v>2.3662293958895573E-3</v>
      </c>
      <c r="AE40" s="537">
        <v>2.3545005189952251E-3</v>
      </c>
      <c r="AF40" s="537">
        <v>2.3409121860078885E-3</v>
      </c>
      <c r="AG40" s="537">
        <v>2.330327589786174E-3</v>
      </c>
      <c r="AH40" s="537">
        <v>2.321817002283579E-3</v>
      </c>
      <c r="AI40" s="537">
        <v>2.3153804235001036E-3</v>
      </c>
      <c r="AJ40" s="537">
        <v>2.3108748183516712E-3</v>
      </c>
      <c r="AK40" s="537">
        <v>2.3103741955574006E-3</v>
      </c>
    </row>
    <row r="41" spans="1:37">
      <c r="A41" s="57" t="s">
        <v>66</v>
      </c>
      <c r="B41" s="408">
        <v>1.5117250181316221E-4</v>
      </c>
      <c r="C41" s="408">
        <v>3.3037776342387145E-4</v>
      </c>
      <c r="D41" s="408">
        <v>4.8742678527615536E-4</v>
      </c>
      <c r="E41" s="408">
        <v>6.5784096757521247E-3</v>
      </c>
      <c r="F41" s="408">
        <v>4.1496094140132276E-3</v>
      </c>
      <c r="G41" s="408">
        <v>2.2961283206401749E-2</v>
      </c>
      <c r="H41" s="408">
        <v>1.2303822477270977E-2</v>
      </c>
      <c r="I41" s="408">
        <v>1.9445217497718964E-2</v>
      </c>
      <c r="J41" s="408">
        <v>1.9289232492774831E-2</v>
      </c>
      <c r="K41" s="423">
        <v>2.0002844132131579E-2</v>
      </c>
      <c r="L41" s="589">
        <v>2.2542748048831798E-2</v>
      </c>
      <c r="M41" s="537">
        <v>2.4012065721468964E-2</v>
      </c>
      <c r="N41" s="537">
        <v>2.3801686987398402E-2</v>
      </c>
      <c r="O41" s="537">
        <v>2.3195181394017168E-2</v>
      </c>
      <c r="P41" s="537">
        <v>2.2888132150100809E-2</v>
      </c>
      <c r="Q41" s="537">
        <v>2.2803869540944023E-2</v>
      </c>
      <c r="R41" s="537">
        <v>2.2609232173419237E-2</v>
      </c>
      <c r="S41" s="537">
        <v>2.230310889224086E-2</v>
      </c>
      <c r="T41" s="537">
        <v>2.1971614232041654E-2</v>
      </c>
      <c r="U41" s="537">
        <v>2.1587339695777207E-2</v>
      </c>
      <c r="V41" s="537">
        <v>2.1065096711552753E-2</v>
      </c>
      <c r="W41" s="537">
        <v>2.0568595491444328E-2</v>
      </c>
      <c r="X41" s="537">
        <v>2.028562127871562E-2</v>
      </c>
      <c r="Y41" s="537">
        <v>2.0037278072387608E-2</v>
      </c>
      <c r="Z41" s="537">
        <v>1.9756155785134871E-2</v>
      </c>
      <c r="AA41" s="537">
        <v>1.9520961249686272E-2</v>
      </c>
      <c r="AB41" s="537">
        <v>1.8954086861490863E-2</v>
      </c>
      <c r="AC41" s="537">
        <v>1.8516662064065988E-2</v>
      </c>
      <c r="AD41" s="537">
        <v>1.8129424447039983E-2</v>
      </c>
      <c r="AE41" s="537">
        <v>1.7618478208218966E-2</v>
      </c>
      <c r="AF41" s="537">
        <v>1.7220129038337122E-2</v>
      </c>
      <c r="AG41" s="537">
        <v>1.7214202876814008E-2</v>
      </c>
      <c r="AH41" s="537">
        <v>1.7220684615979916E-2</v>
      </c>
      <c r="AI41" s="537">
        <v>1.7256426777666201E-2</v>
      </c>
      <c r="AJ41" s="537">
        <v>1.6158234970414069E-2</v>
      </c>
      <c r="AK41" s="537">
        <v>1.4225935928783597E-2</v>
      </c>
    </row>
    <row r="42" spans="1:37">
      <c r="A42" s="57" t="s">
        <v>67</v>
      </c>
      <c r="B42" s="408">
        <v>5.3688384227431947E-2</v>
      </c>
      <c r="C42" s="408">
        <v>5.4582850634487125E-2</v>
      </c>
      <c r="D42" s="408">
        <v>5.6102381328335907E-2</v>
      </c>
      <c r="E42" s="408">
        <v>5.0265855226827437E-2</v>
      </c>
      <c r="F42" s="408">
        <v>5.0253884754425514E-2</v>
      </c>
      <c r="G42" s="408">
        <v>5.3367128384495741E-2</v>
      </c>
      <c r="H42" s="408">
        <v>5.7006151994681342E-2</v>
      </c>
      <c r="I42" s="408">
        <v>5.7550348086184304E-2</v>
      </c>
      <c r="J42" s="408">
        <v>5.9020925272993338E-2</v>
      </c>
      <c r="K42" s="423">
        <v>6.2596361257005309E-2</v>
      </c>
      <c r="L42" s="589">
        <v>5.8454579155314428E-2</v>
      </c>
      <c r="M42" s="537">
        <v>5.6976686216461223E-2</v>
      </c>
      <c r="N42" s="537">
        <v>5.7172817802738932E-2</v>
      </c>
      <c r="O42" s="537">
        <v>5.7237734595380153E-2</v>
      </c>
      <c r="P42" s="537">
        <v>5.7464252765447373E-2</v>
      </c>
      <c r="Q42" s="537">
        <v>5.7615264878825519E-2</v>
      </c>
      <c r="R42" s="537">
        <v>5.8326126778386063E-2</v>
      </c>
      <c r="S42" s="537">
        <v>5.9077504122999287E-2</v>
      </c>
      <c r="T42" s="537">
        <v>5.9868936509880503E-2</v>
      </c>
      <c r="U42" s="537">
        <v>5.996654190023467E-2</v>
      </c>
      <c r="V42" s="537">
        <v>5.9584867991727096E-2</v>
      </c>
      <c r="W42" s="537">
        <v>5.9174188707784084E-2</v>
      </c>
      <c r="X42" s="537">
        <v>5.914656454070271E-2</v>
      </c>
      <c r="Y42" s="537">
        <v>5.8994631621755188E-2</v>
      </c>
      <c r="Z42" s="537">
        <v>5.8742330895745355E-2</v>
      </c>
      <c r="AA42" s="537">
        <v>5.8273180458146771E-2</v>
      </c>
      <c r="AB42" s="537">
        <v>5.7897031383055478E-2</v>
      </c>
      <c r="AC42" s="537">
        <v>5.7478525251772744E-2</v>
      </c>
      <c r="AD42" s="537">
        <v>5.7390127917112364E-2</v>
      </c>
      <c r="AE42" s="537">
        <v>5.7426960139887524E-2</v>
      </c>
      <c r="AF42" s="537">
        <v>5.7370330597370719E-2</v>
      </c>
      <c r="AG42" s="537">
        <v>5.7316923874346747E-2</v>
      </c>
      <c r="AH42" s="537">
        <v>5.7420514500901867E-2</v>
      </c>
      <c r="AI42" s="537">
        <v>5.7713330671964373E-2</v>
      </c>
      <c r="AJ42" s="537">
        <v>5.784500586838557E-2</v>
      </c>
      <c r="AK42" s="537">
        <v>5.8009369662519711E-2</v>
      </c>
    </row>
    <row r="43" spans="1:37">
      <c r="A43" s="57" t="s">
        <v>27</v>
      </c>
      <c r="B43" s="450">
        <v>7.5499011523687584E-2</v>
      </c>
      <c r="C43" s="450">
        <v>7.5163093469910375E-2</v>
      </c>
      <c r="D43" s="450">
        <v>7.085822620571916E-2</v>
      </c>
      <c r="E43" s="450">
        <v>7.2103067861715761E-2</v>
      </c>
      <c r="F43" s="450">
        <v>7.979690994451559E-2</v>
      </c>
      <c r="G43" s="450">
        <v>9.0935771233461374E-2</v>
      </c>
      <c r="H43" s="450">
        <v>9.5374432778489129E-2</v>
      </c>
      <c r="I43" s="450">
        <v>9.4166125480153656E-2</v>
      </c>
      <c r="J43" s="450">
        <v>9.1173741357234314E-2</v>
      </c>
      <c r="K43" s="423">
        <v>9.1059214682031583E-2</v>
      </c>
      <c r="L43" s="589">
        <v>0.10121171318822025</v>
      </c>
      <c r="M43" s="537">
        <v>9.5798861798387494E-2</v>
      </c>
      <c r="N43" s="537">
        <v>7.3349520635301757E-2</v>
      </c>
      <c r="O43" s="537">
        <v>7.6022063870470336E-2</v>
      </c>
      <c r="P43" s="537">
        <v>7.6752025458178413E-2</v>
      </c>
      <c r="Q43" s="537">
        <v>7.7126403264409726E-2</v>
      </c>
      <c r="R43" s="537">
        <v>7.7667531049300867E-2</v>
      </c>
      <c r="S43" s="537">
        <v>7.8198788753099435E-2</v>
      </c>
      <c r="T43" s="537">
        <v>7.8785154950282557E-2</v>
      </c>
      <c r="U43" s="537">
        <v>7.9442426141063602E-2</v>
      </c>
      <c r="V43" s="537">
        <v>8.0167909367696105E-2</v>
      </c>
      <c r="W43" s="537">
        <v>8.0897593021131892E-2</v>
      </c>
      <c r="X43" s="537">
        <v>8.1679270870043535E-2</v>
      </c>
      <c r="Y43" s="537">
        <v>8.2424902624204877E-2</v>
      </c>
      <c r="Z43" s="537">
        <v>8.3391899465860869E-2</v>
      </c>
      <c r="AA43" s="537">
        <v>8.4586700660909953E-2</v>
      </c>
      <c r="AB43" s="537">
        <v>8.4860235445374313E-2</v>
      </c>
      <c r="AC43" s="537">
        <v>8.6125154608839974E-2</v>
      </c>
      <c r="AD43" s="537">
        <v>8.7401336939185684E-2</v>
      </c>
      <c r="AE43" s="537">
        <v>8.8691843127832709E-2</v>
      </c>
      <c r="AF43" s="537">
        <v>9.0064827165391381E-2</v>
      </c>
      <c r="AG43" s="537">
        <v>9.132144104503255E-2</v>
      </c>
      <c r="AH43" s="537">
        <v>9.2619028240935181E-2</v>
      </c>
      <c r="AI43" s="537">
        <v>9.3916615436837797E-2</v>
      </c>
      <c r="AJ43" s="537">
        <v>9.5214202632740816E-2</v>
      </c>
      <c r="AK43" s="537">
        <v>9.6511789828643446E-2</v>
      </c>
    </row>
    <row r="44" spans="1:37">
      <c r="B44" s="558">
        <f t="shared" ref="B44:L44" si="4">SUM(B26:B31,B35,B40,B41)</f>
        <v>0.21630939527699777</v>
      </c>
      <c r="C44" s="558">
        <f t="shared" si="4"/>
        <v>0.21486971916080042</v>
      </c>
      <c r="D44" s="558">
        <f t="shared" si="4"/>
        <v>0.1953977518932242</v>
      </c>
      <c r="E44" s="558">
        <f t="shared" si="4"/>
        <v>0.19215277594226163</v>
      </c>
      <c r="F44" s="558">
        <f t="shared" si="4"/>
        <v>0.17207772216764791</v>
      </c>
      <c r="G44" s="558">
        <f t="shared" si="4"/>
        <v>0.19247189533967704</v>
      </c>
      <c r="H44" s="558">
        <f t="shared" si="4"/>
        <v>0.18082225296944976</v>
      </c>
      <c r="I44" s="558">
        <f t="shared" si="4"/>
        <v>0.18838168651028231</v>
      </c>
      <c r="J44" s="558">
        <f t="shared" si="4"/>
        <v>0.20141251406561156</v>
      </c>
      <c r="K44" s="558">
        <f t="shared" si="4"/>
        <v>0.20021513826462062</v>
      </c>
      <c r="L44" s="581">
        <f t="shared" si="4"/>
        <v>0.1953772342408675</v>
      </c>
      <c r="M44" s="450"/>
      <c r="N44" s="450"/>
      <c r="O44" s="450"/>
      <c r="P44" s="450"/>
      <c r="Q44" s="450"/>
      <c r="R44" s="450"/>
      <c r="S44" s="450"/>
      <c r="T44" s="450"/>
      <c r="U44" s="450"/>
      <c r="V44" s="450"/>
      <c r="W44" s="450"/>
      <c r="X44" s="450"/>
      <c r="Y44" s="450"/>
      <c r="Z44" s="450"/>
      <c r="AA44" s="450"/>
      <c r="AB44" s="450"/>
      <c r="AC44" s="450"/>
      <c r="AD44" s="450"/>
      <c r="AE44" s="450"/>
      <c r="AF44" s="450"/>
      <c r="AG44" s="502"/>
      <c r="AH44" s="502"/>
      <c r="AI44" s="502"/>
      <c r="AJ44" s="502"/>
      <c r="AK44" s="502"/>
    </row>
    <row r="45" spans="1:37">
      <c r="A45" s="57" t="s">
        <v>81</v>
      </c>
      <c r="B45" s="408"/>
      <c r="C45" s="408"/>
      <c r="D45" s="408"/>
      <c r="E45" s="408"/>
      <c r="F45" s="408"/>
      <c r="G45" s="408"/>
      <c r="H45" s="408"/>
      <c r="I45" s="408"/>
      <c r="J45" s="408"/>
      <c r="K45" s="423"/>
      <c r="L45" s="590"/>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row>
    <row r="46" spans="1:37">
      <c r="A46" s="57" t="s">
        <v>24</v>
      </c>
      <c r="B46" s="450">
        <v>4.2423761954981981E-4</v>
      </c>
      <c r="C46" s="450">
        <v>6.351856816031574E-4</v>
      </c>
      <c r="D46" s="450">
        <v>1.212686392762524E-3</v>
      </c>
      <c r="E46" s="450">
        <v>8.6348350479425789E-4</v>
      </c>
      <c r="F46" s="450">
        <v>1.6922451315234894E-3</v>
      </c>
      <c r="G46" s="450">
        <v>1.4259779294476865E-3</v>
      </c>
      <c r="H46" s="450">
        <v>1.7364907247149229E-3</v>
      </c>
      <c r="I46" s="450">
        <v>1.5872858544012094E-3</v>
      </c>
      <c r="J46" s="450">
        <v>1.3888751226010583E-3</v>
      </c>
      <c r="K46" s="423">
        <v>3.1130643819443719E-4</v>
      </c>
      <c r="L46" s="589">
        <v>3.3590936893765594E-4</v>
      </c>
      <c r="M46" s="450">
        <v>3.4106804796445986E-4</v>
      </c>
      <c r="N46" s="450">
        <v>3.8451999822869301E-4</v>
      </c>
      <c r="O46" s="450">
        <v>3.684487289528807E-4</v>
      </c>
      <c r="P46" s="450">
        <v>4.1150385775351353E-4</v>
      </c>
      <c r="Q46" s="450">
        <v>4.1765459043931826E-4</v>
      </c>
      <c r="R46" s="450">
        <v>4.1606730458491702E-4</v>
      </c>
      <c r="S46" s="450">
        <v>4.0515471433590869E-4</v>
      </c>
      <c r="T46" s="450">
        <v>3.8967867725549693E-4</v>
      </c>
      <c r="U46" s="450">
        <v>3.7241694358888377E-4</v>
      </c>
      <c r="V46" s="450">
        <v>3.5971865675367404E-4</v>
      </c>
      <c r="W46" s="450">
        <v>3.5455997772687012E-4</v>
      </c>
      <c r="X46" s="450">
        <v>3.5059176309086711E-4</v>
      </c>
      <c r="Y46" s="450">
        <v>3.4840924504106545E-4</v>
      </c>
      <c r="Z46" s="450">
        <v>3.4920288796826609E-4</v>
      </c>
      <c r="AA46" s="450">
        <v>3.4959970943186636E-4</v>
      </c>
      <c r="AB46" s="450">
        <v>3.4741719138206469E-4</v>
      </c>
      <c r="AC46" s="450">
        <v>3.4622672699126378E-4</v>
      </c>
      <c r="AD46" s="450">
        <v>3.4305215528246142E-4</v>
      </c>
      <c r="AE46" s="450">
        <v>3.428537445506612E-4</v>
      </c>
      <c r="AF46" s="450">
        <v>3.4265533381886109E-4</v>
      </c>
      <c r="AG46" s="450">
        <v>3.4741719138206469E-4</v>
      </c>
      <c r="AH46" s="450">
        <v>3.494012987000662E-4</v>
      </c>
      <c r="AI46" s="450">
        <v>3.5297269187246894E-4</v>
      </c>
      <c r="AJ46" s="450">
        <v>3.5575044211767109E-4</v>
      </c>
      <c r="AK46" s="450">
        <v>3.6011547821727436E-4</v>
      </c>
    </row>
    <row r="47" spans="1:37">
      <c r="A47" s="57" t="s">
        <v>68</v>
      </c>
      <c r="B47" s="450">
        <v>3.23656049637422E-5</v>
      </c>
      <c r="C47" s="450">
        <v>2.7250798186578767E-5</v>
      </c>
      <c r="D47" s="450">
        <v>3.5721331171286214E-5</v>
      </c>
      <c r="E47" s="450">
        <v>5.688453492182183E-5</v>
      </c>
      <c r="F47" s="450">
        <v>4.9605471211446521E-5</v>
      </c>
      <c r="G47" s="450">
        <v>1.4719884392092283E-4</v>
      </c>
      <c r="H47" s="450">
        <v>3.531693874293204E-5</v>
      </c>
      <c r="I47" s="450">
        <v>1.3479747611806121E-4</v>
      </c>
      <c r="J47" s="450">
        <v>4.0439242835418361E-4</v>
      </c>
      <c r="K47" s="423">
        <v>6.4230997370256159E-4</v>
      </c>
      <c r="L47" s="589">
        <v>7.8088177915192861E-4</v>
      </c>
      <c r="M47" s="450">
        <v>9.6622830881426265E-4</v>
      </c>
      <c r="N47" s="450">
        <v>5.0454695310990299E-4</v>
      </c>
      <c r="O47" s="450">
        <v>6.3557009989665845E-4</v>
      </c>
      <c r="P47" s="450">
        <v>6.76278937684313E-4</v>
      </c>
      <c r="Q47" s="450">
        <v>1.1603366744242706E-3</v>
      </c>
      <c r="R47" s="450">
        <v>1.7235205296455306E-3</v>
      </c>
      <c r="S47" s="450">
        <v>2.2085218487183146E-3</v>
      </c>
      <c r="T47" s="450">
        <v>2.1587815800307502E-3</v>
      </c>
      <c r="U47" s="450">
        <v>2.803113515875083E-3</v>
      </c>
      <c r="V47" s="450">
        <v>4.1586369357183061E-3</v>
      </c>
      <c r="W47" s="450">
        <v>4.5607378069784828E-3</v>
      </c>
      <c r="X47" s="450">
        <v>5.5156431277988286E-3</v>
      </c>
      <c r="Y47" s="450">
        <v>6.1583574939297432E-3</v>
      </c>
      <c r="Z47" s="450">
        <v>6.7272028431479619E-3</v>
      </c>
      <c r="AA47" s="450">
        <v>7.4462125807617007E-3</v>
      </c>
      <c r="AB47" s="450">
        <v>7.6213145022390617E-3</v>
      </c>
      <c r="AC47" s="450">
        <v>7.7481589272661586E-3</v>
      </c>
      <c r="AD47" s="450">
        <v>7.8367208690757247E-3</v>
      </c>
      <c r="AE47" s="450">
        <v>7.6752334926862859E-3</v>
      </c>
      <c r="AF47" s="450">
        <v>7.7135159759038167E-3</v>
      </c>
      <c r="AG47" s="450">
        <v>8.1069898086924361E-3</v>
      </c>
      <c r="AH47" s="450">
        <v>8.4042182435327614E-3</v>
      </c>
      <c r="AI47" s="450">
        <v>8.6616814229182569E-3</v>
      </c>
      <c r="AJ47" s="450">
        <v>8.8649560169042959E-3</v>
      </c>
      <c r="AK47" s="450">
        <v>8.9985403157372933E-3</v>
      </c>
    </row>
    <row r="48" spans="1:37">
      <c r="A48" s="57" t="s">
        <v>30</v>
      </c>
      <c r="B48" s="421">
        <v>0.3288840165780807</v>
      </c>
      <c r="C48" s="421">
        <v>0.33236966393812284</v>
      </c>
      <c r="D48" s="421">
        <v>0.33205525300390565</v>
      </c>
      <c r="E48" s="421">
        <v>0.31909734686139546</v>
      </c>
      <c r="F48" s="421">
        <v>0.31042139929978291</v>
      </c>
      <c r="G48" s="421">
        <v>0.30726998323761218</v>
      </c>
      <c r="H48" s="421">
        <v>0.29763627441844603</v>
      </c>
      <c r="I48" s="421">
        <v>0.28716494445773966</v>
      </c>
      <c r="J48" s="421">
        <v>0.28909530736618266</v>
      </c>
      <c r="K48" s="421">
        <v>0.30345336248962124</v>
      </c>
      <c r="L48" s="591">
        <v>0.30733013761578848</v>
      </c>
      <c r="M48" s="421">
        <v>0.31142606858755678</v>
      </c>
      <c r="N48" s="421">
        <v>0.31396414548004131</v>
      </c>
      <c r="O48" s="421">
        <v>0.31395669363357681</v>
      </c>
      <c r="P48" s="421">
        <v>0.31194899971306755</v>
      </c>
      <c r="Q48" s="421">
        <v>0.3088342055392071</v>
      </c>
      <c r="R48" s="421">
        <v>0.30305227871447343</v>
      </c>
      <c r="S48" s="421">
        <v>0.29639953651965545</v>
      </c>
      <c r="T48" s="421">
        <v>0.29065291232544083</v>
      </c>
      <c r="U48" s="421">
        <v>0.28394537912977702</v>
      </c>
      <c r="V48" s="421">
        <v>0.27792310234674489</v>
      </c>
      <c r="W48" s="421">
        <v>0.27137563667734943</v>
      </c>
      <c r="X48" s="421">
        <v>0.26592083235134006</v>
      </c>
      <c r="Y48" s="421">
        <v>0.26095934572983914</v>
      </c>
      <c r="Z48" s="421">
        <v>0.25631793541121206</v>
      </c>
      <c r="AA48" s="421">
        <v>0.25133390987375204</v>
      </c>
      <c r="AB48" s="421">
        <v>0.24735135098764716</v>
      </c>
      <c r="AC48" s="421">
        <v>0.24385988167394529</v>
      </c>
      <c r="AD48" s="421">
        <v>0.24061979307673975</v>
      </c>
      <c r="AE48" s="421">
        <v>0.23766486570092393</v>
      </c>
      <c r="AF48" s="421">
        <v>0.23511960977377003</v>
      </c>
      <c r="AG48" s="421">
        <v>0.23236788363730981</v>
      </c>
      <c r="AH48" s="421">
        <v>0.22997703666003361</v>
      </c>
      <c r="AI48" s="421">
        <v>0.22792776659022576</v>
      </c>
      <c r="AJ48" s="421">
        <v>0.2258513319099944</v>
      </c>
      <c r="AK48" s="422">
        <v>0.22394742219559577</v>
      </c>
    </row>
    <row r="49" spans="1:38">
      <c r="A49" s="57" t="s">
        <v>39</v>
      </c>
      <c r="B49" s="423">
        <v>0.10127037937244192</v>
      </c>
      <c r="C49" s="423">
        <v>0.10402792971190883</v>
      </c>
      <c r="D49" s="423">
        <v>0.10277475906699299</v>
      </c>
      <c r="E49" s="423">
        <v>0.10831517199779481</v>
      </c>
      <c r="F49" s="423">
        <v>9.3546300530767693E-2</v>
      </c>
      <c r="G49" s="423">
        <v>0.10303396444940638</v>
      </c>
      <c r="H49" s="423">
        <v>0.10135397278806429</v>
      </c>
      <c r="I49" s="423">
        <v>9.7683433174249115E-2</v>
      </c>
      <c r="J49" s="423">
        <v>9.5466007570532585E-2</v>
      </c>
      <c r="K49" s="423">
        <v>9.4401059747695054E-2</v>
      </c>
      <c r="L49" s="589">
        <v>9.6108010636113891E-2</v>
      </c>
      <c r="M49" s="423">
        <v>9.6020947504515328E-2</v>
      </c>
      <c r="N49" s="423">
        <v>9.7458539535387967E-2</v>
      </c>
      <c r="O49" s="423">
        <v>9.885458401284361E-2</v>
      </c>
      <c r="P49" s="423">
        <v>9.998477083107471E-2</v>
      </c>
      <c r="Q49" s="423">
        <v>0.10117517826043831</v>
      </c>
      <c r="R49" s="423">
        <v>0.10274850007958054</v>
      </c>
      <c r="S49" s="423">
        <v>0.10444086264165915</v>
      </c>
      <c r="T49" s="423">
        <v>0.10592700462259211</v>
      </c>
      <c r="U49" s="423">
        <v>0.10740707785976754</v>
      </c>
      <c r="V49" s="423">
        <v>0.10888563391100357</v>
      </c>
      <c r="W49" s="423">
        <v>0.1101293762614671</v>
      </c>
      <c r="X49" s="423">
        <v>0.11158015613935131</v>
      </c>
      <c r="Y49" s="423">
        <v>0.11324217498264222</v>
      </c>
      <c r="Z49" s="423">
        <v>0.11480277578121575</v>
      </c>
      <c r="AA49" s="423">
        <v>0.11612039341626626</v>
      </c>
      <c r="AB49" s="423">
        <v>0.11735596630397925</v>
      </c>
      <c r="AC49" s="423">
        <v>0.11869144005047022</v>
      </c>
      <c r="AD49" s="423">
        <v>0.12024713917139346</v>
      </c>
      <c r="AE49" s="423">
        <v>0.12183469919704376</v>
      </c>
      <c r="AF49" s="423">
        <v>0.12340323604514639</v>
      </c>
      <c r="AG49" s="423">
        <v>0.12491668737298829</v>
      </c>
      <c r="AH49" s="423">
        <v>0.12642021863891881</v>
      </c>
      <c r="AI49" s="423">
        <v>0.12814164114706719</v>
      </c>
      <c r="AJ49" s="423">
        <v>0.12984590778343941</v>
      </c>
      <c r="AK49" s="451">
        <v>0.13153932070501451</v>
      </c>
    </row>
    <row r="50" spans="1:38">
      <c r="A50" s="57" t="s">
        <v>40</v>
      </c>
      <c r="B50" s="428">
        <v>0.12187213456153871</v>
      </c>
      <c r="C50" s="428">
        <v>0.12577856082797045</v>
      </c>
      <c r="D50" s="428">
        <v>0.13503152459999998</v>
      </c>
      <c r="E50" s="428">
        <v>0.12729394327999999</v>
      </c>
      <c r="F50" s="428">
        <v>0.11741454759999999</v>
      </c>
      <c r="G50" s="428">
        <v>0.11879844339999998</v>
      </c>
      <c r="H50" s="428">
        <v>0.11856862079999998</v>
      </c>
      <c r="I50" s="428">
        <v>0.11309255999999999</v>
      </c>
      <c r="J50" s="428">
        <v>0.12665044</v>
      </c>
      <c r="K50" s="428">
        <v>0.12487419237999998</v>
      </c>
      <c r="L50" s="592">
        <v>0.12593633654</v>
      </c>
      <c r="M50" s="428">
        <v>0.12425152194</v>
      </c>
      <c r="N50" s="428">
        <v>0.12706841951999998</v>
      </c>
      <c r="O50" s="428">
        <v>0.12717423554113799</v>
      </c>
      <c r="P50" s="428">
        <v>0.12689990932970618</v>
      </c>
      <c r="Q50" s="428">
        <v>0.12184114743469741</v>
      </c>
      <c r="R50" s="428">
        <v>0.12209953596149602</v>
      </c>
      <c r="S50" s="428">
        <v>0.12223839322016766</v>
      </c>
      <c r="T50" s="428">
        <v>0.12220062140166373</v>
      </c>
      <c r="U50" s="428">
        <v>0.12178737311660962</v>
      </c>
      <c r="V50" s="428">
        <v>0.12064384345536845</v>
      </c>
      <c r="W50" s="428">
        <v>0.11909074617904777</v>
      </c>
      <c r="X50" s="428">
        <v>0.11794157798683423</v>
      </c>
      <c r="Y50" s="428">
        <v>0.11697621879453764</v>
      </c>
      <c r="Z50" s="428">
        <v>0.11609706496591329</v>
      </c>
      <c r="AA50" s="428">
        <v>0.11512363687552234</v>
      </c>
      <c r="AB50" s="428">
        <v>0.11420556162041794</v>
      </c>
      <c r="AC50" s="428">
        <v>0.11341340446988558</v>
      </c>
      <c r="AD50" s="428">
        <v>0.11313788692341381</v>
      </c>
      <c r="AE50" s="428">
        <v>0.11317644964944543</v>
      </c>
      <c r="AF50" s="428">
        <v>0.11314315315097545</v>
      </c>
      <c r="AG50" s="428">
        <v>0.11306296142468382</v>
      </c>
      <c r="AH50" s="428">
        <v>0.11332911415842827</v>
      </c>
      <c r="AI50" s="428">
        <v>0.11390573926659731</v>
      </c>
      <c r="AJ50" s="428">
        <v>0.11440079775643561</v>
      </c>
      <c r="AK50" s="429">
        <v>0.11481529075466108</v>
      </c>
    </row>
    <row r="51" spans="1:38">
      <c r="A51" s="57" t="s">
        <v>31</v>
      </c>
      <c r="B51" s="450">
        <v>4.7050949345592286E-2</v>
      </c>
      <c r="C51" s="450">
        <v>4.7278247000739647E-2</v>
      </c>
      <c r="D51" s="450">
        <v>6.3369836323745182E-2</v>
      </c>
      <c r="E51" s="450">
        <v>5.9616316745857635E-2</v>
      </c>
      <c r="F51" s="450">
        <v>5.3657109687319141E-2</v>
      </c>
      <c r="G51" s="450">
        <v>5.0014837198659373E-2</v>
      </c>
      <c r="H51" s="450">
        <v>4.425637408638769E-2</v>
      </c>
      <c r="I51" s="450">
        <v>4.2787342010687422E-2</v>
      </c>
      <c r="J51" s="450">
        <v>3.6190960117373112E-2</v>
      </c>
      <c r="K51" s="423">
        <v>2.8244637583621612E-2</v>
      </c>
      <c r="L51" s="589">
        <v>2.3722906936050506E-2</v>
      </c>
      <c r="M51" s="450">
        <v>3.1474903624836806E-2</v>
      </c>
      <c r="N51" s="450">
        <v>2.3408598252863667E-2</v>
      </c>
      <c r="O51" s="450">
        <v>2.3174694116538573E-2</v>
      </c>
      <c r="P51" s="450">
        <v>2.2941859663763751E-2</v>
      </c>
      <c r="Q51" s="450">
        <v>2.2915474136190495E-2</v>
      </c>
      <c r="R51" s="450">
        <v>2.290299449477071E-2</v>
      </c>
      <c r="S51" s="450">
        <v>2.288819720565868E-2</v>
      </c>
      <c r="T51" s="450">
        <v>2.2866268692878205E-2</v>
      </c>
      <c r="U51" s="450">
        <v>2.2854680454416975E-2</v>
      </c>
      <c r="V51" s="450">
        <v>2.2835247869920455E-2</v>
      </c>
      <c r="W51" s="450">
        <v>2.2814923882465379E-2</v>
      </c>
      <c r="X51" s="450">
        <v>2.2801374557495327E-2</v>
      </c>
      <c r="Y51" s="450">
        <v>2.2788360074300407E-2</v>
      </c>
      <c r="Z51" s="450">
        <v>2.3283266996890692E-2</v>
      </c>
      <c r="AA51" s="450">
        <v>2.3805985691787927E-2</v>
      </c>
      <c r="AB51" s="450">
        <v>2.4316581306448794E-2</v>
      </c>
      <c r="AC51" s="450">
        <v>2.4769414009395238E-2</v>
      </c>
      <c r="AD51" s="450">
        <v>2.5299798769736051E-2</v>
      </c>
      <c r="AE51" s="450">
        <v>2.5796488498243446E-2</v>
      </c>
      <c r="AF51" s="450">
        <v>2.6290147456691754E-2</v>
      </c>
      <c r="AG51" s="450">
        <v>2.6602138492186345E-2</v>
      </c>
      <c r="AH51" s="450">
        <v>2.6915734053006346E-2</v>
      </c>
      <c r="AI51" s="450">
        <v>2.7055327756316212E-2</v>
      </c>
      <c r="AJ51" s="450">
        <v>2.7416524235123099E-2</v>
      </c>
      <c r="AK51" s="450">
        <v>2.7721384046949245E-2</v>
      </c>
    </row>
    <row r="52" spans="1:38">
      <c r="A52" s="57" t="s">
        <v>69</v>
      </c>
      <c r="B52" s="450">
        <v>5.4660960326839078E-3</v>
      </c>
      <c r="C52" s="450">
        <v>5.3572287190000178E-3</v>
      </c>
      <c r="D52" s="450">
        <v>5.4529945640031897E-3</v>
      </c>
      <c r="E52" s="450">
        <v>5.3444717311111585E-3</v>
      </c>
      <c r="F52" s="450">
        <v>4.7609300136319923E-3</v>
      </c>
      <c r="G52" s="450">
        <v>5.2840989605944305E-3</v>
      </c>
      <c r="H52" s="450">
        <v>5.0794611954993888E-3</v>
      </c>
      <c r="I52" s="450">
        <v>4.6298136899330872E-3</v>
      </c>
      <c r="J52" s="450">
        <v>4.6298136899330872E-3</v>
      </c>
      <c r="K52" s="423">
        <v>4.7251878519457089E-3</v>
      </c>
      <c r="L52" s="589">
        <v>4.7577817403228369E-3</v>
      </c>
      <c r="M52" s="450">
        <v>4.8890832565693402E-3</v>
      </c>
      <c r="N52" s="450">
        <v>4.919084449280106E-3</v>
      </c>
      <c r="O52" s="450">
        <v>4.9320479276119189E-3</v>
      </c>
      <c r="P52" s="450">
        <v>4.927047728826791E-3</v>
      </c>
      <c r="Q52" s="450">
        <v>4.9048246231151128E-3</v>
      </c>
      <c r="R52" s="450">
        <v>4.8901944118549239E-3</v>
      </c>
      <c r="S52" s="450">
        <v>4.8827867099510312E-3</v>
      </c>
      <c r="T52" s="450">
        <v>4.8781568962610981E-3</v>
      </c>
      <c r="U52" s="450">
        <v>4.8814903621178501E-3</v>
      </c>
      <c r="V52" s="450">
        <v>4.8864905609029771E-3</v>
      </c>
      <c r="W52" s="450">
        <v>4.8881572938313531E-3</v>
      </c>
      <c r="X52" s="450">
        <v>4.8870461385457694E-3</v>
      </c>
      <c r="Y52" s="450">
        <v>4.8883424863789505E-3</v>
      </c>
      <c r="Z52" s="450">
        <v>4.8905647969501188E-3</v>
      </c>
      <c r="AA52" s="450">
        <v>4.8918611447832999E-3</v>
      </c>
      <c r="AB52" s="450">
        <v>4.8894536416645342E-3</v>
      </c>
      <c r="AC52" s="450">
        <v>4.8866757534505745E-3</v>
      </c>
      <c r="AD52" s="450">
        <v>4.8859349832601857E-3</v>
      </c>
      <c r="AE52" s="450">
        <v>4.8870461385457694E-3</v>
      </c>
      <c r="AF52" s="450">
        <v>4.8877869087361582E-3</v>
      </c>
      <c r="AG52" s="450">
        <v>4.8874165236409643E-3</v>
      </c>
      <c r="AH52" s="450">
        <v>4.8850090205221986E-3</v>
      </c>
      <c r="AI52" s="450">
        <v>4.884823827974602E-3</v>
      </c>
      <c r="AJ52" s="450">
        <v>4.8833422875938226E-3</v>
      </c>
      <c r="AK52" s="450">
        <v>4.8838978652366149E-3</v>
      </c>
    </row>
    <row r="53" spans="1:38">
      <c r="A53" s="57" t="s">
        <v>70</v>
      </c>
      <c r="B53" s="450">
        <v>8.6381205803119539E-3</v>
      </c>
      <c r="C53" s="450">
        <v>8.4491107344529335E-3</v>
      </c>
      <c r="D53" s="450">
        <v>8.3943832865140591E-3</v>
      </c>
      <c r="E53" s="450">
        <v>8.4112704645730174E-3</v>
      </c>
      <c r="F53" s="450">
        <v>7.0786391891273217E-3</v>
      </c>
      <c r="G53" s="450">
        <v>8.0444110791542765E-3</v>
      </c>
      <c r="H53" s="450">
        <v>7.4620945943626241E-3</v>
      </c>
      <c r="I53" s="450">
        <v>9.025905514270606E-3</v>
      </c>
      <c r="J53" s="450">
        <v>1.0481696726249734E-2</v>
      </c>
      <c r="K53" s="423">
        <v>7.6542590343438698E-3</v>
      </c>
      <c r="L53" s="589">
        <v>1.0491304948248799E-2</v>
      </c>
      <c r="M53" s="450">
        <v>1.1599744377049708E-2</v>
      </c>
      <c r="N53" s="450">
        <v>1.0503242436187027E-2</v>
      </c>
      <c r="O53" s="450">
        <v>1.122647951029826E-2</v>
      </c>
      <c r="P53" s="450">
        <v>1.1138258562852322E-2</v>
      </c>
      <c r="Q53" s="450">
        <v>1.0833124724821497E-2</v>
      </c>
      <c r="R53" s="450">
        <v>1.074170103670921E-2</v>
      </c>
      <c r="S53" s="450">
        <v>1.0331459073173489E-2</v>
      </c>
      <c r="T53" s="450">
        <v>1.0088050782530578E-2</v>
      </c>
      <c r="U53" s="450">
        <v>1.0032439558232976E-2</v>
      </c>
      <c r="V53" s="450">
        <v>1.0262745727968075E-2</v>
      </c>
      <c r="W53" s="450">
        <v>1.0454619009706925E-2</v>
      </c>
      <c r="X53" s="450">
        <v>1.0007982265871728E-2</v>
      </c>
      <c r="Y53" s="450">
        <v>9.9651820042395405E-3</v>
      </c>
      <c r="Z53" s="450">
        <v>9.9410158701206865E-3</v>
      </c>
      <c r="AA53" s="450">
        <v>9.8824930633991254E-3</v>
      </c>
      <c r="AB53" s="450">
        <v>9.831831529222252E-3</v>
      </c>
      <c r="AC53" s="450">
        <v>9.819894041284024E-3</v>
      </c>
      <c r="AD53" s="450">
        <v>9.8594915622498541E-3</v>
      </c>
      <c r="AE53" s="450">
        <v>9.9127735206082923E-3</v>
      </c>
      <c r="AF53" s="450">
        <v>9.9500417756349588E-3</v>
      </c>
      <c r="AG53" s="450">
        <v>9.9686759031482903E-3</v>
      </c>
      <c r="AH53" s="450">
        <v>1.0021957861506727E-2</v>
      </c>
      <c r="AI53" s="450">
        <v>1.0077860244046725E-2</v>
      </c>
      <c r="AJ53" s="450">
        <v>1.0202184813549743E-2</v>
      </c>
      <c r="AK53" s="450">
        <v>1.0295646609358802E-2</v>
      </c>
    </row>
    <row r="54" spans="1:38">
      <c r="A54" s="57" t="s">
        <v>71</v>
      </c>
      <c r="B54" s="450">
        <v>6.4141530715026635E-5</v>
      </c>
      <c r="C54" s="450">
        <v>8.7799011018190325E-5</v>
      </c>
      <c r="D54" s="450">
        <v>1.9140456863198728E-4</v>
      </c>
      <c r="E54" s="450">
        <v>2.0314737129663481E-4</v>
      </c>
      <c r="F54" s="450">
        <v>2.5195631499823356E-4</v>
      </c>
      <c r="G54" s="450">
        <v>2.4329716608371889E-4</v>
      </c>
      <c r="H54" s="450">
        <v>2.7257630270114249E-4</v>
      </c>
      <c r="I54" s="450">
        <v>2.4918414142488174E-4</v>
      </c>
      <c r="J54" s="450">
        <v>3.1148017678110212E-4</v>
      </c>
      <c r="K54" s="423">
        <v>2.7980264280246404E-4</v>
      </c>
      <c r="L54" s="589">
        <v>3.1085721642753989E-4</v>
      </c>
      <c r="M54" s="450">
        <v>3.4128882969905363E-4</v>
      </c>
      <c r="N54" s="450">
        <v>3.7766971434708633E-4</v>
      </c>
      <c r="O54" s="450">
        <v>3.9788477782017989E-4</v>
      </c>
      <c r="P54" s="450">
        <v>4.2604258580119147E-4</v>
      </c>
      <c r="Q54" s="450">
        <v>4.6239232243154614E-4</v>
      </c>
      <c r="R54" s="450">
        <v>4.6946292244447717E-4</v>
      </c>
      <c r="S54" s="450">
        <v>4.7304494447745983E-4</v>
      </c>
      <c r="T54" s="450">
        <v>4.7482038148511209E-4</v>
      </c>
      <c r="U54" s="450">
        <v>4.7687615065186738E-4</v>
      </c>
      <c r="V54" s="450">
        <v>4.7949258413682863E-4</v>
      </c>
      <c r="W54" s="450">
        <v>4.8746647666242485E-4</v>
      </c>
      <c r="X54" s="450">
        <v>5.0213719298881476E-4</v>
      </c>
      <c r="Y54" s="450">
        <v>5.2216536835583964E-4</v>
      </c>
      <c r="Z54" s="450">
        <v>5.4244272786428942E-4</v>
      </c>
      <c r="AA54" s="450">
        <v>5.6365452790308249E-4</v>
      </c>
      <c r="AB54" s="450">
        <v>5.8474173587116311E-4</v>
      </c>
      <c r="AC54" s="450">
        <v>6.0573549978620931E-4</v>
      </c>
      <c r="AD54" s="450">
        <v>6.2669811568357749E-4</v>
      </c>
      <c r="AE54" s="450">
        <v>6.4990338885376967E-4</v>
      </c>
      <c r="AF54" s="450">
        <v>6.718627413168373E-4</v>
      </c>
      <c r="AG54" s="450">
        <v>6.9634508321183197E-4</v>
      </c>
      <c r="AH54" s="450">
        <v>7.2032905682397686E-4</v>
      </c>
      <c r="AI54" s="450">
        <v>7.4677372383269241E-4</v>
      </c>
      <c r="AJ54" s="450">
        <v>7.7430857146014182E-4</v>
      </c>
      <c r="AK54" s="450">
        <v>8.0240408340579719E-4</v>
      </c>
    </row>
    <row r="55" spans="1:38">
      <c r="A55" s="57" t="s">
        <v>72</v>
      </c>
      <c r="B55" s="450">
        <v>0</v>
      </c>
      <c r="C55" s="450">
        <v>0</v>
      </c>
      <c r="D55" s="450">
        <v>0</v>
      </c>
      <c r="E55" s="450">
        <v>0</v>
      </c>
      <c r="F55" s="450">
        <v>0</v>
      </c>
      <c r="G55" s="450">
        <v>0</v>
      </c>
      <c r="H55" s="450">
        <v>0</v>
      </c>
      <c r="I55" s="450">
        <v>0</v>
      </c>
      <c r="J55" s="450">
        <v>0</v>
      </c>
      <c r="K55" s="423">
        <v>1.8519254759732349E-7</v>
      </c>
      <c r="L55" s="589">
        <v>8.5188571894768807E-6</v>
      </c>
      <c r="M55" s="450">
        <v>1.7222906926551083E-5</v>
      </c>
      <c r="N55" s="450">
        <v>2.6852919401611904E-5</v>
      </c>
      <c r="O55" s="450">
        <v>5.2965068612834515E-5</v>
      </c>
      <c r="P55" s="450">
        <v>1.0204109372612523E-4</v>
      </c>
      <c r="Q55" s="450">
        <v>1.735254170986921E-4</v>
      </c>
      <c r="R55" s="450">
        <v>2.6408457287378328E-4</v>
      </c>
      <c r="S55" s="450">
        <v>3.622366231003647E-4</v>
      </c>
      <c r="T55" s="450">
        <v>4.6890753051642307E-4</v>
      </c>
      <c r="U55" s="450">
        <v>5.6928189131417236E-4</v>
      </c>
      <c r="V55" s="450">
        <v>6.6428566823159931E-4</v>
      </c>
      <c r="W55" s="450">
        <v>7.5336328362591188E-4</v>
      </c>
      <c r="X55" s="450">
        <v>8.3540358221152625E-4</v>
      </c>
      <c r="Y55" s="450">
        <v>9.052211726557172E-4</v>
      </c>
      <c r="Z55" s="450">
        <v>9.6818663883880716E-4</v>
      </c>
      <c r="AA55" s="450">
        <v>1.0252259434987828E-3</v>
      </c>
      <c r="AB55" s="450">
        <v>1.0761538940880467E-3</v>
      </c>
      <c r="AC55" s="450">
        <v>1.1189333725830284E-3</v>
      </c>
      <c r="AD55" s="450">
        <v>1.1556014970072984E-3</v>
      </c>
      <c r="AE55" s="450">
        <v>1.1868990375512461E-3</v>
      </c>
      <c r="AF55" s="450">
        <v>1.2131963793100661E-3</v>
      </c>
      <c r="AG55" s="450">
        <v>1.2500496962819334E-3</v>
      </c>
      <c r="AH55" s="450">
        <v>1.2828287772066597E-3</v>
      </c>
      <c r="AI55" s="450">
        <v>1.312089199727037E-3</v>
      </c>
      <c r="AJ55" s="450">
        <v>1.3380161563906622E-3</v>
      </c>
      <c r="AK55" s="450">
        <v>1.3630171503163009E-3</v>
      </c>
    </row>
    <row r="56" spans="1:38">
      <c r="A56" s="57" t="s">
        <v>27</v>
      </c>
      <c r="B56" s="450">
        <v>5.6235595390524971E-6</v>
      </c>
      <c r="C56" s="450">
        <v>3.8583013230900555E-6</v>
      </c>
      <c r="D56" s="450">
        <v>5.2343149807938542E-6</v>
      </c>
      <c r="E56" s="450">
        <v>5.3367477592829711E-6</v>
      </c>
      <c r="F56" s="450">
        <v>8.9594536918480589E-6</v>
      </c>
      <c r="G56" s="450">
        <v>2.3726845924029026E-5</v>
      </c>
      <c r="H56" s="450">
        <v>2.4184379001280413E-5</v>
      </c>
      <c r="I56" s="450">
        <v>2.3805377720870681E-5</v>
      </c>
      <c r="J56" s="450">
        <v>2.9188476312419975E-4</v>
      </c>
      <c r="K56" s="423">
        <v>5.7637900128040972E-4</v>
      </c>
      <c r="L56" s="589">
        <v>1.1620145113102858E-4</v>
      </c>
      <c r="M56" s="450">
        <v>1.7946222791293218E-4</v>
      </c>
      <c r="N56" s="450">
        <v>6.172356807511738E-4</v>
      </c>
      <c r="O56" s="450">
        <v>8.5457311139564669E-4</v>
      </c>
      <c r="P56" s="450">
        <v>1.1288348271446863E-3</v>
      </c>
      <c r="Q56" s="450">
        <v>1.4242055484421684E-3</v>
      </c>
      <c r="R56" s="450">
        <v>1.7494842509603072E-3</v>
      </c>
      <c r="S56" s="450">
        <v>2.0987107127614169E-3</v>
      </c>
      <c r="T56" s="450">
        <v>2.4682461801109694E-3</v>
      </c>
      <c r="U56" s="450">
        <v>2.8554704225352114E-3</v>
      </c>
      <c r="V56" s="450">
        <v>3.2612732394366193E-3</v>
      </c>
      <c r="W56" s="450">
        <v>3.6836431924882631E-3</v>
      </c>
      <c r="X56" s="450">
        <v>4.1007153222364506E-3</v>
      </c>
      <c r="Y56" s="450">
        <v>4.5081075544174138E-3</v>
      </c>
      <c r="Z56" s="450">
        <v>4.9006675202731527E-3</v>
      </c>
      <c r="AA56" s="450">
        <v>5.2743320529236026E-3</v>
      </c>
      <c r="AB56" s="450">
        <v>5.567743918053778E-3</v>
      </c>
      <c r="AC56" s="450">
        <v>5.8514246692274868E-3</v>
      </c>
      <c r="AD56" s="450">
        <v>6.0934221084080259E-3</v>
      </c>
      <c r="AE56" s="450">
        <v>6.3314622279129328E-3</v>
      </c>
      <c r="AF56" s="450">
        <v>6.4979496372172428E-3</v>
      </c>
      <c r="AG56" s="450">
        <v>6.7705352112675315E-3</v>
      </c>
      <c r="AH56" s="450">
        <v>7.0045801109687609E-3</v>
      </c>
      <c r="AI56" s="450">
        <v>7.2386250106699895E-3</v>
      </c>
      <c r="AJ56" s="450">
        <v>7.472669910371218E-3</v>
      </c>
      <c r="AK56" s="450">
        <v>7.7067148100724474E-3</v>
      </c>
    </row>
    <row r="57" spans="1:38">
      <c r="B57" s="558">
        <f>SUM(B46:B55)</f>
        <v>0.61370244122587803</v>
      </c>
      <c r="C57" s="558">
        <f t="shared" ref="C57:L57" si="5">SUM(C46:C55)</f>
        <v>0.62401097642300274</v>
      </c>
      <c r="D57" s="558">
        <f t="shared" si="5"/>
        <v>0.64851856313772682</v>
      </c>
      <c r="E57" s="558">
        <f t="shared" si="5"/>
        <v>0.62920203649174489</v>
      </c>
      <c r="F57" s="558">
        <f t="shared" si="5"/>
        <v>0.5888727332383622</v>
      </c>
      <c r="G57" s="558">
        <f t="shared" si="5"/>
        <v>0.59426221226487908</v>
      </c>
      <c r="H57" s="558">
        <f t="shared" si="5"/>
        <v>0.57640118184891909</v>
      </c>
      <c r="I57" s="558">
        <f t="shared" si="5"/>
        <v>0.55635526631882404</v>
      </c>
      <c r="J57" s="558">
        <f t="shared" si="5"/>
        <v>0.56461897319800758</v>
      </c>
      <c r="K57" s="558">
        <f t="shared" si="5"/>
        <v>0.56458630333447468</v>
      </c>
      <c r="L57" s="558">
        <f t="shared" si="5"/>
        <v>0.56978264563823111</v>
      </c>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row>
    <row r="58" spans="1:38">
      <c r="A58" s="57" t="s">
        <v>457</v>
      </c>
      <c r="B58" s="408"/>
      <c r="C58" s="408"/>
      <c r="D58" s="408"/>
      <c r="E58" s="408"/>
      <c r="F58" s="408"/>
      <c r="G58" s="408"/>
      <c r="H58" s="408"/>
      <c r="I58" s="408"/>
      <c r="J58" s="408"/>
      <c r="K58" s="423"/>
      <c r="L58" s="669"/>
      <c r="M58" s="584"/>
      <c r="N58" s="502"/>
      <c r="O58" s="502"/>
      <c r="P58" s="502"/>
      <c r="Q58" s="502"/>
      <c r="R58" s="502" t="s">
        <v>1311</v>
      </c>
      <c r="S58" s="502"/>
      <c r="T58" s="502" t="s">
        <v>1312</v>
      </c>
      <c r="U58" s="502"/>
      <c r="V58" s="502"/>
      <c r="W58" s="502" t="s">
        <v>1313</v>
      </c>
      <c r="X58" s="502"/>
      <c r="Y58" s="502"/>
      <c r="Z58" s="502"/>
      <c r="AA58" s="502"/>
      <c r="AB58" s="502"/>
      <c r="AC58" s="502"/>
      <c r="AD58" s="502"/>
      <c r="AE58" s="502"/>
      <c r="AF58" s="502"/>
      <c r="AG58" s="502"/>
      <c r="AH58" s="502"/>
      <c r="AI58" s="502"/>
      <c r="AJ58" s="502"/>
      <c r="AK58" s="502"/>
    </row>
    <row r="59" spans="1:38">
      <c r="A59" s="91" t="s">
        <v>372</v>
      </c>
      <c r="B59" s="586">
        <v>0.17707664852868421</v>
      </c>
      <c r="C59" s="586">
        <v>0.16294122913948395</v>
      </c>
      <c r="D59" s="586">
        <v>0.16837681974754837</v>
      </c>
      <c r="E59" s="586">
        <v>0.16853914684150373</v>
      </c>
      <c r="F59" s="586">
        <v>0.1650957382302197</v>
      </c>
      <c r="G59" s="586">
        <v>0.1801941786271056</v>
      </c>
      <c r="H59" s="586">
        <v>0.14159989334378198</v>
      </c>
      <c r="I59" s="586">
        <v>0.13403302152718738</v>
      </c>
      <c r="J59" s="586">
        <v>0.14805459336355323</v>
      </c>
      <c r="K59" s="587">
        <v>0.15282317562040892</v>
      </c>
      <c r="L59" s="670">
        <v>0.16291514609908839</v>
      </c>
      <c r="M59" s="434">
        <v>0.14636250617220056</v>
      </c>
      <c r="N59" s="61">
        <v>0.13233164479530193</v>
      </c>
      <c r="O59" s="61">
        <v>0.12922180279896667</v>
      </c>
      <c r="P59" s="61">
        <v>0.12388391372313245</v>
      </c>
      <c r="Q59" s="61">
        <v>0.11854602464729816</v>
      </c>
      <c r="R59" s="61">
        <v>9.6420492525352286E-2</v>
      </c>
      <c r="S59" s="61">
        <v>9.6253087699667589E-2</v>
      </c>
      <c r="T59" s="61">
        <v>8.5301134353814048E-2</v>
      </c>
      <c r="U59" s="61">
        <v>8.5047856097280342E-2</v>
      </c>
      <c r="V59" s="61">
        <v>8.4830036763175701E-2</v>
      </c>
      <c r="W59" s="61">
        <v>6.1691828071227445E-2</v>
      </c>
      <c r="X59" s="61">
        <v>6.1395145923072172E-2</v>
      </c>
      <c r="Y59" s="61">
        <v>6.1192995766155389E-2</v>
      </c>
      <c r="Z59" s="61">
        <v>6.1287820548476681E-2</v>
      </c>
      <c r="AA59" s="61">
        <v>6.1741304290695881E-2</v>
      </c>
      <c r="AB59" s="61">
        <v>6.2120371453011601E-2</v>
      </c>
      <c r="AC59" s="61">
        <v>6.2697179016757101E-2</v>
      </c>
      <c r="AD59" s="61">
        <v>6.3290618773207366E-2</v>
      </c>
      <c r="AE59" s="61">
        <v>6.389749268181992E-2</v>
      </c>
      <c r="AF59" s="61">
        <v>6.4537358557785043E-2</v>
      </c>
      <c r="AG59" s="61">
        <v>6.5075373312133825E-2</v>
      </c>
      <c r="AH59" s="61">
        <v>6.5635407494027617E-2</v>
      </c>
      <c r="AI59" s="61">
        <v>6.6183832040326782E-2</v>
      </c>
      <c r="AJ59" s="61">
        <v>6.6721004253122745E-2</v>
      </c>
      <c r="AK59" s="61">
        <v>6.7247266921458812E-2</v>
      </c>
      <c r="AL59" s="667" t="s">
        <v>1309</v>
      </c>
    </row>
    <row r="60" spans="1:38">
      <c r="A60" s="91" t="s">
        <v>422</v>
      </c>
      <c r="B60" s="586">
        <v>6.3460039434900681E-2</v>
      </c>
      <c r="C60" s="586">
        <v>5.2083846100893595E-2</v>
      </c>
      <c r="D60" s="586">
        <v>7.1380310094665556E-2</v>
      </c>
      <c r="E60" s="586">
        <v>8.2793252002603471E-2</v>
      </c>
      <c r="F60" s="586">
        <v>0.1122844927309035</v>
      </c>
      <c r="G60" s="586">
        <v>0.11831655880145737</v>
      </c>
      <c r="H60" s="586">
        <v>6.2391137116694986E-2</v>
      </c>
      <c r="I60" s="586">
        <v>7.6705517494405059E-2</v>
      </c>
      <c r="J60" s="586">
        <v>0.11852463910011082</v>
      </c>
      <c r="K60" s="587">
        <v>0.10344042999688234</v>
      </c>
      <c r="L60" s="670">
        <v>0.12369074292682812</v>
      </c>
      <c r="M60" s="434">
        <v>0.10362853446030115</v>
      </c>
      <c r="N60" s="61">
        <v>0.10968973070783744</v>
      </c>
      <c r="O60" s="61">
        <v>0.11360052496702135</v>
      </c>
      <c r="P60" s="61">
        <v>0.11528327214670719</v>
      </c>
      <c r="Q60" s="61">
        <v>0.116966019326393</v>
      </c>
      <c r="R60" s="61">
        <v>0.13909155144833887</v>
      </c>
      <c r="S60" s="61">
        <v>0.13925895627402357</v>
      </c>
      <c r="T60" s="61">
        <v>0.15021090961987713</v>
      </c>
      <c r="U60" s="61">
        <v>0.15046418787641083</v>
      </c>
      <c r="V60" s="61">
        <v>0.15068200721051547</v>
      </c>
      <c r="W60" s="61">
        <v>0.17382021590246372</v>
      </c>
      <c r="X60" s="61">
        <v>0.174116898050619</v>
      </c>
      <c r="Y60" s="61">
        <v>0.17431904820753577</v>
      </c>
      <c r="Z60" s="61">
        <v>0.17422422342521449</v>
      </c>
      <c r="AA60" s="61">
        <v>0.17377073968299528</v>
      </c>
      <c r="AB60" s="61">
        <v>0.17339167252067955</v>
      </c>
      <c r="AC60" s="61">
        <v>0.17281486495693404</v>
      </c>
      <c r="AD60" s="61">
        <v>0.17222142520048381</v>
      </c>
      <c r="AE60" s="61">
        <v>0.17161455129187123</v>
      </c>
      <c r="AF60" s="61">
        <v>0.17097468541590613</v>
      </c>
      <c r="AG60" s="61">
        <v>0.17043667066155732</v>
      </c>
      <c r="AH60" s="61">
        <v>0.16987663647966353</v>
      </c>
      <c r="AI60" s="61">
        <v>0.16932821193336439</v>
      </c>
      <c r="AJ60" s="61">
        <v>0.16879103972056839</v>
      </c>
      <c r="AK60" s="61">
        <v>0.16826477705223233</v>
      </c>
      <c r="AL60" s="667" t="s">
        <v>1310</v>
      </c>
    </row>
    <row r="61" spans="1:38">
      <c r="A61" s="91" t="s">
        <v>423</v>
      </c>
      <c r="B61" s="586">
        <v>3.1705263572331638E-2</v>
      </c>
      <c r="C61" s="586">
        <v>3.1644319659083285E-2</v>
      </c>
      <c r="D61" s="586">
        <v>2.443320621631288E-2</v>
      </c>
      <c r="E61" s="586">
        <v>1.833142871851311E-2</v>
      </c>
      <c r="F61" s="586">
        <v>2.1010896514468837E-2</v>
      </c>
      <c r="G61" s="586">
        <v>1.9557756702993964E-2</v>
      </c>
      <c r="H61" s="586">
        <v>1.4478201728221233E-2</v>
      </c>
      <c r="I61" s="586">
        <v>5.3683677687399733E-3</v>
      </c>
      <c r="J61" s="586">
        <v>1.2336356954421037E-2</v>
      </c>
      <c r="K61" s="587">
        <v>1.0333425362330444E-2</v>
      </c>
      <c r="L61" s="670">
        <v>0.01</v>
      </c>
      <c r="M61" s="434">
        <v>0.01</v>
      </c>
      <c r="N61" s="61">
        <v>3.4733199125644987E-3</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67"/>
    </row>
    <row r="62" spans="1:38">
      <c r="A62" s="91" t="s">
        <v>424</v>
      </c>
      <c r="B62" s="586">
        <v>5.2709437643101546E-4</v>
      </c>
      <c r="C62" s="586">
        <v>7.1182717775411812E-4</v>
      </c>
      <c r="D62" s="586">
        <v>7.8450837860507443E-4</v>
      </c>
      <c r="E62" s="586">
        <v>7.8398006222402583E-4</v>
      </c>
      <c r="F62" s="586">
        <v>1.0617143960275869E-3</v>
      </c>
      <c r="G62" s="586">
        <v>9.1900213334896103E-4</v>
      </c>
      <c r="H62" s="586">
        <v>7.5230271045485255E-4</v>
      </c>
      <c r="I62" s="586">
        <v>7.4555115730218745E-4</v>
      </c>
      <c r="J62" s="586">
        <v>7.075488201951129E-4</v>
      </c>
      <c r="K62" s="587">
        <v>6.5016534241318826E-4</v>
      </c>
      <c r="L62" s="670">
        <v>5.3336649079166671E-4</v>
      </c>
      <c r="M62" s="434">
        <v>7.0767476992851519E-4</v>
      </c>
      <c r="N62" s="61">
        <v>6.9039605340027663E-4</v>
      </c>
      <c r="O62" s="61">
        <v>6.8282846303476148E-4</v>
      </c>
      <c r="P62" s="61">
        <v>6.752608726692446E-4</v>
      </c>
      <c r="Q62" s="61">
        <v>6.6769328230372946E-4</v>
      </c>
      <c r="R62" s="61">
        <v>6.6769328230372946E-4</v>
      </c>
      <c r="S62" s="61">
        <v>6.6769328230372946E-4</v>
      </c>
      <c r="T62" s="61">
        <v>6.6769328230372946E-4</v>
      </c>
      <c r="U62" s="61">
        <v>6.6769328230372946E-4</v>
      </c>
      <c r="V62" s="61">
        <v>6.6769328230372946E-4</v>
      </c>
      <c r="W62" s="61">
        <v>6.6769328230372946E-4</v>
      </c>
      <c r="X62" s="61">
        <v>6.6769328230372946E-4</v>
      </c>
      <c r="Y62" s="61">
        <v>6.6769328230372946E-4</v>
      </c>
      <c r="Z62" s="61">
        <v>6.6769328230372946E-4</v>
      </c>
      <c r="AA62" s="61">
        <v>6.6769328230372946E-4</v>
      </c>
      <c r="AB62" s="61">
        <v>6.6769328230372946E-4</v>
      </c>
      <c r="AC62" s="61">
        <v>6.6769328230372946E-4</v>
      </c>
      <c r="AD62" s="61">
        <v>6.6769328230372946E-4</v>
      </c>
      <c r="AE62" s="61">
        <v>6.6769328230372946E-4</v>
      </c>
      <c r="AF62" s="61">
        <v>6.6769328230372946E-4</v>
      </c>
      <c r="AG62" s="61">
        <v>6.6769328230372946E-4</v>
      </c>
      <c r="AH62" s="61">
        <v>6.6769328230372946E-4</v>
      </c>
      <c r="AI62" s="61">
        <v>6.6769328230372946E-4</v>
      </c>
      <c r="AJ62" s="61">
        <v>6.6769328230372946E-4</v>
      </c>
      <c r="AK62" s="61">
        <v>6.6769328230372946E-4</v>
      </c>
      <c r="AL62" s="667"/>
    </row>
    <row r="63" spans="1:38">
      <c r="A63" s="91" t="s">
        <v>425</v>
      </c>
      <c r="B63" s="586">
        <v>5.2473935503038548E-2</v>
      </c>
      <c r="C63" s="586">
        <v>5.1623675476377369E-2</v>
      </c>
      <c r="D63" s="586">
        <v>4.8998488500467681E-2</v>
      </c>
      <c r="E63" s="586">
        <v>5.6987135137738947E-2</v>
      </c>
      <c r="F63" s="586">
        <v>4.1108509403607232E-2</v>
      </c>
      <c r="G63" s="586">
        <v>6.1332206404646566E-2</v>
      </c>
      <c r="H63" s="586">
        <v>2.62357888526496E-2</v>
      </c>
      <c r="I63" s="586">
        <v>4.6769875398182593E-2</v>
      </c>
      <c r="J63" s="586">
        <v>4.6514006035721818E-2</v>
      </c>
      <c r="K63" s="587">
        <v>5.0307799051020105E-2</v>
      </c>
      <c r="L63" s="670">
        <v>4.5537403932920044E-2</v>
      </c>
      <c r="M63" s="434">
        <v>4.9268368252782226E-2</v>
      </c>
      <c r="N63" s="61">
        <v>4.465664914269251E-2</v>
      </c>
      <c r="O63" s="61">
        <v>4.1974849355937094E-2</v>
      </c>
      <c r="P63" s="61">
        <v>4.1222968892515865E-2</v>
      </c>
      <c r="Q63" s="61">
        <v>4.0471088429094859E-2</v>
      </c>
      <c r="R63" s="61">
        <v>4.0471088429094859E-2</v>
      </c>
      <c r="S63" s="61">
        <v>4.0471088429094859E-2</v>
      </c>
      <c r="T63" s="61">
        <v>4.0471088429094859E-2</v>
      </c>
      <c r="U63" s="61">
        <v>4.0471088429094859E-2</v>
      </c>
      <c r="V63" s="61">
        <v>4.0471088429094859E-2</v>
      </c>
      <c r="W63" s="61">
        <v>4.0471088429094859E-2</v>
      </c>
      <c r="X63" s="61">
        <v>4.0471088429094859E-2</v>
      </c>
      <c r="Y63" s="61">
        <v>4.0471088429094859E-2</v>
      </c>
      <c r="Z63" s="61">
        <v>4.0471088429094859E-2</v>
      </c>
      <c r="AA63" s="61">
        <v>4.0471088429094859E-2</v>
      </c>
      <c r="AB63" s="61">
        <v>4.0471088429094859E-2</v>
      </c>
      <c r="AC63" s="61">
        <v>4.0471088429094859E-2</v>
      </c>
      <c r="AD63" s="61">
        <v>4.0471088429094859E-2</v>
      </c>
      <c r="AE63" s="61">
        <v>4.0471088429094859E-2</v>
      </c>
      <c r="AF63" s="61">
        <v>4.0471088429094859E-2</v>
      </c>
      <c r="AG63" s="61">
        <v>4.0471088429094859E-2</v>
      </c>
      <c r="AH63" s="61">
        <v>4.0471088429094859E-2</v>
      </c>
      <c r="AI63" s="61">
        <v>4.0471088429094859E-2</v>
      </c>
      <c r="AJ63" s="61">
        <v>4.0471088429094859E-2</v>
      </c>
      <c r="AK63" s="61">
        <v>4.0471088429094859E-2</v>
      </c>
      <c r="AL63" s="667"/>
    </row>
    <row r="64" spans="1:38">
      <c r="A64" s="91" t="s">
        <v>249</v>
      </c>
      <c r="B64" s="586">
        <v>0.65947597669635838</v>
      </c>
      <c r="C64" s="586">
        <v>0.68183374790741358</v>
      </c>
      <c r="D64" s="586">
        <v>0.67052971020389363</v>
      </c>
      <c r="E64" s="586">
        <v>0.65281192951749445</v>
      </c>
      <c r="F64" s="586">
        <v>0.64376284587438171</v>
      </c>
      <c r="G64" s="586">
        <v>0.60322481669586725</v>
      </c>
      <c r="H64" s="586">
        <v>0.73373002968949907</v>
      </c>
      <c r="I64" s="586">
        <v>0.69485785965413116</v>
      </c>
      <c r="J64" s="586">
        <v>0.63596816340219686</v>
      </c>
      <c r="K64" s="587">
        <v>0.65070798217051784</v>
      </c>
      <c r="L64" s="670">
        <v>0.62619566318968134</v>
      </c>
      <c r="M64" s="434">
        <v>0.6368912385248412</v>
      </c>
      <c r="N64" s="61">
        <v>0.63066651554940167</v>
      </c>
      <c r="O64" s="61">
        <v>0.62753155281926665</v>
      </c>
      <c r="P64" s="61">
        <v>0.62216854300963353</v>
      </c>
      <c r="Q64" s="61">
        <v>0.61680553320000031</v>
      </c>
      <c r="R64" s="61">
        <v>0.61680553320000031</v>
      </c>
      <c r="S64" s="61">
        <v>0.61680553320000031</v>
      </c>
      <c r="T64" s="61">
        <v>0.61680553320000031</v>
      </c>
      <c r="U64" s="61">
        <v>0.61680553320000031</v>
      </c>
      <c r="V64" s="61">
        <v>0.61680553320000031</v>
      </c>
      <c r="W64" s="61">
        <v>0.61680553320000031</v>
      </c>
      <c r="X64" s="61">
        <v>0.61680553320000031</v>
      </c>
      <c r="Y64" s="61">
        <v>0.61680553320000031</v>
      </c>
      <c r="Z64" s="61">
        <v>0.61680553320000031</v>
      </c>
      <c r="AA64" s="61">
        <v>0.61680553320000031</v>
      </c>
      <c r="AB64" s="61">
        <v>0.61680553320000031</v>
      </c>
      <c r="AC64" s="61">
        <v>0.61680553320000031</v>
      </c>
      <c r="AD64" s="61">
        <v>0.61680553320000031</v>
      </c>
      <c r="AE64" s="61">
        <v>0.61680553320000031</v>
      </c>
      <c r="AF64" s="61">
        <v>0.61680553320000031</v>
      </c>
      <c r="AG64" s="61">
        <v>0.61680553320000031</v>
      </c>
      <c r="AH64" s="61">
        <v>0.61680553320000031</v>
      </c>
      <c r="AI64" s="61">
        <v>0.61680553320000031</v>
      </c>
      <c r="AJ64" s="61">
        <v>0.61680553320000031</v>
      </c>
      <c r="AK64" s="61">
        <v>0.61680553320000031</v>
      </c>
      <c r="AL64" s="667"/>
    </row>
    <row r="65" spans="1:38">
      <c r="A65" s="91" t="s">
        <v>426</v>
      </c>
      <c r="B65" s="586">
        <v>6.9958899913413666E-3</v>
      </c>
      <c r="C65" s="586">
        <v>4.4919713223739149E-3</v>
      </c>
      <c r="D65" s="586">
        <v>5.2210093982710476E-3</v>
      </c>
      <c r="E65" s="586">
        <v>4.65461977481464E-3</v>
      </c>
      <c r="F65" s="586">
        <v>5.0078614945081052E-3</v>
      </c>
      <c r="G65" s="586">
        <v>5.5607354900667335E-3</v>
      </c>
      <c r="H65" s="586">
        <v>4.9051469486321971E-3</v>
      </c>
      <c r="I65" s="586">
        <v>3.4289364429422324E-3</v>
      </c>
      <c r="J65" s="586">
        <v>2.8578791645998206E-3</v>
      </c>
      <c r="K65" s="587">
        <v>3.2731184687870823E-3</v>
      </c>
      <c r="L65" s="670">
        <v>4.5448241558907476E-3</v>
      </c>
      <c r="M65" s="434">
        <v>7.7258879043987736E-3</v>
      </c>
      <c r="N65" s="61">
        <v>4.4456798030148292E-3</v>
      </c>
      <c r="O65" s="61">
        <v>2.6838747864036394E-3</v>
      </c>
      <c r="P65" s="61">
        <v>2.4404728545651677E-3</v>
      </c>
      <c r="Q65" s="61">
        <v>2.1970709227266405E-3</v>
      </c>
      <c r="R65" s="61">
        <v>2.1970709227266405E-3</v>
      </c>
      <c r="S65" s="61">
        <v>2.1970709227266405E-3</v>
      </c>
      <c r="T65" s="61">
        <v>2.1970709227266405E-3</v>
      </c>
      <c r="U65" s="61">
        <v>2.1970709227266405E-3</v>
      </c>
      <c r="V65" s="61">
        <v>2.1970709227266405E-3</v>
      </c>
      <c r="W65" s="61">
        <v>2.1970709227266405E-3</v>
      </c>
      <c r="X65" s="61">
        <v>2.1970709227266405E-3</v>
      </c>
      <c r="Y65" s="61">
        <v>2.1970709227266405E-3</v>
      </c>
      <c r="Z65" s="61">
        <v>2.1970709227266405E-3</v>
      </c>
      <c r="AA65" s="61">
        <v>2.1970709227266405E-3</v>
      </c>
      <c r="AB65" s="61">
        <v>2.1970709227266405E-3</v>
      </c>
      <c r="AC65" s="61">
        <v>2.1970709227266405E-3</v>
      </c>
      <c r="AD65" s="61">
        <v>2.1970709227266405E-3</v>
      </c>
      <c r="AE65" s="61">
        <v>2.1970709227266405E-3</v>
      </c>
      <c r="AF65" s="61">
        <v>2.1970709227266405E-3</v>
      </c>
      <c r="AG65" s="61">
        <v>2.1970709227266405E-3</v>
      </c>
      <c r="AH65" s="61">
        <v>2.1970709227266405E-3</v>
      </c>
      <c r="AI65" s="61">
        <v>2.1970709227266405E-3</v>
      </c>
      <c r="AJ65" s="61">
        <v>2.1970709227266405E-3</v>
      </c>
      <c r="AK65" s="61">
        <v>2.1970709227266405E-3</v>
      </c>
      <c r="AL65" s="667"/>
    </row>
    <row r="66" spans="1:38">
      <c r="A66" s="91" t="s">
        <v>427</v>
      </c>
      <c r="B66" s="586">
        <v>0</v>
      </c>
      <c r="C66" s="586">
        <v>1.647058439204055E-4</v>
      </c>
      <c r="D66" s="586">
        <v>1.2672518529265126E-4</v>
      </c>
      <c r="E66" s="586">
        <v>1.890617525719054E-4</v>
      </c>
      <c r="F66" s="586">
        <v>2.164519940101673E-4</v>
      </c>
      <c r="G66" s="586">
        <v>1.9623690612093891E-4</v>
      </c>
      <c r="H66" s="586">
        <v>1.9874598756994071E-4</v>
      </c>
      <c r="I66" s="586">
        <v>1.8758244395432368E-4</v>
      </c>
      <c r="J66" s="586">
        <v>1.7672567922348721E-4</v>
      </c>
      <c r="K66" s="587">
        <v>1.9514548124748826E-4</v>
      </c>
      <c r="L66" s="670">
        <v>1.8211768711012905E-4</v>
      </c>
      <c r="M66" s="434">
        <v>0</v>
      </c>
      <c r="N66" s="61">
        <v>1.6392496019718237E-4</v>
      </c>
      <c r="O66" s="61">
        <v>2.5116782140021179E-4</v>
      </c>
      <c r="P66" s="61">
        <v>2.6172858360908394E-4</v>
      </c>
      <c r="Q66" s="61">
        <v>2.7228934581795608E-4</v>
      </c>
      <c r="R66" s="61">
        <v>2.7228934581795608E-4</v>
      </c>
      <c r="S66" s="61">
        <v>2.7228934581795608E-4</v>
      </c>
      <c r="T66" s="61">
        <v>2.7228934581795608E-4</v>
      </c>
      <c r="U66" s="61">
        <v>2.7228934581795608E-4</v>
      </c>
      <c r="V66" s="61">
        <v>2.7228934581795608E-4</v>
      </c>
      <c r="W66" s="61">
        <v>2.7228934581795608E-4</v>
      </c>
      <c r="X66" s="61">
        <v>2.7228934581795608E-4</v>
      </c>
      <c r="Y66" s="61">
        <v>2.7228934581795608E-4</v>
      </c>
      <c r="Z66" s="61">
        <v>2.7228934581795608E-4</v>
      </c>
      <c r="AA66" s="61">
        <v>2.7228934581795608E-4</v>
      </c>
      <c r="AB66" s="61">
        <v>2.7228934581795608E-4</v>
      </c>
      <c r="AC66" s="61">
        <v>2.7228934581795608E-4</v>
      </c>
      <c r="AD66" s="61">
        <v>2.7228934581795608E-4</v>
      </c>
      <c r="AE66" s="61">
        <v>2.7228934581795608E-4</v>
      </c>
      <c r="AF66" s="61">
        <v>2.7228934581795608E-4</v>
      </c>
      <c r="AG66" s="61">
        <v>2.7228934581795608E-4</v>
      </c>
      <c r="AH66" s="61">
        <v>2.7228934581795608E-4</v>
      </c>
      <c r="AI66" s="61">
        <v>2.7228934581795608E-4</v>
      </c>
      <c r="AJ66" s="61">
        <v>2.7228934581795608E-4</v>
      </c>
      <c r="AK66" s="61">
        <v>2.7228934581795608E-4</v>
      </c>
      <c r="AL66" s="667"/>
    </row>
    <row r="67" spans="1:38">
      <c r="A67" s="91" t="s">
        <v>428</v>
      </c>
      <c r="B67" s="586">
        <v>5.1557964091804341E-3</v>
      </c>
      <c r="C67" s="586">
        <v>9.9215200687948271E-3</v>
      </c>
      <c r="D67" s="586">
        <v>6.1796152784450737E-3</v>
      </c>
      <c r="E67" s="586">
        <v>1.1332353833410377E-2</v>
      </c>
      <c r="F67" s="586">
        <v>6.615925995702425E-3</v>
      </c>
      <c r="G67" s="586">
        <v>6.4067475516769385E-3</v>
      </c>
      <c r="H67" s="586">
        <v>1.1170492693989646E-2</v>
      </c>
      <c r="I67" s="586">
        <v>3.3219463293768882E-2</v>
      </c>
      <c r="J67" s="586">
        <v>3.1313177472848411E-2</v>
      </c>
      <c r="K67" s="587">
        <v>2.4183320142269062E-2</v>
      </c>
      <c r="L67" s="670">
        <v>2.2973118738727968E-2</v>
      </c>
      <c r="M67" s="434">
        <v>4.1865729735520045E-2</v>
      </c>
      <c r="N67" s="61">
        <v>7.0000000000000007E-2</v>
      </c>
      <c r="O67" s="61">
        <v>0.08</v>
      </c>
      <c r="P67" s="61">
        <v>9.0000000000000011E-2</v>
      </c>
      <c r="Q67" s="61">
        <v>0.1</v>
      </c>
      <c r="R67" s="61">
        <v>0.1</v>
      </c>
      <c r="S67" s="61">
        <v>0.1</v>
      </c>
      <c r="T67" s="61">
        <v>0.1</v>
      </c>
      <c r="U67" s="61">
        <v>0.1</v>
      </c>
      <c r="V67" s="61">
        <v>0.1</v>
      </c>
      <c r="W67" s="61">
        <v>0.1</v>
      </c>
      <c r="X67" s="61">
        <v>0.1</v>
      </c>
      <c r="Y67" s="61">
        <v>0.1</v>
      </c>
      <c r="Z67" s="61">
        <v>9.9999999999999992E-2</v>
      </c>
      <c r="AA67" s="61">
        <v>0.1</v>
      </c>
      <c r="AB67" s="61">
        <v>0.1</v>
      </c>
      <c r="AC67" s="61">
        <v>0.1</v>
      </c>
      <c r="AD67" s="61">
        <v>0.1</v>
      </c>
      <c r="AE67" s="61">
        <v>9.9999999999999992E-2</v>
      </c>
      <c r="AF67" s="61">
        <v>0.1</v>
      </c>
      <c r="AG67" s="61">
        <v>0.1</v>
      </c>
      <c r="AH67" s="61">
        <v>0.1</v>
      </c>
      <c r="AI67" s="61">
        <v>0.1</v>
      </c>
      <c r="AJ67" s="61">
        <v>0.1</v>
      </c>
      <c r="AK67" s="61">
        <v>9.9999999999999992E-2</v>
      </c>
      <c r="AL67" s="667"/>
    </row>
    <row r="68" spans="1:38">
      <c r="A68" s="91" t="s">
        <v>255</v>
      </c>
      <c r="B68" s="586">
        <v>0</v>
      </c>
      <c r="C68" s="586">
        <v>0</v>
      </c>
      <c r="D68" s="586">
        <v>0</v>
      </c>
      <c r="E68" s="586">
        <v>0</v>
      </c>
      <c r="F68" s="586">
        <v>0</v>
      </c>
      <c r="G68" s="586">
        <v>0</v>
      </c>
      <c r="H68" s="586">
        <v>0</v>
      </c>
      <c r="I68" s="586">
        <v>1.5809624776899372E-5</v>
      </c>
      <c r="J68" s="586">
        <v>1.8715093926938878E-5</v>
      </c>
      <c r="K68" s="587">
        <v>7.210500781061232E-5</v>
      </c>
      <c r="L68" s="670">
        <v>9.9714670213174158E-5</v>
      </c>
      <c r="M68" s="434">
        <v>3.9918766510800903E-5</v>
      </c>
      <c r="N68" s="61">
        <v>6.557369986480259E-5</v>
      </c>
      <c r="O68" s="61">
        <v>8.2377338876542944E-5</v>
      </c>
      <c r="P68" s="61">
        <v>9.0329683546025441E-5</v>
      </c>
      <c r="Q68" s="61">
        <v>9.8282028215504469E-5</v>
      </c>
      <c r="R68" s="61">
        <v>9.8282028215504469E-5</v>
      </c>
      <c r="S68" s="61">
        <v>9.8282028215504469E-5</v>
      </c>
      <c r="T68" s="61">
        <v>9.8282028215504469E-5</v>
      </c>
      <c r="U68" s="61">
        <v>9.8282028215504482E-5</v>
      </c>
      <c r="V68" s="61">
        <v>9.8282028215504482E-5</v>
      </c>
      <c r="W68" s="61">
        <v>9.8282028215504482E-5</v>
      </c>
      <c r="X68" s="61">
        <v>9.8282028215504455E-5</v>
      </c>
      <c r="Y68" s="61">
        <v>9.8282028215504455E-5</v>
      </c>
      <c r="Z68" s="61">
        <v>9.8282028215504469E-5</v>
      </c>
      <c r="AA68" s="61">
        <v>9.8282028215504469E-5</v>
      </c>
      <c r="AB68" s="61">
        <v>9.8282028215504455E-5</v>
      </c>
      <c r="AC68" s="61">
        <v>9.8282028215504469E-5</v>
      </c>
      <c r="AD68" s="61">
        <v>9.8282028215504469E-5</v>
      </c>
      <c r="AE68" s="61">
        <v>9.8282028215504482E-5</v>
      </c>
      <c r="AF68" s="61">
        <v>9.8282028215504469E-5</v>
      </c>
      <c r="AG68" s="61">
        <v>9.8282028215504469E-5</v>
      </c>
      <c r="AH68" s="61">
        <v>9.8282028215504455E-5</v>
      </c>
      <c r="AI68" s="61">
        <v>9.8282028215504469E-5</v>
      </c>
      <c r="AJ68" s="61">
        <v>9.8282028215504469E-5</v>
      </c>
      <c r="AK68" s="61">
        <v>9.8282028215504469E-5</v>
      </c>
      <c r="AL68" s="667"/>
    </row>
    <row r="69" spans="1:38">
      <c r="A69" s="91" t="s">
        <v>374</v>
      </c>
      <c r="B69" s="586">
        <v>9.592633848641679E-4</v>
      </c>
      <c r="C69" s="586">
        <v>6.6179805189737096E-4</v>
      </c>
      <c r="D69" s="586">
        <v>5.5542676186193815E-4</v>
      </c>
      <c r="E69" s="586">
        <v>2.5830910345953057E-4</v>
      </c>
      <c r="F69" s="586">
        <v>1.8068367152797814E-4</v>
      </c>
      <c r="G69" s="586">
        <v>2.1218061970037027E-4</v>
      </c>
      <c r="H69" s="586">
        <v>5.4013262840766469E-4</v>
      </c>
      <c r="I69" s="586">
        <v>9.2300684908240842E-4</v>
      </c>
      <c r="J69" s="586">
        <v>6.6516882400011385E-4</v>
      </c>
      <c r="K69" s="587">
        <v>1.1378056921532269E-3</v>
      </c>
      <c r="L69" s="670">
        <v>1.5073479589894747E-3</v>
      </c>
      <c r="M69" s="434">
        <v>1.6943692538730867E-3</v>
      </c>
      <c r="N69" s="61">
        <v>1.3283059085993087E-3</v>
      </c>
      <c r="O69" s="61">
        <v>1.1755584362632965E-3</v>
      </c>
      <c r="P69" s="61">
        <v>1.2361268368650258E-3</v>
      </c>
      <c r="Q69" s="61">
        <v>1.2966952374667412E-3</v>
      </c>
      <c r="R69" s="61">
        <v>1.2966952374667412E-3</v>
      </c>
      <c r="S69" s="61">
        <v>1.2966952374667412E-3</v>
      </c>
      <c r="T69" s="61">
        <v>1.2966952374667412E-3</v>
      </c>
      <c r="U69" s="61">
        <v>1.2966952374667412E-3</v>
      </c>
      <c r="V69" s="61">
        <v>1.2966952374667412E-3</v>
      </c>
      <c r="W69" s="61">
        <v>1.2966952374667412E-3</v>
      </c>
      <c r="X69" s="61">
        <v>1.2966952374667412E-3</v>
      </c>
      <c r="Y69" s="61">
        <v>1.2966952374667412E-3</v>
      </c>
      <c r="Z69" s="61">
        <v>1.2966952374667412E-3</v>
      </c>
      <c r="AA69" s="61">
        <v>1.2966952374667412E-3</v>
      </c>
      <c r="AB69" s="61">
        <v>1.2966952374667412E-3</v>
      </c>
      <c r="AC69" s="61">
        <v>1.2966952374667412E-3</v>
      </c>
      <c r="AD69" s="61">
        <v>1.2966952374667412E-3</v>
      </c>
      <c r="AE69" s="61">
        <v>1.2966952374667412E-3</v>
      </c>
      <c r="AF69" s="61">
        <v>1.2966952374667412E-3</v>
      </c>
      <c r="AG69" s="61">
        <v>1.2966952374667412E-3</v>
      </c>
      <c r="AH69" s="61">
        <v>1.2966952374667412E-3</v>
      </c>
      <c r="AI69" s="61">
        <v>1.2966952374667412E-3</v>
      </c>
      <c r="AJ69" s="61">
        <v>1.2966952374667412E-3</v>
      </c>
      <c r="AK69" s="61">
        <v>1.2966952374667412E-3</v>
      </c>
      <c r="AL69" s="667"/>
    </row>
    <row r="70" spans="1:38">
      <c r="A70" s="91" t="s">
        <v>373</v>
      </c>
      <c r="B70" s="586">
        <v>1.7988273821387636E-3</v>
      </c>
      <c r="C70" s="586">
        <v>3.7971039237130817E-3</v>
      </c>
      <c r="D70" s="586">
        <v>3.2678155152453532E-3</v>
      </c>
      <c r="E70" s="586">
        <v>3.1014176230452087E-3</v>
      </c>
      <c r="F70" s="586">
        <v>3.3325198104813079E-3</v>
      </c>
      <c r="G70" s="586">
        <v>3.757657773227268E-3</v>
      </c>
      <c r="H70" s="586">
        <v>3.6984032984225131E-3</v>
      </c>
      <c r="I70" s="586">
        <v>3.343485915486194E-3</v>
      </c>
      <c r="J70" s="586">
        <v>2.4301587792292067E-3</v>
      </c>
      <c r="K70" s="587">
        <v>2.2222026885845405E-3</v>
      </c>
      <c r="L70" s="670">
        <v>1.2535607064825711E-3</v>
      </c>
      <c r="M70" s="434">
        <v>1.2658171108505154E-3</v>
      </c>
      <c r="N70" s="61">
        <v>1.8756655263769129E-3</v>
      </c>
      <c r="O70" s="61">
        <v>2.1320038775308747E-3</v>
      </c>
      <c r="P70" s="61">
        <v>2.0348321643124945E-3</v>
      </c>
      <c r="Q70" s="61">
        <v>1.9376604510941418E-3</v>
      </c>
      <c r="R70" s="61">
        <v>1.937660451094142E-3</v>
      </c>
      <c r="S70" s="61">
        <v>1.9376604510941418E-3</v>
      </c>
      <c r="T70" s="61">
        <v>1.9376604510941422E-3</v>
      </c>
      <c r="U70" s="61">
        <v>1.937660451094142E-3</v>
      </c>
      <c r="V70" s="61">
        <v>1.937660451094142E-3</v>
      </c>
      <c r="W70" s="61">
        <v>1.937660451094142E-3</v>
      </c>
      <c r="X70" s="61">
        <v>1.937660451094142E-3</v>
      </c>
      <c r="Y70" s="61">
        <v>1.937660451094142E-3</v>
      </c>
      <c r="Z70" s="61">
        <v>1.937660451094142E-3</v>
      </c>
      <c r="AA70" s="61">
        <v>1.937660451094142E-3</v>
      </c>
      <c r="AB70" s="61">
        <v>1.937660451094142E-3</v>
      </c>
      <c r="AC70" s="61">
        <v>1.9376604510941422E-3</v>
      </c>
      <c r="AD70" s="61">
        <v>1.9376604510941418E-3</v>
      </c>
      <c r="AE70" s="61">
        <v>1.937660451094142E-3</v>
      </c>
      <c r="AF70" s="61">
        <v>1.937660451094142E-3</v>
      </c>
      <c r="AG70" s="61">
        <v>1.937660451094142E-3</v>
      </c>
      <c r="AH70" s="61">
        <v>1.9376604510941422E-3</v>
      </c>
      <c r="AI70" s="61">
        <v>1.937660451094142E-3</v>
      </c>
      <c r="AJ70" s="61">
        <v>1.937660451094142E-3</v>
      </c>
      <c r="AK70" s="61">
        <v>1.9376604510941422E-3</v>
      </c>
      <c r="AL70" s="667"/>
    </row>
    <row r="71" spans="1:38">
      <c r="A71" s="91" t="s">
        <v>375</v>
      </c>
      <c r="B71" s="586">
        <v>3.7126472073078284E-4</v>
      </c>
      <c r="C71" s="586">
        <v>1.2425532829452244E-4</v>
      </c>
      <c r="D71" s="586">
        <v>1.4636471939059393E-4</v>
      </c>
      <c r="E71" s="586">
        <v>2.173656326206033E-4</v>
      </c>
      <c r="F71" s="586">
        <v>3.2235988416141805E-4</v>
      </c>
      <c r="G71" s="586">
        <v>3.219222937879827E-4</v>
      </c>
      <c r="H71" s="586">
        <v>2.9972500167656517E-4</v>
      </c>
      <c r="I71" s="586">
        <v>4.0152243004053928E-4</v>
      </c>
      <c r="J71" s="586">
        <v>4.3286730997310711E-4</v>
      </c>
      <c r="K71" s="587">
        <v>6.5332497557503129E-4</v>
      </c>
      <c r="L71" s="670">
        <v>5.6699344327640919E-4</v>
      </c>
      <c r="M71" s="434">
        <v>5.4995504879317369E-4</v>
      </c>
      <c r="N71" s="61">
        <v>6.1259394074875129E-4</v>
      </c>
      <c r="O71" s="61">
        <v>6.6345933529907142E-4</v>
      </c>
      <c r="P71" s="61">
        <v>7.0255123244410134E-4</v>
      </c>
      <c r="Q71" s="61">
        <v>7.4164312958911749E-4</v>
      </c>
      <c r="R71" s="61">
        <v>7.4164312958911738E-4</v>
      </c>
      <c r="S71" s="61">
        <v>7.4164312958911727E-4</v>
      </c>
      <c r="T71" s="61">
        <v>7.4164312958911727E-4</v>
      </c>
      <c r="U71" s="61">
        <v>7.4164312958911749E-4</v>
      </c>
      <c r="V71" s="61">
        <v>7.4164312958911738E-4</v>
      </c>
      <c r="W71" s="61">
        <v>7.4164312958911738E-4</v>
      </c>
      <c r="X71" s="61">
        <v>7.4164312958911738E-4</v>
      </c>
      <c r="Y71" s="61">
        <v>7.4164312958911738E-4</v>
      </c>
      <c r="Z71" s="61">
        <v>7.4164312958911727E-4</v>
      </c>
      <c r="AA71" s="61">
        <v>7.4164312958911738E-4</v>
      </c>
      <c r="AB71" s="61">
        <v>7.4164312958911727E-4</v>
      </c>
      <c r="AC71" s="61">
        <v>7.4164312958911738E-4</v>
      </c>
      <c r="AD71" s="61">
        <v>7.4164312958911738E-4</v>
      </c>
      <c r="AE71" s="61">
        <v>7.4164312958911727E-4</v>
      </c>
      <c r="AF71" s="61">
        <v>7.4164312958911738E-4</v>
      </c>
      <c r="AG71" s="61">
        <v>7.4164312958911738E-4</v>
      </c>
      <c r="AH71" s="61">
        <v>7.4164312958911738E-4</v>
      </c>
      <c r="AI71" s="61">
        <v>7.4164312958911738E-4</v>
      </c>
      <c r="AJ71" s="61">
        <v>7.4164312958911738E-4</v>
      </c>
      <c r="AK71" s="61">
        <v>7.4164312958911749E-4</v>
      </c>
      <c r="AL71" s="667"/>
    </row>
    <row r="72" spans="1:38" ht="14.1" customHeight="1">
      <c r="B72" s="408"/>
      <c r="C72" s="408"/>
      <c r="D72" s="408"/>
      <c r="E72" s="408"/>
      <c r="F72" s="408"/>
      <c r="G72" s="408"/>
      <c r="H72" s="408"/>
      <c r="I72" s="408"/>
      <c r="J72" s="408"/>
      <c r="K72" s="423"/>
      <c r="L72" s="589"/>
      <c r="M72" s="450"/>
      <c r="N72" s="450"/>
      <c r="O72" s="450"/>
      <c r="P72" s="450"/>
      <c r="Q72" s="450"/>
      <c r="R72" s="450"/>
      <c r="S72" s="450"/>
      <c r="T72" s="450"/>
      <c r="U72" s="450"/>
      <c r="V72" s="450"/>
      <c r="W72" s="450"/>
      <c r="X72" s="450"/>
      <c r="Y72" s="450"/>
      <c r="Z72" s="450"/>
      <c r="AA72" s="450"/>
      <c r="AB72" s="450"/>
      <c r="AC72" s="450"/>
      <c r="AD72" s="450"/>
      <c r="AE72" s="450"/>
      <c r="AF72" s="450"/>
      <c r="AG72" s="502"/>
      <c r="AH72" s="502"/>
      <c r="AI72" s="502"/>
      <c r="AJ72" s="502"/>
      <c r="AK72" s="450"/>
    </row>
    <row r="73" spans="1:38" ht="14.25">
      <c r="A73" s="57" t="s">
        <v>499</v>
      </c>
      <c r="B73" s="408"/>
      <c r="C73" s="408"/>
      <c r="D73" s="408"/>
      <c r="E73" s="408"/>
      <c r="F73" s="408"/>
      <c r="G73" s="408"/>
      <c r="H73" s="408"/>
      <c r="I73" s="408"/>
      <c r="J73" s="408"/>
      <c r="K73" s="423"/>
      <c r="L73" s="590"/>
      <c r="M73" s="502"/>
      <c r="N73" s="502"/>
      <c r="O73" s="502"/>
      <c r="P73" s="502"/>
      <c r="Q73" s="502"/>
      <c r="R73" s="502"/>
      <c r="S73" s="502"/>
      <c r="T73" s="502"/>
      <c r="U73" s="502"/>
      <c r="V73" s="502"/>
      <c r="W73" s="502"/>
      <c r="X73" s="502"/>
      <c r="Y73" s="502"/>
      <c r="Z73" s="502"/>
      <c r="AA73" s="502"/>
      <c r="AB73" s="502"/>
      <c r="AC73" s="502"/>
      <c r="AD73" s="502"/>
      <c r="AE73" s="502"/>
      <c r="AF73" s="502"/>
      <c r="AG73" s="502"/>
      <c r="AH73" s="502"/>
      <c r="AI73" s="502"/>
      <c r="AJ73" s="502"/>
      <c r="AK73" s="502"/>
    </row>
    <row r="74" spans="1:38">
      <c r="A74" s="77" t="s">
        <v>492</v>
      </c>
      <c r="B74" s="408">
        <v>0.5</v>
      </c>
      <c r="C74" s="408">
        <v>0.5</v>
      </c>
      <c r="D74" s="408">
        <v>0.5</v>
      </c>
      <c r="E74" s="408">
        <v>0.3</v>
      </c>
      <c r="F74" s="408">
        <v>0.3</v>
      </c>
      <c r="G74" s="408">
        <v>0.3</v>
      </c>
      <c r="H74" s="408">
        <v>0.3</v>
      </c>
      <c r="I74" s="408">
        <v>0.34</v>
      </c>
      <c r="J74" s="408">
        <v>0.34371834859623779</v>
      </c>
      <c r="K74" s="423">
        <v>0.3478287726829033</v>
      </c>
      <c r="L74" s="589">
        <v>0.3527122461311783</v>
      </c>
      <c r="M74" s="450">
        <v>0.35736804778010989</v>
      </c>
      <c r="N74" s="450">
        <v>0.36194235879169528</v>
      </c>
      <c r="O74" s="450">
        <v>0.36624947286131643</v>
      </c>
      <c r="P74" s="450">
        <v>0.37038809190464933</v>
      </c>
      <c r="Q74" s="450">
        <v>0.37438828329721957</v>
      </c>
      <c r="R74" s="450">
        <v>0.37828192144351058</v>
      </c>
      <c r="S74" s="450">
        <v>0.38221605342652304</v>
      </c>
      <c r="T74" s="450">
        <v>0.38615287877681626</v>
      </c>
      <c r="U74" s="450">
        <v>0.39009163814033976</v>
      </c>
      <c r="V74" s="450">
        <v>0.3939925545217432</v>
      </c>
      <c r="W74" s="450">
        <v>0.39785368155605638</v>
      </c>
      <c r="X74" s="450">
        <v>0.40171286226715003</v>
      </c>
      <c r="Y74" s="450">
        <v>0.40552913445868799</v>
      </c>
      <c r="Z74" s="450">
        <v>0.40930055540915383</v>
      </c>
      <c r="AA74" s="450">
        <v>0.41306612051891806</v>
      </c>
      <c r="AB74" s="450">
        <v>0.41674240899153642</v>
      </c>
      <c r="AC74" s="450">
        <v>0.42036806794976284</v>
      </c>
      <c r="AD74" s="450">
        <v>0.42394119652733575</v>
      </c>
      <c r="AE74" s="450">
        <v>0.42745990845851262</v>
      </c>
      <c r="AF74" s="450">
        <v>0.4309223337170266</v>
      </c>
      <c r="AG74" s="450">
        <v>0.43432662015339113</v>
      </c>
      <c r="AH74" s="450">
        <v>0.4376709351285723</v>
      </c>
      <c r="AI74" s="450">
        <v>0.44099723423554954</v>
      </c>
      <c r="AJ74" s="450">
        <v>0.44430471349231621</v>
      </c>
      <c r="AK74" s="450">
        <v>0.44754813790081011</v>
      </c>
    </row>
    <row r="75" spans="1:38">
      <c r="A75" s="77" t="s">
        <v>493</v>
      </c>
      <c r="B75" s="408">
        <v>1</v>
      </c>
      <c r="C75" s="408">
        <v>2.1</v>
      </c>
      <c r="D75" s="408">
        <v>0.8</v>
      </c>
      <c r="E75" s="408">
        <v>0.9</v>
      </c>
      <c r="F75" s="408">
        <v>0.5</v>
      </c>
      <c r="G75" s="408">
        <v>0.5</v>
      </c>
      <c r="H75" s="408">
        <v>0.5</v>
      </c>
      <c r="I75" s="408">
        <v>0.64</v>
      </c>
      <c r="J75" s="408">
        <v>0.64699924441644752</v>
      </c>
      <c r="K75" s="423">
        <v>0.654736513285465</v>
      </c>
      <c r="L75" s="589">
        <v>0.66392893389398266</v>
      </c>
      <c r="M75" s="450">
        <v>0.6726927958213833</v>
      </c>
      <c r="N75" s="450">
        <v>0.68130326360789695</v>
      </c>
      <c r="O75" s="450">
        <v>0.68941077244483084</v>
      </c>
      <c r="P75" s="450">
        <v>0.69720111417345754</v>
      </c>
      <c r="Q75" s="450">
        <v>0.7047308862065309</v>
      </c>
      <c r="R75" s="450">
        <v>0.71206008742307869</v>
      </c>
      <c r="S75" s="450">
        <v>0.71946551233227862</v>
      </c>
      <c r="T75" s="450">
        <v>0.72687600710930111</v>
      </c>
      <c r="U75" s="450">
        <v>0.734290142381816</v>
      </c>
      <c r="V75" s="450">
        <v>0.74163304380563422</v>
      </c>
      <c r="W75" s="450">
        <v>0.7489010476349296</v>
      </c>
      <c r="X75" s="450">
        <v>0.75616538779698828</v>
      </c>
      <c r="Y75" s="450">
        <v>0.7633489589810597</v>
      </c>
      <c r="Z75" s="450">
        <v>0.77044810429958366</v>
      </c>
      <c r="AA75" s="450">
        <v>0.77753622685913981</v>
      </c>
      <c r="AB75" s="450">
        <v>0.78445629927818616</v>
      </c>
      <c r="AC75" s="450">
        <v>0.79128106908190643</v>
      </c>
      <c r="AD75" s="450">
        <v>0.7980069581691025</v>
      </c>
      <c r="AE75" s="450">
        <v>0.80463041592190609</v>
      </c>
      <c r="AF75" s="450">
        <v>0.81114792229087362</v>
      </c>
      <c r="AG75" s="450">
        <v>0.81755599087697151</v>
      </c>
      <c r="AH75" s="450">
        <v>0.82385117200672431</v>
      </c>
      <c r="AI75" s="450">
        <v>0.83011244091397562</v>
      </c>
      <c r="AJ75" s="450">
        <v>0.83633828422083045</v>
      </c>
      <c r="AK75" s="450">
        <v>0.8424435536956425</v>
      </c>
    </row>
    <row r="76" spans="1:38">
      <c r="A76" s="77" t="s">
        <v>494</v>
      </c>
      <c r="B76" s="408">
        <v>0</v>
      </c>
      <c r="C76" s="408">
        <v>0</v>
      </c>
      <c r="D76" s="408">
        <v>0</v>
      </c>
      <c r="E76" s="408">
        <v>0</v>
      </c>
      <c r="F76" s="408">
        <v>0</v>
      </c>
      <c r="G76" s="408">
        <v>0</v>
      </c>
      <c r="H76" s="408">
        <v>0</v>
      </c>
      <c r="I76" s="408">
        <v>0</v>
      </c>
      <c r="J76" s="408">
        <v>0</v>
      </c>
      <c r="K76" s="423">
        <v>0</v>
      </c>
      <c r="L76" s="589">
        <v>0</v>
      </c>
      <c r="M76" s="450">
        <v>0</v>
      </c>
      <c r="N76" s="450">
        <v>0</v>
      </c>
      <c r="O76" s="450">
        <v>0</v>
      </c>
      <c r="P76" s="450">
        <v>0</v>
      </c>
      <c r="Q76" s="450">
        <v>0</v>
      </c>
      <c r="R76" s="450">
        <v>0</v>
      </c>
      <c r="S76" s="450">
        <v>0</v>
      </c>
      <c r="T76" s="450">
        <v>0</v>
      </c>
      <c r="U76" s="450">
        <v>0</v>
      </c>
      <c r="V76" s="450">
        <v>0</v>
      </c>
      <c r="W76" s="450">
        <v>0</v>
      </c>
      <c r="X76" s="450">
        <v>0</v>
      </c>
      <c r="Y76" s="450">
        <v>0</v>
      </c>
      <c r="Z76" s="450">
        <v>0</v>
      </c>
      <c r="AA76" s="450">
        <v>0</v>
      </c>
      <c r="AB76" s="450">
        <v>0</v>
      </c>
      <c r="AC76" s="450">
        <v>0</v>
      </c>
      <c r="AD76" s="450">
        <v>0</v>
      </c>
      <c r="AE76" s="450">
        <v>0</v>
      </c>
      <c r="AF76" s="450">
        <v>0</v>
      </c>
      <c r="AG76" s="450">
        <v>0</v>
      </c>
      <c r="AH76" s="450">
        <v>0</v>
      </c>
      <c r="AI76" s="450">
        <v>0</v>
      </c>
      <c r="AJ76" s="450">
        <v>0</v>
      </c>
      <c r="AK76" s="450">
        <v>0</v>
      </c>
    </row>
    <row r="77" spans="1:38">
      <c r="A77" s="77" t="s">
        <v>495</v>
      </c>
      <c r="B77" s="408">
        <v>0.1</v>
      </c>
      <c r="C77" s="408">
        <v>0.1</v>
      </c>
      <c r="D77" s="408">
        <v>0.1</v>
      </c>
      <c r="E77" s="408">
        <v>0.1</v>
      </c>
      <c r="F77" s="408">
        <v>0.1</v>
      </c>
      <c r="G77" s="408">
        <v>0.1</v>
      </c>
      <c r="H77" s="408">
        <v>0.1</v>
      </c>
      <c r="I77" s="408">
        <v>0.1</v>
      </c>
      <c r="J77" s="408">
        <v>0.10109363194006993</v>
      </c>
      <c r="K77" s="423">
        <v>0.10230258020085391</v>
      </c>
      <c r="L77" s="589">
        <v>0.1037388959209348</v>
      </c>
      <c r="M77" s="450">
        <v>0.10510824934709113</v>
      </c>
      <c r="N77" s="450">
        <v>0.1064536349387339</v>
      </c>
      <c r="O77" s="450">
        <v>0.10772043319450482</v>
      </c>
      <c r="P77" s="450">
        <v>0.10893767408960274</v>
      </c>
      <c r="Q77" s="450">
        <v>0.11011420096977045</v>
      </c>
      <c r="R77" s="450">
        <v>0.11125938865985606</v>
      </c>
      <c r="S77" s="450">
        <v>0.11241648630191854</v>
      </c>
      <c r="T77" s="450">
        <v>0.11357437611082831</v>
      </c>
      <c r="U77" s="450">
        <v>0.11473283474715874</v>
      </c>
      <c r="V77" s="450">
        <v>0.11588016309463034</v>
      </c>
      <c r="W77" s="450">
        <v>0.11701578869295776</v>
      </c>
      <c r="X77" s="450">
        <v>0.11815084184327942</v>
      </c>
      <c r="Y77" s="450">
        <v>0.11927327484079059</v>
      </c>
      <c r="Z77" s="450">
        <v>0.12038251629680995</v>
      </c>
      <c r="AA77" s="450">
        <v>0.1214900354467406</v>
      </c>
      <c r="AB77" s="450">
        <v>0.12257129676221659</v>
      </c>
      <c r="AC77" s="450">
        <v>0.12363766704404788</v>
      </c>
      <c r="AD77" s="450">
        <v>0.12468858721392227</v>
      </c>
      <c r="AE77" s="450">
        <v>0.12572350248779782</v>
      </c>
      <c r="AF77" s="450">
        <v>0.126741862857949</v>
      </c>
      <c r="AG77" s="450">
        <v>0.1277431235745268</v>
      </c>
      <c r="AH77" s="450">
        <v>0.12872674562605066</v>
      </c>
      <c r="AI77" s="450">
        <v>0.12970506889280869</v>
      </c>
      <c r="AJ77" s="450">
        <v>0.13067785690950476</v>
      </c>
      <c r="AK77" s="450">
        <v>0.13163180526494414</v>
      </c>
    </row>
    <row r="78" spans="1:38">
      <c r="A78" s="77" t="s">
        <v>496</v>
      </c>
      <c r="B78" s="408">
        <v>2.1</v>
      </c>
      <c r="C78" s="408">
        <v>2.2000000000000002</v>
      </c>
      <c r="D78" s="408">
        <v>2.2000000000000002</v>
      </c>
      <c r="E78" s="408">
        <v>2.2000000000000002</v>
      </c>
      <c r="F78" s="408">
        <v>2.2999999999999998</v>
      </c>
      <c r="G78" s="408">
        <v>2.5</v>
      </c>
      <c r="H78" s="408">
        <v>2.6</v>
      </c>
      <c r="I78" s="408">
        <v>2.36</v>
      </c>
      <c r="J78" s="408">
        <v>2.3858097137856502</v>
      </c>
      <c r="K78" s="423">
        <v>2.4143408927401517</v>
      </c>
      <c r="L78" s="589">
        <v>2.4482379437340609</v>
      </c>
      <c r="M78" s="450">
        <v>2.4805546845913504</v>
      </c>
      <c r="N78" s="450">
        <v>2.5123057845541199</v>
      </c>
      <c r="O78" s="450">
        <v>2.5422022233903134</v>
      </c>
      <c r="P78" s="450">
        <v>2.5709291085146244</v>
      </c>
      <c r="Q78" s="450">
        <v>2.5986951428865823</v>
      </c>
      <c r="R78" s="450">
        <v>2.6257215723726026</v>
      </c>
      <c r="S78" s="450">
        <v>2.6530290767252773</v>
      </c>
      <c r="T78" s="450">
        <v>2.6803552762155478</v>
      </c>
      <c r="U78" s="450">
        <v>2.707694900032946</v>
      </c>
      <c r="V78" s="450">
        <v>2.734771849033276</v>
      </c>
      <c r="W78" s="450">
        <v>2.7615726131538025</v>
      </c>
      <c r="X78" s="450">
        <v>2.7883598675013941</v>
      </c>
      <c r="Y78" s="450">
        <v>2.8148492862426573</v>
      </c>
      <c r="Z78" s="450">
        <v>2.8410273846047143</v>
      </c>
      <c r="AA78" s="450">
        <v>2.8671648365430777</v>
      </c>
      <c r="AB78" s="450">
        <v>2.8926826035883111</v>
      </c>
      <c r="AC78" s="450">
        <v>2.9178489422395297</v>
      </c>
      <c r="AD78" s="450">
        <v>2.9426506582485654</v>
      </c>
      <c r="AE78" s="450">
        <v>2.9670746587120282</v>
      </c>
      <c r="AF78" s="450">
        <v>2.9911079634475963</v>
      </c>
      <c r="AG78" s="450">
        <v>3.014737716358832</v>
      </c>
      <c r="AH78" s="450">
        <v>3.0379511967747956</v>
      </c>
      <c r="AI78" s="450">
        <v>3.0610396258702846</v>
      </c>
      <c r="AJ78" s="450">
        <v>3.0839974230643121</v>
      </c>
      <c r="AK78" s="450">
        <v>3.1065106042526813</v>
      </c>
    </row>
    <row r="79" spans="1:38">
      <c r="A79" s="77" t="s">
        <v>497</v>
      </c>
      <c r="B79" s="408">
        <v>0.1</v>
      </c>
      <c r="C79" s="408">
        <v>0.1</v>
      </c>
      <c r="D79" s="408">
        <v>0.1</v>
      </c>
      <c r="E79" s="408">
        <v>0.1</v>
      </c>
      <c r="F79" s="408">
        <v>0.1</v>
      </c>
      <c r="G79" s="408">
        <v>0.1</v>
      </c>
      <c r="H79" s="408">
        <v>0.1</v>
      </c>
      <c r="I79" s="408">
        <v>0.1</v>
      </c>
      <c r="J79" s="408">
        <v>0.10109363194006993</v>
      </c>
      <c r="K79" s="423">
        <v>0.10230258020085391</v>
      </c>
      <c r="L79" s="589">
        <v>0.1037388959209348</v>
      </c>
      <c r="M79" s="450">
        <v>0.10510824934709113</v>
      </c>
      <c r="N79" s="450">
        <v>0.1064536349387339</v>
      </c>
      <c r="O79" s="450">
        <v>0.10772043319450482</v>
      </c>
      <c r="P79" s="450">
        <v>0.10893767408960274</v>
      </c>
      <c r="Q79" s="450">
        <v>0.11011420096977045</v>
      </c>
      <c r="R79" s="450">
        <v>0.11125938865985606</v>
      </c>
      <c r="S79" s="450">
        <v>0.11241648630191854</v>
      </c>
      <c r="T79" s="450">
        <v>0.11357437611082831</v>
      </c>
      <c r="U79" s="450">
        <v>0.11473283474715874</v>
      </c>
      <c r="V79" s="450">
        <v>0.11588016309463034</v>
      </c>
      <c r="W79" s="450">
        <v>0.11701578869295776</v>
      </c>
      <c r="X79" s="450">
        <v>0.11815084184327942</v>
      </c>
      <c r="Y79" s="450">
        <v>0.11927327484079059</v>
      </c>
      <c r="Z79" s="450">
        <v>0.12038251629680995</v>
      </c>
      <c r="AA79" s="450">
        <v>0.1214900354467406</v>
      </c>
      <c r="AB79" s="450">
        <v>0.12257129676221659</v>
      </c>
      <c r="AC79" s="450">
        <v>0.12363766704404788</v>
      </c>
      <c r="AD79" s="450">
        <v>0.12468858721392227</v>
      </c>
      <c r="AE79" s="450">
        <v>0.12572350248779782</v>
      </c>
      <c r="AF79" s="450">
        <v>0.126741862857949</v>
      </c>
      <c r="AG79" s="450">
        <v>0.1277431235745268</v>
      </c>
      <c r="AH79" s="450">
        <v>0.12872674562605066</v>
      </c>
      <c r="AI79" s="450">
        <v>0.12970506889280869</v>
      </c>
      <c r="AJ79" s="450">
        <v>0.13067785690950476</v>
      </c>
      <c r="AK79" s="450">
        <v>0.13163180526494414</v>
      </c>
    </row>
    <row r="80" spans="1:38">
      <c r="A80" s="77" t="s">
        <v>498</v>
      </c>
      <c r="B80" s="408">
        <v>0.3</v>
      </c>
      <c r="C80" s="408">
        <v>0.3</v>
      </c>
      <c r="D80" s="408">
        <v>0.3</v>
      </c>
      <c r="E80" s="408">
        <v>0.3</v>
      </c>
      <c r="F80" s="408">
        <v>0.3</v>
      </c>
      <c r="G80" s="408">
        <v>0.3</v>
      </c>
      <c r="H80" s="408">
        <v>0.2</v>
      </c>
      <c r="I80" s="408">
        <v>0.27999999999999997</v>
      </c>
      <c r="J80" s="408">
        <v>0.28306216943219575</v>
      </c>
      <c r="K80" s="423">
        <v>0.28644722456239091</v>
      </c>
      <c r="L80" s="589">
        <v>0.2904689085786174</v>
      </c>
      <c r="M80" s="450">
        <v>0.29430309817185513</v>
      </c>
      <c r="N80" s="450">
        <v>0.29807017782845491</v>
      </c>
      <c r="O80" s="450">
        <v>0.30161721294461347</v>
      </c>
      <c r="P80" s="450">
        <v>0.30502548745088764</v>
      </c>
      <c r="Q80" s="450">
        <v>0.30831976271535722</v>
      </c>
      <c r="R80" s="450">
        <v>0.31152628824759693</v>
      </c>
      <c r="S80" s="450">
        <v>0.31476616164537186</v>
      </c>
      <c r="T80" s="450">
        <v>0.31800825311031922</v>
      </c>
      <c r="U80" s="450">
        <v>0.32125193729204443</v>
      </c>
      <c r="V80" s="450">
        <v>0.32446445666496493</v>
      </c>
      <c r="W80" s="450">
        <v>0.32764420834028163</v>
      </c>
      <c r="X80" s="450">
        <v>0.33082235716118236</v>
      </c>
      <c r="Y80" s="450">
        <v>0.33396516955421357</v>
      </c>
      <c r="Z80" s="450">
        <v>0.33707104563106777</v>
      </c>
      <c r="AA80" s="450">
        <v>0.34017209925087366</v>
      </c>
      <c r="AB80" s="450">
        <v>0.34319963093420641</v>
      </c>
      <c r="AC80" s="450">
        <v>0.34618546772333403</v>
      </c>
      <c r="AD80" s="450">
        <v>0.3491280441989823</v>
      </c>
      <c r="AE80" s="450">
        <v>0.35202580696583385</v>
      </c>
      <c r="AF80" s="450">
        <v>0.35487721600225713</v>
      </c>
      <c r="AG80" s="450">
        <v>0.357680746008675</v>
      </c>
      <c r="AH80" s="450">
        <v>0.3604348877529418</v>
      </c>
      <c r="AI80" s="450">
        <v>0.3631741928998643</v>
      </c>
      <c r="AJ80" s="450">
        <v>0.36589799934661327</v>
      </c>
      <c r="AK80" s="450">
        <v>0.36856905474184354</v>
      </c>
    </row>
    <row r="81" spans="1:37">
      <c r="L81" s="593"/>
    </row>
    <row r="82" spans="1:37">
      <c r="L82" s="593"/>
    </row>
    <row r="83" spans="1:37">
      <c r="L83" s="593"/>
    </row>
    <row r="84" spans="1:37">
      <c r="A84" s="441" t="s">
        <v>33</v>
      </c>
      <c r="B84" s="450">
        <v>0.14251605938037251</v>
      </c>
      <c r="C84" s="450">
        <v>0.14319502873841108</v>
      </c>
      <c r="D84" s="450">
        <v>0.12815623854600711</v>
      </c>
      <c r="E84" s="450">
        <v>0.12116402023672831</v>
      </c>
      <c r="F84" s="450">
        <v>0.10076782231487014</v>
      </c>
      <c r="G84" s="450">
        <v>0.10476499589127861</v>
      </c>
      <c r="H84" s="450">
        <v>9.8183512686020713E-2</v>
      </c>
      <c r="I84" s="450">
        <v>9.8228069748587082E-2</v>
      </c>
      <c r="J84" s="450">
        <v>0.10612682174898894</v>
      </c>
      <c r="K84" s="423">
        <v>0.10002635228734523</v>
      </c>
      <c r="L84" s="589">
        <v>0.10301074555606834</v>
      </c>
      <c r="M84" s="450">
        <v>0.10215886960612197</v>
      </c>
      <c r="N84" s="450">
        <v>0.10210849009948264</v>
      </c>
      <c r="O84" s="450">
        <v>9.2943947313258474E-2</v>
      </c>
      <c r="P84" s="450">
        <v>9.2751310734888487E-2</v>
      </c>
      <c r="Q84" s="450">
        <v>9.400539923881937E-2</v>
      </c>
      <c r="R84" s="450">
        <v>9.5086754020570735E-2</v>
      </c>
      <c r="S84" s="450">
        <v>9.4219744089227342E-2</v>
      </c>
      <c r="T84" s="450">
        <v>9.273411736282601E-2</v>
      </c>
      <c r="U84" s="450">
        <v>9.1620152322780854E-2</v>
      </c>
      <c r="V84" s="450">
        <v>9.0115437806280854E-2</v>
      </c>
      <c r="W84" s="450">
        <v>8.8606419913216133E-2</v>
      </c>
      <c r="X84" s="450">
        <v>8.8439843741610319E-2</v>
      </c>
      <c r="Y84" s="450">
        <v>8.6850628124993931E-2</v>
      </c>
      <c r="Z84" s="450">
        <v>8.6937784144857699E-2</v>
      </c>
      <c r="AA84" s="450">
        <v>8.7136983814888908E-2</v>
      </c>
      <c r="AB84" s="450">
        <v>8.7349923735112578E-2</v>
      </c>
      <c r="AC84" s="450">
        <v>8.8733534910573938E-2</v>
      </c>
      <c r="AD84" s="450">
        <v>8.9269328560576636E-2</v>
      </c>
      <c r="AE84" s="450">
        <v>9.0488050426426381E-2</v>
      </c>
      <c r="AF84" s="450">
        <v>8.9088304669608501E-2</v>
      </c>
      <c r="AG84" s="450">
        <v>8.738443450015114E-2</v>
      </c>
      <c r="AH84" s="450">
        <v>8.7497093177481E-2</v>
      </c>
      <c r="AI84" s="450">
        <v>8.8790892546689995E-2</v>
      </c>
      <c r="AJ84" s="450">
        <v>8.9763977038943579E-2</v>
      </c>
      <c r="AK84" s="450">
        <v>9.0558245344222896E-2</v>
      </c>
    </row>
    <row r="85" spans="1:37">
      <c r="A85" s="441" t="s">
        <v>1160</v>
      </c>
      <c r="B85" s="453">
        <v>0.75</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AP66"/>
  <sheetViews>
    <sheetView zoomScaleNormal="100" workbookViewId="0">
      <pane xSplit="1" topLeftCell="B1" activePane="topRight" state="frozen"/>
      <selection pane="topRight" activeCell="C4" sqref="C4"/>
    </sheetView>
  </sheetViews>
  <sheetFormatPr defaultColWidth="9.140625" defaultRowHeight="12.75"/>
  <cols>
    <col min="1" max="1" width="33.28515625" style="57" customWidth="1"/>
    <col min="2" max="38" width="8.7109375" style="57" customWidth="1"/>
    <col min="39" max="16384" width="9.140625" style="57"/>
  </cols>
  <sheetData>
    <row r="1" spans="1:42" ht="27">
      <c r="A1" s="88" t="s">
        <v>365</v>
      </c>
    </row>
    <row r="2" spans="1:42" ht="15.75">
      <c r="A2" s="101" t="s">
        <v>454</v>
      </c>
    </row>
    <row r="3" spans="1:42" ht="15.75">
      <c r="A3" s="101" t="s">
        <v>381</v>
      </c>
      <c r="C3" s="58" t="s">
        <v>438</v>
      </c>
      <c r="AL3" s="57" t="s">
        <v>293</v>
      </c>
    </row>
    <row r="4" spans="1:42" ht="15.75">
      <c r="A4" s="101" t="s">
        <v>380</v>
      </c>
      <c r="C4" s="58" t="str">
        <f>'price scenario A'!B3</f>
        <v>forecast is in 2017 dollars per million Btu</v>
      </c>
      <c r="H4" s="2"/>
      <c r="I4" s="2"/>
    </row>
    <row r="5" spans="1:42">
      <c r="D5" s="57" t="s">
        <v>21</v>
      </c>
      <c r="E5" s="57" t="s">
        <v>21</v>
      </c>
      <c r="F5" s="57" t="s">
        <v>21</v>
      </c>
      <c r="G5" s="57" t="s">
        <v>21</v>
      </c>
      <c r="H5" s="319"/>
      <c r="K5" s="2"/>
      <c r="L5" s="18" t="s">
        <v>363</v>
      </c>
      <c r="M5" s="555" t="s">
        <v>364</v>
      </c>
      <c r="N5" s="57" t="s">
        <v>21</v>
      </c>
      <c r="O5" s="57" t="s">
        <v>21</v>
      </c>
      <c r="P5" s="57" t="s">
        <v>21</v>
      </c>
      <c r="Q5" s="57" t="s">
        <v>21</v>
      </c>
      <c r="R5" s="57" t="s">
        <v>21</v>
      </c>
      <c r="S5" s="57" t="s">
        <v>21</v>
      </c>
      <c r="T5" s="57" t="s">
        <v>21</v>
      </c>
      <c r="U5" s="57" t="s">
        <v>21</v>
      </c>
      <c r="V5" s="57" t="s">
        <v>21</v>
      </c>
      <c r="W5" s="57" t="s">
        <v>21</v>
      </c>
      <c r="X5" s="57" t="s">
        <v>21</v>
      </c>
      <c r="Y5" s="57" t="s">
        <v>21</v>
      </c>
      <c r="Z5" s="57" t="s">
        <v>21</v>
      </c>
      <c r="AA5" s="57" t="s">
        <v>21</v>
      </c>
      <c r="AB5" s="57" t="s">
        <v>21</v>
      </c>
      <c r="AC5" s="57" t="s">
        <v>21</v>
      </c>
      <c r="AD5" s="57" t="s">
        <v>21</v>
      </c>
      <c r="AE5" s="57" t="s">
        <v>21</v>
      </c>
      <c r="AF5" s="57" t="s">
        <v>21</v>
      </c>
      <c r="AL5" s="57">
        <v>2011</v>
      </c>
      <c r="AN5" s="60">
        <v>1.0883768565014857</v>
      </c>
      <c r="AO5" s="57" t="s">
        <v>298</v>
      </c>
    </row>
    <row r="6" spans="1:42" ht="13.5">
      <c r="A6" s="57" t="s">
        <v>22</v>
      </c>
      <c r="B6" s="59">
        <v>2005</v>
      </c>
      <c r="C6" s="59">
        <v>2006</v>
      </c>
      <c r="D6" s="59">
        <v>2007</v>
      </c>
      <c r="E6" s="59">
        <v>2008</v>
      </c>
      <c r="F6" s="59">
        <v>2009</v>
      </c>
      <c r="G6" s="59">
        <v>2010</v>
      </c>
      <c r="H6" s="59">
        <v>2011</v>
      </c>
      <c r="I6" s="59">
        <v>2012</v>
      </c>
      <c r="J6" s="59">
        <v>2013</v>
      </c>
      <c r="K6" s="466">
        <v>2014</v>
      </c>
      <c r="L6" s="472">
        <v>2015</v>
      </c>
      <c r="M6" s="318">
        <v>2016</v>
      </c>
      <c r="N6" s="59">
        <v>2017</v>
      </c>
      <c r="O6" s="59">
        <v>2018</v>
      </c>
      <c r="P6" s="59">
        <v>2019</v>
      </c>
      <c r="Q6" s="59">
        <v>2020</v>
      </c>
      <c r="R6" s="59">
        <v>2021</v>
      </c>
      <c r="S6" s="59">
        <v>2022</v>
      </c>
      <c r="T6" s="59">
        <v>2023</v>
      </c>
      <c r="U6" s="59">
        <v>2024</v>
      </c>
      <c r="V6" s="59">
        <v>2025</v>
      </c>
      <c r="W6" s="59">
        <v>2026</v>
      </c>
      <c r="X6" s="59">
        <v>2027</v>
      </c>
      <c r="Y6" s="59">
        <v>2028</v>
      </c>
      <c r="Z6" s="59">
        <v>2029</v>
      </c>
      <c r="AA6" s="59">
        <v>2030</v>
      </c>
      <c r="AB6" s="59">
        <v>2031</v>
      </c>
      <c r="AC6" s="59">
        <v>2032</v>
      </c>
      <c r="AD6" s="59">
        <v>2033</v>
      </c>
      <c r="AE6" s="59">
        <v>2034</v>
      </c>
      <c r="AF6" s="59">
        <v>2035</v>
      </c>
      <c r="AG6" s="59">
        <v>2036</v>
      </c>
      <c r="AH6" s="59">
        <v>2037</v>
      </c>
      <c r="AI6" s="59">
        <v>2038</v>
      </c>
      <c r="AJ6" s="59">
        <v>2039</v>
      </c>
      <c r="AK6" s="59">
        <v>2040</v>
      </c>
      <c r="AL6" s="59">
        <v>2040</v>
      </c>
    </row>
    <row r="7" spans="1:42">
      <c r="A7" s="57" t="s">
        <v>23</v>
      </c>
      <c r="I7" s="316"/>
      <c r="K7" s="355"/>
      <c r="L7" s="18"/>
      <c r="AN7" s="57">
        <v>2005</v>
      </c>
      <c r="AO7" s="57">
        <v>2006</v>
      </c>
      <c r="AP7" s="57" t="s">
        <v>299</v>
      </c>
    </row>
    <row r="8" spans="1:42">
      <c r="A8" s="57" t="s">
        <v>24</v>
      </c>
      <c r="B8" s="82">
        <f>IF(parameters!$C$27="B",'price scenario B'!B7,IF(parameters!$C$27="C",'price scenario C'!B7,'price scenario A'!B7))</f>
        <v>26.051241846129606</v>
      </c>
      <c r="C8" s="82">
        <f>IF(parameters!$C$27="B",'price scenario B'!C7,IF(parameters!$C$27="C",'price scenario C'!C7,'price scenario A'!C7))</f>
        <v>30.66863980999922</v>
      </c>
      <c r="D8" s="82">
        <f>IF(parameters!$C$27="B",'price scenario B'!D7,IF(parameters!$C$27="C",'price scenario C'!D7,'price scenario A'!D7))</f>
        <v>33.494805329687082</v>
      </c>
      <c r="E8" s="82">
        <f>IF(parameters!$C$27="B",'price scenario B'!E7,IF(parameters!$C$27="C",'price scenario C'!E7,'price scenario A'!E7))</f>
        <v>39.750843853397861</v>
      </c>
      <c r="F8" s="82">
        <f>IF(parameters!$C$27="B",'price scenario B'!F7,IF(parameters!$C$27="C",'price scenario C'!F7,'price scenario A'!F7))</f>
        <v>33.68748039407636</v>
      </c>
      <c r="G8" s="82">
        <f>IF(parameters!$C$27="B",'price scenario B'!G7,IF(parameters!$C$27="C",'price scenario C'!G7,'price scenario A'!G7))</f>
        <v>32.896204367100005</v>
      </c>
      <c r="H8" s="82">
        <f>IF(parameters!$C$27="B",'price scenario B'!H7,IF(parameters!$C$27="C",'price scenario C'!H7,'price scenario A'!H7))</f>
        <v>26.402289025800002</v>
      </c>
      <c r="I8" s="367">
        <f>IF(parameters!$C$27="B",'price scenario B'!I7,IF(parameters!$C$27="C",'price scenario C'!I7,'price scenario A'!I7))</f>
        <v>27.849444200000001</v>
      </c>
      <c r="J8" s="82">
        <f>IF(parameters!$C$27="B",'price scenario B'!J7,IF(parameters!$C$27="C",'price scenario C'!J7,'price scenario A'!J7))</f>
        <v>26.999056000000003</v>
      </c>
      <c r="K8" s="542">
        <f>IF(parameters!$C$27="B",'price scenario B'!K7,IF(parameters!$C$27="C",'price scenario C'!K7,'price scenario A'!K7))</f>
        <v>26.273474</v>
      </c>
      <c r="L8" s="541">
        <f>IF(parameters!$C$27="B",'price scenario B'!L7,IF(parameters!$C$27="C",'price scenario C'!L7,'price scenario A'!L7))</f>
        <v>19.169197</v>
      </c>
      <c r="M8" s="82">
        <f>IF(parameters!$C$27="B",'price scenario B'!M7,IF(parameters!$C$27="C",'price scenario C'!M7,'price scenario A'!M7))</f>
        <v>18.989611</v>
      </c>
      <c r="N8" s="82">
        <f>IF(parameters!$C$27="B",'price scenario B'!N7,IF(parameters!$C$27="C",'price scenario C'!N7,'price scenario A'!N7))</f>
        <v>19.823017</v>
      </c>
      <c r="O8" s="82">
        <f>IF(parameters!$C$27="B",'price scenario B'!O7,IF(parameters!$C$27="C",'price scenario C'!O7,'price scenario A'!O7))</f>
        <v>18.845822999999999</v>
      </c>
      <c r="P8" s="82">
        <f>IF(parameters!$C$27="B",'price scenario B'!P7,IF(parameters!$C$27="C",'price scenario C'!P7,'price scenario A'!P7))</f>
        <v>19.013500000000001</v>
      </c>
      <c r="Q8" s="82">
        <f>IF(parameters!$C$27="B",'price scenario B'!Q7,IF(parameters!$C$27="C",'price scenario C'!Q7,'price scenario A'!Q7))</f>
        <v>19.95269</v>
      </c>
      <c r="R8" s="82">
        <f>IF(parameters!$C$27="B",'price scenario B'!R7,IF(parameters!$C$27="C",'price scenario C'!R7,'price scenario A'!R7))</f>
        <v>20.288197</v>
      </c>
      <c r="S8" s="82">
        <f>IF(parameters!$C$27="B",'price scenario B'!S7,IF(parameters!$C$27="C",'price scenario C'!S7,'price scenario A'!S7))</f>
        <v>20.589096000000001</v>
      </c>
      <c r="T8" s="82">
        <f>IF(parameters!$C$27="B",'price scenario B'!T7,IF(parameters!$C$27="C",'price scenario C'!T7,'price scenario A'!T7))</f>
        <v>20.837983999999999</v>
      </c>
      <c r="U8" s="82">
        <f>IF(parameters!$C$27="B",'price scenario B'!U7,IF(parameters!$C$27="C",'price scenario C'!U7,'price scenario A'!U7))</f>
        <v>23.365297000000002</v>
      </c>
      <c r="V8" s="82">
        <f>IF(parameters!$C$27="B",'price scenario B'!V7,IF(parameters!$C$27="C",'price scenario C'!V7,'price scenario A'!V7))</f>
        <v>23.429541</v>
      </c>
      <c r="W8" s="82">
        <f>IF(parameters!$C$27="B",'price scenario B'!W7,IF(parameters!$C$27="C",'price scenario C'!W7,'price scenario A'!W7))</f>
        <v>23.485056</v>
      </c>
      <c r="X8" s="82">
        <f>IF(parameters!$C$27="B",'price scenario B'!X7,IF(parameters!$C$27="C",'price scenario C'!X7,'price scenario A'!X7))</f>
        <v>23.522801999999999</v>
      </c>
      <c r="Y8" s="82">
        <f>IF(parameters!$C$27="B",'price scenario B'!Y7,IF(parameters!$C$27="C",'price scenario C'!Y7,'price scenario A'!Y7))</f>
        <v>23.612303000000001</v>
      </c>
      <c r="Z8" s="82">
        <f>IF(parameters!$C$27="B",'price scenario B'!Z7,IF(parameters!$C$27="C",'price scenario C'!Z7,'price scenario A'!Z7))</f>
        <v>24.205912000000001</v>
      </c>
      <c r="AA8" s="82">
        <f>IF(parameters!$C$27="B",'price scenario B'!AA7,IF(parameters!$C$27="C",'price scenario C'!AA7,'price scenario A'!AA7))</f>
        <v>24.303826999999998</v>
      </c>
      <c r="AB8" s="82">
        <f>IF(parameters!$C$27="B",'price scenario B'!AB7,IF(parameters!$C$27="C",'price scenario C'!AB7,'price scenario A'!AB7))</f>
        <v>24.514396999999999</v>
      </c>
      <c r="AC8" s="82">
        <f>IF(parameters!$C$27="B",'price scenario B'!AC7,IF(parameters!$C$27="C",'price scenario C'!AC7,'price scenario A'!AC7))</f>
        <v>24.790319</v>
      </c>
      <c r="AD8" s="82">
        <f>IF(parameters!$C$27="B",'price scenario B'!AD7,IF(parameters!$C$27="C",'price scenario C'!AD7,'price scenario A'!AD7))</f>
        <v>25.033773</v>
      </c>
      <c r="AE8" s="82">
        <f>IF(parameters!$C$27="B",'price scenario B'!AE7,IF(parameters!$C$27="C",'price scenario C'!AE7,'price scenario A'!AE7))</f>
        <v>25.218855000000001</v>
      </c>
      <c r="AF8" s="82">
        <f>IF(parameters!$C$27="B",'price scenario B'!AF7,IF(parameters!$C$27="C",'price scenario C'!AF7,'price scenario A'!AF7))</f>
        <v>25.453479999999999</v>
      </c>
      <c r="AG8" s="82">
        <f>IF(parameters!$C$27="B",'price scenario B'!AG7,IF(parameters!$C$27="C",'price scenario C'!AG7,'price scenario A'!AG7))</f>
        <v>25.70064</v>
      </c>
      <c r="AH8" s="82">
        <f>IF(parameters!$C$27="B",'price scenario B'!AH7,IF(parameters!$C$27="C",'price scenario C'!AH7,'price scenario A'!AH7))</f>
        <v>25.7957</v>
      </c>
      <c r="AI8" s="82">
        <f>IF(parameters!$C$27="B",'price scenario B'!AI7,IF(parameters!$C$27="C",'price scenario C'!AI7,'price scenario A'!AI7))</f>
        <v>26.167466999999998</v>
      </c>
      <c r="AJ8" s="82">
        <f>IF(parameters!$C$27="B",'price scenario B'!AJ7,IF(parameters!$C$27="C",'price scenario C'!AJ7,'price scenario A'!AJ7))</f>
        <v>26.321366999999999</v>
      </c>
      <c r="AK8" s="82">
        <f>IF(parameters!$C$27="B",'price scenario B'!AK7,IF(parameters!$C$27="C",'price scenario C'!AK7,'price scenario A'!AK7))</f>
        <v>26.442492999999999</v>
      </c>
      <c r="AL8" s="67">
        <v>7.0000000000000001E-3</v>
      </c>
      <c r="AM8" s="76"/>
      <c r="AN8" s="100">
        <v>21.831325531005898</v>
      </c>
      <c r="AO8" s="100">
        <v>25.7007732391357</v>
      </c>
    </row>
    <row r="9" spans="1:42">
      <c r="A9" s="57" t="s">
        <v>25</v>
      </c>
      <c r="B9" s="82">
        <f>IF(parameters!$C$27="B",'price scenario B'!B8,IF(parameters!$C$27="C",'price scenario C'!B8,'price scenario A'!B8))</f>
        <v>20.654778534439036</v>
      </c>
      <c r="C9" s="82">
        <f>IF(parameters!$C$27="B",'price scenario B'!C8,IF(parameters!$C$27="C",'price scenario C'!C8,'price scenario A'!C8))</f>
        <v>21.813877535660978</v>
      </c>
      <c r="D9" s="82">
        <f>IF(parameters!$C$27="B",'price scenario B'!D8,IF(parameters!$C$27="C",'price scenario C'!D8,'price scenario A'!D8))</f>
        <v>26.118203975052712</v>
      </c>
      <c r="E9" s="82">
        <f>IF(parameters!$C$27="B",'price scenario B'!E8,IF(parameters!$C$27="C",'price scenario C'!E8,'price scenario A'!E8))</f>
        <v>28.360250296964857</v>
      </c>
      <c r="F9" s="82">
        <f>IF(parameters!$C$27="B",'price scenario B'!F8,IF(parameters!$C$27="C",'price scenario C'!F8,'price scenario A'!F8))</f>
        <v>20.84400916446355</v>
      </c>
      <c r="G9" s="82">
        <f>IF(parameters!$C$27="B",'price scenario B'!G8,IF(parameters!$C$27="C",'price scenario C'!G8,'price scenario A'!G8))</f>
        <v>23.640661560000002</v>
      </c>
      <c r="H9" s="82">
        <f>IF(parameters!$C$27="B",'price scenario B'!H8,IF(parameters!$C$27="C",'price scenario C'!H8,'price scenario A'!H8))</f>
        <v>28.773628173599999</v>
      </c>
      <c r="I9" s="367">
        <f>IF(parameters!$C$27="B",'price scenario B'!I8,IF(parameters!$C$27="C",'price scenario C'!I8,'price scenario A'!I8))</f>
        <v>28.642387600000003</v>
      </c>
      <c r="J9" s="82">
        <f>IF(parameters!$C$27="B",'price scenario B'!J8,IF(parameters!$C$27="C",'price scenario C'!J8,'price scenario A'!J8))</f>
        <v>28.5695558</v>
      </c>
      <c r="K9" s="542">
        <f>IF(parameters!$C$27="B",'price scenario B'!K8,IF(parameters!$C$27="C",'price scenario C'!K8,'price scenario A'!K8))</f>
        <v>27.557736999999999</v>
      </c>
      <c r="L9" s="541">
        <f>IF(parameters!$C$27="B",'price scenario B'!L8,IF(parameters!$C$27="C",'price scenario C'!L8,'price scenario A'!L8))</f>
        <v>19.262710999999999</v>
      </c>
      <c r="M9" s="82">
        <f>IF(parameters!$C$27="B",'price scenario B'!M8,IF(parameters!$C$27="C",'price scenario C'!M8,'price scenario A'!M8))</f>
        <v>15.350858000000001</v>
      </c>
      <c r="N9" s="82">
        <f>IF(parameters!$C$27="B",'price scenario B'!N8,IF(parameters!$C$27="C",'price scenario C'!N8,'price scenario A'!N8))</f>
        <v>17.886963000000002</v>
      </c>
      <c r="O9" s="82">
        <f>IF(parameters!$C$27="B",'price scenario B'!O8,IF(parameters!$C$27="C",'price scenario C'!O8,'price scenario A'!O8))</f>
        <v>18.569464</v>
      </c>
      <c r="P9" s="82">
        <f>IF(parameters!$C$27="B",'price scenario B'!P8,IF(parameters!$C$27="C",'price scenario C'!P8,'price scenario A'!P8))</f>
        <v>19.599571000000001</v>
      </c>
      <c r="Q9" s="82">
        <f>IF(parameters!$C$27="B",'price scenario B'!Q8,IF(parameters!$C$27="C",'price scenario C'!Q8,'price scenario A'!Q8))</f>
        <v>22.971277000000001</v>
      </c>
      <c r="R9" s="82">
        <f>IF(parameters!$C$27="B",'price scenario B'!R8,IF(parameters!$C$27="C",'price scenario C'!R8,'price scenario A'!R8))</f>
        <v>24.607828000000001</v>
      </c>
      <c r="S9" s="82">
        <f>IF(parameters!$C$27="B",'price scenario B'!S8,IF(parameters!$C$27="C",'price scenario C'!S8,'price scenario A'!S8))</f>
        <v>25.316462999999999</v>
      </c>
      <c r="T9" s="82">
        <f>IF(parameters!$C$27="B",'price scenario B'!T8,IF(parameters!$C$27="C",'price scenario C'!T8,'price scenario A'!T8))</f>
        <v>25.86842</v>
      </c>
      <c r="U9" s="82">
        <f>IF(parameters!$C$27="B",'price scenario B'!U8,IF(parameters!$C$27="C",'price scenario C'!U8,'price scenario A'!U8))</f>
        <v>26.191959000000001</v>
      </c>
      <c r="V9" s="82">
        <f>IF(parameters!$C$27="B",'price scenario B'!V8,IF(parameters!$C$27="C",'price scenario C'!V8,'price scenario A'!V8))</f>
        <v>26.303926000000001</v>
      </c>
      <c r="W9" s="82">
        <f>IF(parameters!$C$27="B",'price scenario B'!W8,IF(parameters!$C$27="C",'price scenario C'!W8,'price scenario A'!W8))</f>
        <v>26.461908000000001</v>
      </c>
      <c r="X9" s="82">
        <f>IF(parameters!$C$27="B",'price scenario B'!X8,IF(parameters!$C$27="C",'price scenario C'!X8,'price scenario A'!X8))</f>
        <v>26.677890999999999</v>
      </c>
      <c r="Y9" s="82">
        <f>IF(parameters!$C$27="B",'price scenario B'!Y8,IF(parameters!$C$27="C",'price scenario C'!Y8,'price scenario A'!Y8))</f>
        <v>26.950324999999999</v>
      </c>
      <c r="Z9" s="82">
        <f>IF(parameters!$C$27="B",'price scenario B'!Z8,IF(parameters!$C$27="C",'price scenario C'!Z8,'price scenario A'!Z8))</f>
        <v>27.244976000000001</v>
      </c>
      <c r="AA9" s="82">
        <f>IF(parameters!$C$27="B",'price scenario B'!AA8,IF(parameters!$C$27="C",'price scenario C'!AA8,'price scenario A'!AA8))</f>
        <v>27.435493000000001</v>
      </c>
      <c r="AB9" s="82">
        <f>IF(parameters!$C$27="B",'price scenario B'!AB8,IF(parameters!$C$27="C",'price scenario C'!AB8,'price scenario A'!AB8))</f>
        <v>27.820596999999999</v>
      </c>
      <c r="AC9" s="82">
        <f>IF(parameters!$C$27="B",'price scenario B'!AC8,IF(parameters!$C$27="C",'price scenario C'!AC8,'price scenario A'!AC8))</f>
        <v>28.01539</v>
      </c>
      <c r="AD9" s="82">
        <f>IF(parameters!$C$27="B",'price scenario B'!AD8,IF(parameters!$C$27="C",'price scenario C'!AD8,'price scenario A'!AD8))</f>
        <v>28.320105000000002</v>
      </c>
      <c r="AE9" s="82">
        <f>IF(parameters!$C$27="B",'price scenario B'!AE8,IF(parameters!$C$27="C",'price scenario C'!AE8,'price scenario A'!AE8))</f>
        <v>28.570540999999999</v>
      </c>
      <c r="AF9" s="82">
        <f>IF(parameters!$C$27="B",'price scenario B'!AF8,IF(parameters!$C$27="C",'price scenario C'!AF8,'price scenario A'!AF8))</f>
        <v>28.694842999999999</v>
      </c>
      <c r="AG9" s="82">
        <f>IF(parameters!$C$27="B",'price scenario B'!AG8,IF(parameters!$C$27="C",'price scenario C'!AG8,'price scenario A'!AG8))</f>
        <v>28.827456000000002</v>
      </c>
      <c r="AH9" s="82">
        <f>IF(parameters!$C$27="B",'price scenario B'!AH8,IF(parameters!$C$27="C",'price scenario C'!AH8,'price scenario A'!AH8))</f>
        <v>29.335131000000001</v>
      </c>
      <c r="AI9" s="82">
        <f>IF(parameters!$C$27="B",'price scenario B'!AI8,IF(parameters!$C$27="C",'price scenario C'!AI8,'price scenario A'!AI8))</f>
        <v>29.484455000000001</v>
      </c>
      <c r="AJ9" s="82">
        <f>IF(parameters!$C$27="B",'price scenario B'!AJ8,IF(parameters!$C$27="C",'price scenario C'!AJ8,'price scenario A'!AJ8))</f>
        <v>29.714451</v>
      </c>
      <c r="AK9" s="82">
        <f>IF(parameters!$C$27="B",'price scenario B'!AK8,IF(parameters!$C$27="C",'price scenario C'!AK8,'price scenario A'!AK8))</f>
        <v>29.926468</v>
      </c>
      <c r="AL9" s="67">
        <v>6.0000000000000001E-3</v>
      </c>
      <c r="AM9" s="76"/>
      <c r="AN9" s="100">
        <v>17.309009552001999</v>
      </c>
      <c r="AO9" s="100">
        <v>18.280351638793899</v>
      </c>
    </row>
    <row r="10" spans="1:42">
      <c r="A10" s="57" t="s">
        <v>26</v>
      </c>
      <c r="B10" s="82">
        <f>IF(parameters!$C$27="B",'price scenario B'!B9,IF(parameters!$C$27="C",'price scenario C'!B9,'price scenario A'!B9))</f>
        <v>14.064256366483393</v>
      </c>
      <c r="C10" s="82">
        <f>IF(parameters!$C$27="B",'price scenario B'!C9,IF(parameters!$C$27="C",'price scenario C'!C9,'price scenario A'!C9))</f>
        <v>13.948068335222674</v>
      </c>
      <c r="D10" s="82">
        <f>IF(parameters!$C$27="B",'price scenario B'!D9,IF(parameters!$C$27="C",'price scenario C'!D9,'price scenario A'!D9))</f>
        <v>13.786249584779203</v>
      </c>
      <c r="E10" s="82">
        <f>IF(parameters!$C$27="B",'price scenario B'!E9,IF(parameters!$C$27="C",'price scenario C'!E9,'price scenario A'!E9))</f>
        <v>14.349725806705393</v>
      </c>
      <c r="F10" s="82">
        <f>IF(parameters!$C$27="B",'price scenario B'!F9,IF(parameters!$C$27="C",'price scenario C'!F9,'price scenario A'!F9))</f>
        <v>13.021244137356957</v>
      </c>
      <c r="G10" s="82">
        <f>IF(parameters!$C$27="B",'price scenario B'!G9,IF(parameters!$C$27="C",'price scenario C'!G9,'price scenario A'!G9))</f>
        <v>10.983029568600001</v>
      </c>
      <c r="H10" s="82">
        <f>IF(parameters!$C$27="B",'price scenario B'!H9,IF(parameters!$C$27="C",'price scenario C'!H9,'price scenario A'!H9))</f>
        <v>10.777743023399999</v>
      </c>
      <c r="I10" s="367">
        <f>IF(parameters!$C$27="B",'price scenario B'!I9,IF(parameters!$C$27="C",'price scenario C'!I9,'price scenario A'!I9))</f>
        <v>9.7963900000000006</v>
      </c>
      <c r="J10" s="82">
        <f>IF(parameters!$C$27="B",'price scenario B'!J9,IF(parameters!$C$27="C",'price scenario C'!J9,'price scenario A'!J9))</f>
        <v>10.129775</v>
      </c>
      <c r="K10" s="542">
        <f>IF(parameters!$C$27="B",'price scenario B'!K9,IF(parameters!$C$27="C",'price scenario C'!K9,'price scenario A'!K9))</f>
        <v>11.110224000000001</v>
      </c>
      <c r="L10" s="541">
        <f>IF(parameters!$C$27="B",'price scenario B'!L9,IF(parameters!$C$27="C",'price scenario C'!L9,'price scenario A'!L9))</f>
        <v>11.529643</v>
      </c>
      <c r="M10" s="82">
        <f>IF(parameters!$C$27="B",'price scenario B'!M9,IF(parameters!$C$27="C",'price scenario C'!M9,'price scenario A'!M9))</f>
        <v>11.94908</v>
      </c>
      <c r="N10" s="82">
        <f>IF(parameters!$C$27="B",'price scenario B'!N9,IF(parameters!$C$27="C",'price scenario C'!N9,'price scenario A'!N9))</f>
        <v>12.088861</v>
      </c>
      <c r="O10" s="82">
        <f>IF(parameters!$C$27="B",'price scenario B'!O9,IF(parameters!$C$27="C",'price scenario C'!O9,'price scenario A'!O9))</f>
        <v>11.919873000000001</v>
      </c>
      <c r="P10" s="82">
        <f>IF(parameters!$C$27="B",'price scenario B'!P9,IF(parameters!$C$27="C",'price scenario C'!P9,'price scenario A'!P9))</f>
        <v>12.074678</v>
      </c>
      <c r="Q10" s="82">
        <f>IF(parameters!$C$27="B",'price scenario B'!Q9,IF(parameters!$C$27="C",'price scenario C'!Q9,'price scenario A'!Q9))</f>
        <v>12.078685</v>
      </c>
      <c r="R10" s="82">
        <f>IF(parameters!$C$27="B",'price scenario B'!R9,IF(parameters!$C$27="C",'price scenario C'!R9,'price scenario A'!R9))</f>
        <v>11.841048000000001</v>
      </c>
      <c r="S10" s="82">
        <f>IF(parameters!$C$27="B",'price scenario B'!S9,IF(parameters!$C$27="C",'price scenario C'!S9,'price scenario A'!S9))</f>
        <v>11.587343000000001</v>
      </c>
      <c r="T10" s="82">
        <f>IF(parameters!$C$27="B",'price scenario B'!T9,IF(parameters!$C$27="C",'price scenario C'!T9,'price scenario A'!T9))</f>
        <v>11.451414</v>
      </c>
      <c r="U10" s="82">
        <f>IF(parameters!$C$27="B",'price scenario B'!U9,IF(parameters!$C$27="C",'price scenario C'!U9,'price scenario A'!U9))</f>
        <v>13.682429000000001</v>
      </c>
      <c r="V10" s="82">
        <f>IF(parameters!$C$27="B",'price scenario B'!V9,IF(parameters!$C$27="C",'price scenario C'!V9,'price scenario A'!V9))</f>
        <v>13.857764</v>
      </c>
      <c r="W10" s="82">
        <f>IF(parameters!$C$27="B",'price scenario B'!W9,IF(parameters!$C$27="C",'price scenario C'!W9,'price scenario A'!W9))</f>
        <v>13.916679</v>
      </c>
      <c r="X10" s="82">
        <f>IF(parameters!$C$27="B",'price scenario B'!X9,IF(parameters!$C$27="C",'price scenario C'!X9,'price scenario A'!X9))</f>
        <v>13.985175999999999</v>
      </c>
      <c r="Y10" s="82">
        <f>IF(parameters!$C$27="B",'price scenario B'!Y9,IF(parameters!$C$27="C",'price scenario C'!Y9,'price scenario A'!Y9))</f>
        <v>13.998554</v>
      </c>
      <c r="Z10" s="82">
        <f>IF(parameters!$C$27="B",'price scenario B'!Z9,IF(parameters!$C$27="C",'price scenario C'!Z9,'price scenario A'!Z9))</f>
        <v>14.386626</v>
      </c>
      <c r="AA10" s="82">
        <f>IF(parameters!$C$27="B",'price scenario B'!AA9,IF(parameters!$C$27="C",'price scenario C'!AA9,'price scenario A'!AA9))</f>
        <v>14.390219999999999</v>
      </c>
      <c r="AB10" s="82">
        <f>IF(parameters!$C$27="B",'price scenario B'!AB9,IF(parameters!$C$27="C",'price scenario C'!AB9,'price scenario A'!AB9))</f>
        <v>14.412317</v>
      </c>
      <c r="AC10" s="82">
        <f>IF(parameters!$C$27="B",'price scenario B'!AC9,IF(parameters!$C$27="C",'price scenario C'!AC9,'price scenario A'!AC9))</f>
        <v>14.449577</v>
      </c>
      <c r="AD10" s="82">
        <f>IF(parameters!$C$27="B",'price scenario B'!AD9,IF(parameters!$C$27="C",'price scenario C'!AD9,'price scenario A'!AD9))</f>
        <v>14.482034000000001</v>
      </c>
      <c r="AE10" s="82">
        <f>IF(parameters!$C$27="B",'price scenario B'!AE9,IF(parameters!$C$27="C",'price scenario C'!AE9,'price scenario A'!AE9))</f>
        <v>14.528327000000001</v>
      </c>
      <c r="AF10" s="82">
        <f>IF(parameters!$C$27="B",'price scenario B'!AF9,IF(parameters!$C$27="C",'price scenario C'!AF9,'price scenario A'!AF9))</f>
        <v>14.560515000000001</v>
      </c>
      <c r="AG10" s="82">
        <f>IF(parameters!$C$27="B",'price scenario B'!AG9,IF(parameters!$C$27="C",'price scenario C'!AG9,'price scenario A'!AG9))</f>
        <v>14.666527</v>
      </c>
      <c r="AH10" s="82">
        <f>IF(parameters!$C$27="B",'price scenario B'!AH9,IF(parameters!$C$27="C",'price scenario C'!AH9,'price scenario A'!AH9))</f>
        <v>14.721496999999999</v>
      </c>
      <c r="AI10" s="82">
        <f>IF(parameters!$C$27="B",'price scenario B'!AI9,IF(parameters!$C$27="C",'price scenario C'!AI9,'price scenario A'!AI9))</f>
        <v>14.783452</v>
      </c>
      <c r="AJ10" s="82">
        <f>IF(parameters!$C$27="B",'price scenario B'!AJ9,IF(parameters!$C$27="C",'price scenario C'!AJ9,'price scenario A'!AJ9))</f>
        <v>14.839560000000001</v>
      </c>
      <c r="AK10" s="82">
        <f>IF(parameters!$C$27="B",'price scenario B'!AK9,IF(parameters!$C$27="C",'price scenario C'!AK9,'price scenario A'!AK9))</f>
        <v>14.885216</v>
      </c>
      <c r="AL10" s="67">
        <v>0.02</v>
      </c>
      <c r="AM10" s="76"/>
      <c r="AN10" s="100">
        <v>11.786054611206101</v>
      </c>
      <c r="AO10" s="100">
        <v>11.688687324523899</v>
      </c>
    </row>
    <row r="11" spans="1:42">
      <c r="A11" s="77" t="s">
        <v>8</v>
      </c>
      <c r="B11" s="82">
        <f>IF(parameters!$C$27="B",'price scenario B'!B10,IF(parameters!$C$27="C",'price scenario C'!B10,'price scenario A'!B10))</f>
        <v>24.437607720489037</v>
      </c>
      <c r="C11" s="82">
        <f>IF(parameters!$C$27="B",'price scenario B'!C10,IF(parameters!$C$27="C",'price scenario C'!C10,'price scenario A'!C10))</f>
        <v>26.748142607449822</v>
      </c>
      <c r="D11" s="82">
        <f>IF(parameters!$C$27="B",'price scenario B'!D10,IF(parameters!$C$27="C",'price scenario C'!D10,'price scenario A'!D10))</f>
        <v>26.864904992864833</v>
      </c>
      <c r="E11" s="82">
        <f>IF(parameters!$C$27="B",'price scenario B'!E10,IF(parameters!$C$27="C",'price scenario C'!E10,'price scenario A'!E10))</f>
        <v>25.673123481965842</v>
      </c>
      <c r="F11" s="82">
        <f>IF(parameters!$C$27="B",'price scenario B'!F10,IF(parameters!$C$27="C",'price scenario C'!F10,'price scenario A'!F10))</f>
        <v>24.417329661592778</v>
      </c>
      <c r="G11" s="82">
        <f>IF(parameters!$C$27="B",'price scenario B'!G10,IF(parameters!$C$27="C",'price scenario C'!G10,'price scenario A'!G10))</f>
        <v>24.222396268240214</v>
      </c>
      <c r="H11" s="82">
        <f>IF(parameters!$C$27="B",'price scenario B'!H10,IF(parameters!$C$27="C",'price scenario C'!H10,'price scenario A'!H10))</f>
        <v>24.41365919630044</v>
      </c>
      <c r="I11" s="367">
        <f>IF(parameters!$C$27="B",'price scenario B'!I10,IF(parameters!$C$27="C",'price scenario C'!I10,'price scenario A'!I10))</f>
        <v>26.010139828997268</v>
      </c>
      <c r="J11" s="82">
        <f>IF(parameters!$C$27="B",'price scenario B'!J10,IF(parameters!$C$27="C",'price scenario C'!J10,'price scenario A'!J10))</f>
        <v>26.863339111502501</v>
      </c>
      <c r="K11" s="542">
        <f>IF(parameters!$C$27="B",'price scenario B'!K10,IF(parameters!$C$27="C",'price scenario C'!K10,'price scenario A'!K10))</f>
        <v>26.574448608041504</v>
      </c>
      <c r="L11" s="541">
        <f>IF(parameters!$C$27="B",'price scenario B'!L10,IF(parameters!$C$27="C",'price scenario C'!L10,'price scenario A'!L10))</f>
        <v>27.888403746879302</v>
      </c>
      <c r="M11" s="82">
        <f>IF(parameters!$C$27="B",'price scenario B'!M10,IF(parameters!$C$27="C",'price scenario C'!M10,'price scenario A'!M10))</f>
        <v>27.323781191734788</v>
      </c>
      <c r="N11" s="82">
        <f>IF(parameters!$C$27="B",'price scenario B'!N10,IF(parameters!$C$27="C",'price scenario C'!N10,'price scenario A'!N10))</f>
        <v>27.898605514959847</v>
      </c>
      <c r="O11" s="82">
        <f>IF(parameters!$C$27="B",'price scenario B'!O10,IF(parameters!$C$27="C",'price scenario C'!O10,'price scenario A'!O10))</f>
        <v>28.707376023982224</v>
      </c>
      <c r="P11" s="82">
        <f>IF(parameters!$C$27="B",'price scenario B'!P10,IF(parameters!$C$27="C",'price scenario C'!P10,'price scenario A'!P10))</f>
        <v>28.487337439129082</v>
      </c>
      <c r="Q11" s="82">
        <f>IF(parameters!$C$27="B",'price scenario B'!Q10,IF(parameters!$C$27="C",'price scenario C'!Q10,'price scenario A'!Q10))</f>
        <v>27.961147426868976</v>
      </c>
      <c r="R11" s="82">
        <f>IF(parameters!$C$27="B",'price scenario B'!R10,IF(parameters!$C$27="C",'price scenario C'!R10,'price scenario A'!R10))</f>
        <v>28.343278452243986</v>
      </c>
      <c r="S11" s="82">
        <f>IF(parameters!$C$27="B",'price scenario B'!S10,IF(parameters!$C$27="C",'price scenario C'!S10,'price scenario A'!S10))</f>
        <v>29.089300913360898</v>
      </c>
      <c r="T11" s="82">
        <f>IF(parameters!$C$27="B",'price scenario B'!T10,IF(parameters!$C$27="C",'price scenario C'!T10,'price scenario A'!T10))</f>
        <v>30.347527466646191</v>
      </c>
      <c r="U11" s="82">
        <f>IF(parameters!$C$27="B",'price scenario B'!U10,IF(parameters!$C$27="C",'price scenario C'!U10,'price scenario A'!U10))</f>
        <v>30.906234962413166</v>
      </c>
      <c r="V11" s="82">
        <f>IF(parameters!$C$27="B",'price scenario B'!V10,IF(parameters!$C$27="C",'price scenario C'!V10,'price scenario A'!V10))</f>
        <v>31.768036932620177</v>
      </c>
      <c r="W11" s="82">
        <f>IF(parameters!$C$27="B",'price scenario B'!W10,IF(parameters!$C$27="C",'price scenario C'!W10,'price scenario A'!W10))</f>
        <v>32.863931075515538</v>
      </c>
      <c r="X11" s="82">
        <f>IF(parameters!$C$27="B",'price scenario B'!X10,IF(parameters!$C$27="C",'price scenario C'!X10,'price scenario A'!X10))</f>
        <v>33.223850790647219</v>
      </c>
      <c r="Y11" s="82">
        <f>IF(parameters!$C$27="B",'price scenario B'!Y10,IF(parameters!$C$27="C",'price scenario C'!Y10,'price scenario A'!Y10))</f>
        <v>33.559235936342844</v>
      </c>
      <c r="Z11" s="82">
        <f>IF(parameters!$C$27="B",'price scenario B'!Z10,IF(parameters!$C$27="C",'price scenario C'!Z10,'price scenario A'!Z10))</f>
        <v>33.897649213559085</v>
      </c>
      <c r="AA11" s="82">
        <f>IF(parameters!$C$27="B",'price scenario B'!AA10,IF(parameters!$C$27="C",'price scenario C'!AA10,'price scenario A'!AA10))</f>
        <v>34.361118119700478</v>
      </c>
      <c r="AB11" s="82">
        <f>IF(parameters!$C$27="B",'price scenario B'!AB10,IF(parameters!$C$27="C",'price scenario C'!AB10,'price scenario A'!AB10))</f>
        <v>34.95749399266996</v>
      </c>
      <c r="AC11" s="82">
        <f>IF(parameters!$C$27="B",'price scenario B'!AC10,IF(parameters!$C$27="C",'price scenario C'!AC10,'price scenario A'!AC10))</f>
        <v>35.345853583210797</v>
      </c>
      <c r="AD11" s="82">
        <f>IF(parameters!$C$27="B",'price scenario B'!AD10,IF(parameters!$C$27="C",'price scenario C'!AD10,'price scenario A'!AD10))</f>
        <v>35.68371486707516</v>
      </c>
      <c r="AE11" s="82">
        <f>IF(parameters!$C$27="B",'price scenario B'!AE10,IF(parameters!$C$27="C",'price scenario C'!AE10,'price scenario A'!AE10))</f>
        <v>35.992153840143565</v>
      </c>
      <c r="AF11" s="82">
        <f>IF(parameters!$C$27="B",'price scenario B'!AF10,IF(parameters!$C$27="C",'price scenario C'!AF10,'price scenario A'!AF10))</f>
        <v>36.260494036222902</v>
      </c>
      <c r="AG11" s="82">
        <f>IF(parameters!$C$27="B",'price scenario B'!AG10,IF(parameters!$C$27="C",'price scenario C'!AG10,'price scenario A'!AG10))</f>
        <v>36.481213057829898</v>
      </c>
      <c r="AH11" s="82">
        <f>IF(parameters!$C$27="B",'price scenario B'!AH10,IF(parameters!$C$27="C",'price scenario C'!AH10,'price scenario A'!AH10))</f>
        <v>36.7197988699277</v>
      </c>
      <c r="AI11" s="82">
        <f>IF(parameters!$C$27="B",'price scenario B'!AI10,IF(parameters!$C$27="C",'price scenario C'!AI10,'price scenario A'!AI10))</f>
        <v>36.936811202919763</v>
      </c>
      <c r="AJ11" s="82">
        <f>IF(parameters!$C$27="B",'price scenario B'!AJ10,IF(parameters!$C$27="C",'price scenario C'!AJ10,'price scenario A'!AJ10))</f>
        <v>37.100010762911303</v>
      </c>
      <c r="AK11" s="82">
        <f>IF(parameters!$C$27="B",'price scenario B'!AK10,IF(parameters!$C$27="C",'price scenario C'!AK10,'price scenario A'!AK10))</f>
        <v>37.317811926357422</v>
      </c>
      <c r="AL11" s="67">
        <v>-1E-3</v>
      </c>
      <c r="AM11" s="76"/>
      <c r="AN11" s="100">
        <v>31.245264053344702</v>
      </c>
      <c r="AO11" s="100">
        <v>34.199451446533203</v>
      </c>
    </row>
    <row r="12" spans="1:42">
      <c r="B12" s="82"/>
      <c r="C12" s="82"/>
      <c r="D12" s="82"/>
      <c r="E12" s="82"/>
      <c r="F12" s="82"/>
      <c r="G12" s="82"/>
      <c r="H12" s="82"/>
      <c r="I12" s="367"/>
      <c r="J12" s="82"/>
      <c r="K12" s="542"/>
      <c r="L12" s="541"/>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76"/>
      <c r="AM12" s="76"/>
      <c r="AN12" s="82"/>
      <c r="AO12" s="82"/>
    </row>
    <row r="13" spans="1:42">
      <c r="A13" s="57" t="str">
        <f>'Price Change'!A13</f>
        <v xml:space="preserve"> Commercial</v>
      </c>
      <c r="B13" s="61"/>
      <c r="C13" s="61"/>
      <c r="D13" s="61"/>
      <c r="E13" s="61"/>
      <c r="F13" s="61"/>
      <c r="G13" s="61"/>
      <c r="H13" s="61"/>
      <c r="I13" s="368"/>
      <c r="J13" s="76"/>
      <c r="K13" s="278"/>
      <c r="L13" s="3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67">
        <v>0.70098409702424547</v>
      </c>
      <c r="AM13" s="76" t="s">
        <v>347</v>
      </c>
      <c r="AN13" s="76"/>
      <c r="AO13" s="76"/>
    </row>
    <row r="14" spans="1:42">
      <c r="A14" s="57" t="s">
        <v>24</v>
      </c>
      <c r="B14" s="82">
        <f>IF(parameters!$C$27="B",'price scenario B'!B13,IF(parameters!$C$27="C",'price scenario C'!B13,'price scenario A'!B13))</f>
        <v>22.273055432643208</v>
      </c>
      <c r="C14" s="82">
        <f>IF(parameters!$C$27="B",'price scenario B'!C13,IF(parameters!$C$27="C",'price scenario C'!C13,'price scenario A'!C13))</f>
        <v>27.821644812554112</v>
      </c>
      <c r="D14" s="82">
        <f>IF(parameters!$C$27="B",'price scenario B'!D13,IF(parameters!$C$27="C",'price scenario C'!D13,'price scenario A'!D13))</f>
        <v>27.880069095901991</v>
      </c>
      <c r="E14" s="82">
        <f>IF(parameters!$C$27="B",'price scenario B'!E13,IF(parameters!$C$27="C",'price scenario C'!E13,'price scenario A'!E13))</f>
        <v>31.033551188957645</v>
      </c>
      <c r="F14" s="82">
        <f>IF(parameters!$C$27="B",'price scenario B'!F13,IF(parameters!$C$27="C",'price scenario C'!F13,'price scenario A'!F13))</f>
        <v>23.517310056456335</v>
      </c>
      <c r="G14" s="82">
        <f>IF(parameters!$C$27="B",'price scenario B'!G13,IF(parameters!$C$27="C",'price scenario C'!G13,'price scenario A'!G13))</f>
        <v>26.521402959300005</v>
      </c>
      <c r="H14" s="82">
        <f>IF(parameters!$C$27="B",'price scenario B'!H13,IF(parameters!$C$27="C",'price scenario C'!H13,'price scenario A'!H13))</f>
        <v>23.188544743200001</v>
      </c>
      <c r="I14" s="367">
        <f>IF(parameters!$C$27="B",'price scenario B'!I13,IF(parameters!$C$27="C",'price scenario C'!I13,'price scenario A'!I13))</f>
        <v>22.487587600000001</v>
      </c>
      <c r="J14" s="82">
        <f>IF(parameters!$C$27="B",'price scenario B'!J13,IF(parameters!$C$27="C",'price scenario C'!J13,'price scenario A'!J13))</f>
        <v>21.482303600000002</v>
      </c>
      <c r="K14" s="542">
        <f>IF(parameters!$C$27="B",'price scenario B'!K13,IF(parameters!$C$27="C",'price scenario C'!K13,'price scenario A'!K13))</f>
        <v>21.674036000000001</v>
      </c>
      <c r="L14" s="541">
        <f>IF(parameters!$C$27="B",'price scenario B'!L13,IF(parameters!$C$27="C",'price scenario C'!L13,'price scenario A'!L13))</f>
        <v>16.138397000000001</v>
      </c>
      <c r="M14" s="82">
        <f>IF(parameters!$C$27="B",'price scenario B'!M13,IF(parameters!$C$27="C",'price scenario C'!M13,'price scenario A'!M13))</f>
        <v>15.897491</v>
      </c>
      <c r="N14" s="82">
        <f>IF(parameters!$C$27="B",'price scenario B'!N13,IF(parameters!$C$27="C",'price scenario C'!N13,'price scenario A'!N13))</f>
        <v>16.561796000000001</v>
      </c>
      <c r="O14" s="82">
        <f>IF(parameters!$C$27="B",'price scenario B'!O13,IF(parameters!$C$27="C",'price scenario C'!O13,'price scenario A'!O13))</f>
        <v>15.730867</v>
      </c>
      <c r="P14" s="82">
        <f>IF(parameters!$C$27="B",'price scenario B'!P13,IF(parameters!$C$27="C",'price scenario C'!P13,'price scenario A'!P13))</f>
        <v>15.873435000000001</v>
      </c>
      <c r="Q14" s="82">
        <f>IF(parameters!$C$27="B",'price scenario B'!Q13,IF(parameters!$C$27="C",'price scenario C'!Q13,'price scenario A'!Q13))</f>
        <v>16.638746000000001</v>
      </c>
      <c r="R14" s="82">
        <f>IF(parameters!$C$27="B",'price scenario B'!R13,IF(parameters!$C$27="C",'price scenario C'!R13,'price scenario A'!R13))</f>
        <v>16.92399</v>
      </c>
      <c r="S14" s="82">
        <f>IF(parameters!$C$27="B",'price scenario B'!S13,IF(parameters!$C$27="C",'price scenario C'!S13,'price scenario A'!S13))</f>
        <v>17.182444</v>
      </c>
      <c r="T14" s="82">
        <f>IF(parameters!$C$27="B",'price scenario B'!T13,IF(parameters!$C$27="C",'price scenario C'!T13,'price scenario A'!T13))</f>
        <v>17.390711</v>
      </c>
      <c r="U14" s="82">
        <f>IF(parameters!$C$27="B",'price scenario B'!U13,IF(parameters!$C$27="C",'price scenario C'!U13,'price scenario A'!U13))</f>
        <v>19.297087000000001</v>
      </c>
      <c r="V14" s="82">
        <f>IF(parameters!$C$27="B",'price scenario B'!V13,IF(parameters!$C$27="C",'price scenario C'!V13,'price scenario A'!V13))</f>
        <v>19.355951000000001</v>
      </c>
      <c r="W14" s="82">
        <f>IF(parameters!$C$27="B",'price scenario B'!W13,IF(parameters!$C$27="C",'price scenario C'!W13,'price scenario A'!W13))</f>
        <v>19.408010000000001</v>
      </c>
      <c r="X14" s="82">
        <f>IF(parameters!$C$27="B",'price scenario B'!X13,IF(parameters!$C$27="C",'price scenario C'!X13,'price scenario A'!X13))</f>
        <v>19.445191999999999</v>
      </c>
      <c r="Y14" s="82">
        <f>IF(parameters!$C$27="B",'price scenario B'!Y13,IF(parameters!$C$27="C",'price scenario C'!Y13,'price scenario A'!Y13))</f>
        <v>19.524135999999999</v>
      </c>
      <c r="Z14" s="82">
        <f>IF(parameters!$C$27="B",'price scenario B'!Z13,IF(parameters!$C$27="C",'price scenario C'!Z13,'price scenario A'!Z13))</f>
        <v>19.989287999999998</v>
      </c>
      <c r="AA14" s="82">
        <f>IF(parameters!$C$27="B",'price scenario B'!AA13,IF(parameters!$C$27="C",'price scenario C'!AA13,'price scenario A'!AA13))</f>
        <v>20.075593999999999</v>
      </c>
      <c r="AB14" s="82">
        <f>IF(parameters!$C$27="B",'price scenario B'!AB13,IF(parameters!$C$27="C",'price scenario C'!AB13,'price scenario A'!AB13))</f>
        <v>20.251328999999998</v>
      </c>
      <c r="AC14" s="82">
        <f>IF(parameters!$C$27="B",'price scenario B'!AC13,IF(parameters!$C$27="C",'price scenario C'!AC13,'price scenario A'!AC13))</f>
        <v>20.480599999999999</v>
      </c>
      <c r="AD14" s="82">
        <f>IF(parameters!$C$27="B",'price scenario B'!AD13,IF(parameters!$C$27="C",'price scenario C'!AD13,'price scenario A'!AD13))</f>
        <v>20.683347999999999</v>
      </c>
      <c r="AE14" s="82">
        <f>IF(parameters!$C$27="B",'price scenario B'!AE13,IF(parameters!$C$27="C",'price scenario C'!AE13,'price scenario A'!AE13))</f>
        <v>20.839226</v>
      </c>
      <c r="AF14" s="82">
        <f>IF(parameters!$C$27="B",'price scenario B'!AF13,IF(parameters!$C$27="C",'price scenario C'!AF13,'price scenario A'!AF13))</f>
        <v>21.034998000000002</v>
      </c>
      <c r="AG14" s="82">
        <f>IF(parameters!$C$27="B",'price scenario B'!AG13,IF(parameters!$C$27="C",'price scenario C'!AG13,'price scenario A'!AG13))</f>
        <v>21.241484</v>
      </c>
      <c r="AH14" s="82">
        <f>IF(parameters!$C$27="B",'price scenario B'!AH13,IF(parameters!$C$27="C",'price scenario C'!AH13,'price scenario A'!AH13))</f>
        <v>21.324856</v>
      </c>
      <c r="AI14" s="82">
        <f>IF(parameters!$C$27="B",'price scenario B'!AI13,IF(parameters!$C$27="C",'price scenario C'!AI13,'price scenario A'!AI13))</f>
        <v>21.631920000000001</v>
      </c>
      <c r="AJ14" s="82">
        <f>IF(parameters!$C$27="B",'price scenario B'!AJ13,IF(parameters!$C$27="C",'price scenario C'!AJ13,'price scenario A'!AJ13))</f>
        <v>21.763601000000001</v>
      </c>
      <c r="AK14" s="82">
        <f>IF(parameters!$C$27="B",'price scenario B'!AK13,IF(parameters!$C$27="C",'price scenario C'!AK13,'price scenario A'!AK13))</f>
        <v>21.869049</v>
      </c>
      <c r="AL14" s="67">
        <v>0.01</v>
      </c>
      <c r="AM14" s="76"/>
      <c r="AN14" s="82">
        <v>18.665149500057897</v>
      </c>
      <c r="AO14" s="82">
        <v>23.314949371641127</v>
      </c>
    </row>
    <row r="15" spans="1:42">
      <c r="A15" s="57" t="s">
        <v>25</v>
      </c>
      <c r="B15" s="82">
        <f>IF(parameters!$C$27="B",'price scenario B'!B14,IF(parameters!$C$27="C",'price scenario C'!B14,'price scenario A'!B14))</f>
        <v>18.336578255962607</v>
      </c>
      <c r="C15" s="82">
        <f>IF(parameters!$C$27="B",'price scenario B'!C14,IF(parameters!$C$27="C",'price scenario C'!C14,'price scenario A'!C14))</f>
        <v>19.362665933700775</v>
      </c>
      <c r="D15" s="82">
        <f>IF(parameters!$C$27="B",'price scenario B'!D14,IF(parameters!$C$27="C",'price scenario C'!D14,'price scenario A'!D14))</f>
        <v>21.16174832675086</v>
      </c>
      <c r="E15" s="82">
        <f>IF(parameters!$C$27="B",'price scenario B'!E14,IF(parameters!$C$27="C",'price scenario C'!E14,'price scenario A'!E14))</f>
        <v>25.764433837219542</v>
      </c>
      <c r="F15" s="82">
        <f>IF(parameters!$C$27="B",'price scenario B'!F14,IF(parameters!$C$27="C",'price scenario C'!F14,'price scenario A'!F14))</f>
        <v>18.926205218183977</v>
      </c>
      <c r="G15" s="82">
        <f>IF(parameters!$C$27="B",'price scenario B'!G14,IF(parameters!$C$27="C",'price scenario C'!G14,'price scenario A'!G14))</f>
        <v>23.231780717700001</v>
      </c>
      <c r="H15" s="82">
        <f>IF(parameters!$C$27="B",'price scenario B'!H14,IF(parameters!$C$27="C",'price scenario C'!H14,'price scenario A'!H14))</f>
        <v>28.271112897599998</v>
      </c>
      <c r="I15" s="367">
        <f>IF(parameters!$C$27="B",'price scenario B'!I14,IF(parameters!$C$27="C",'price scenario C'!I14,'price scenario A'!I14))</f>
        <v>28.130513399999998</v>
      </c>
      <c r="J15" s="82">
        <f>IF(parameters!$C$27="B",'price scenario B'!J14,IF(parameters!$C$27="C",'price scenario C'!J14,'price scenario A'!J14))</f>
        <v>28.057681600000002</v>
      </c>
      <c r="K15" s="542">
        <f>IF(parameters!$C$27="B",'price scenario B'!K14,IF(parameters!$C$27="C",'price scenario C'!K14,'price scenario A'!K14))</f>
        <v>27.081340999999998</v>
      </c>
      <c r="L15" s="541">
        <f>IF(parameters!$C$27="B",'price scenario B'!L14,IF(parameters!$C$27="C",'price scenario C'!L14,'price scenario A'!L14))</f>
        <v>17.792418000000001</v>
      </c>
      <c r="M15" s="82">
        <f>IF(parameters!$C$27="B",'price scenario B'!M14,IF(parameters!$C$27="C",'price scenario C'!M14,'price scenario A'!M14))</f>
        <v>14.611165</v>
      </c>
      <c r="N15" s="82">
        <f>IF(parameters!$C$27="B",'price scenario B'!N14,IF(parameters!$C$27="C",'price scenario C'!N14,'price scenario A'!N14))</f>
        <v>16.979787999999999</v>
      </c>
      <c r="O15" s="82">
        <f>IF(parameters!$C$27="B",'price scenario B'!O14,IF(parameters!$C$27="C",'price scenario C'!O14,'price scenario A'!O14))</f>
        <v>17.628277000000001</v>
      </c>
      <c r="P15" s="82">
        <f>IF(parameters!$C$27="B",'price scenario B'!P14,IF(parameters!$C$27="C",'price scenario C'!P14,'price scenario A'!P14))</f>
        <v>18.087745999999999</v>
      </c>
      <c r="Q15" s="82">
        <f>IF(parameters!$C$27="B",'price scenario B'!Q14,IF(parameters!$C$27="C",'price scenario C'!Q14,'price scenario A'!Q14))</f>
        <v>20.904444000000002</v>
      </c>
      <c r="R15" s="82">
        <f>IF(parameters!$C$27="B",'price scenario B'!R14,IF(parameters!$C$27="C",'price scenario C'!R14,'price scenario A'!R14))</f>
        <v>22.153625000000002</v>
      </c>
      <c r="S15" s="82">
        <f>IF(parameters!$C$27="B",'price scenario B'!S14,IF(parameters!$C$27="C",'price scenario C'!S14,'price scenario A'!S14))</f>
        <v>22.563534000000001</v>
      </c>
      <c r="T15" s="82">
        <f>IF(parameters!$C$27="B",'price scenario B'!T14,IF(parameters!$C$27="C",'price scenario C'!T14,'price scenario A'!T14))</f>
        <v>22.911200999999998</v>
      </c>
      <c r="U15" s="82">
        <f>IF(parameters!$C$27="B",'price scenario B'!U14,IF(parameters!$C$27="C",'price scenario C'!U14,'price scenario A'!U14))</f>
        <v>25.242380000000001</v>
      </c>
      <c r="V15" s="82">
        <f>IF(parameters!$C$27="B",'price scenario B'!V14,IF(parameters!$C$27="C",'price scenario C'!V14,'price scenario A'!V14))</f>
        <v>25.483877</v>
      </c>
      <c r="W15" s="82">
        <f>IF(parameters!$C$27="B",'price scenario B'!W14,IF(parameters!$C$27="C",'price scenario C'!W14,'price scenario A'!W14))</f>
        <v>25.64274</v>
      </c>
      <c r="X15" s="82">
        <f>IF(parameters!$C$27="B",'price scenario B'!X14,IF(parameters!$C$27="C",'price scenario C'!X14,'price scenario A'!X14))</f>
        <v>25.913544000000002</v>
      </c>
      <c r="Y15" s="82">
        <f>IF(parameters!$C$27="B",'price scenario B'!Y14,IF(parameters!$C$27="C",'price scenario C'!Y14,'price scenario A'!Y14))</f>
        <v>26.212502000000001</v>
      </c>
      <c r="Z15" s="82">
        <f>IF(parameters!$C$27="B",'price scenario B'!Z14,IF(parameters!$C$27="C",'price scenario C'!Z14,'price scenario A'!Z14))</f>
        <v>26.816410000000001</v>
      </c>
      <c r="AA15" s="82">
        <f>IF(parameters!$C$27="B",'price scenario B'!AA14,IF(parameters!$C$27="C",'price scenario C'!AA14,'price scenario A'!AA14))</f>
        <v>27.033548</v>
      </c>
      <c r="AB15" s="82">
        <f>IF(parameters!$C$27="B",'price scenario B'!AB14,IF(parameters!$C$27="C",'price scenario C'!AB14,'price scenario A'!AB14))</f>
        <v>27.388763000000001</v>
      </c>
      <c r="AC15" s="82">
        <f>IF(parameters!$C$27="B",'price scenario B'!AC14,IF(parameters!$C$27="C",'price scenario C'!AC14,'price scenario A'!AC14))</f>
        <v>27.553370000000001</v>
      </c>
      <c r="AD15" s="82">
        <f>IF(parameters!$C$27="B",'price scenario B'!AD14,IF(parameters!$C$27="C",'price scenario C'!AD14,'price scenario A'!AD14))</f>
        <v>27.830589</v>
      </c>
      <c r="AE15" s="82">
        <f>IF(parameters!$C$27="B",'price scenario B'!AE14,IF(parameters!$C$27="C",'price scenario C'!AE14,'price scenario A'!AE14))</f>
        <v>28.116720000000001</v>
      </c>
      <c r="AF15" s="82">
        <f>IF(parameters!$C$27="B",'price scenario B'!AF14,IF(parameters!$C$27="C",'price scenario C'!AF14,'price scenario A'!AF14))</f>
        <v>28.259401</v>
      </c>
      <c r="AG15" s="82">
        <f>IF(parameters!$C$27="B",'price scenario B'!AG14,IF(parameters!$C$27="C",'price scenario C'!AG14,'price scenario A'!AG14))</f>
        <v>28.380011</v>
      </c>
      <c r="AH15" s="82">
        <f>IF(parameters!$C$27="B",'price scenario B'!AH14,IF(parameters!$C$27="C",'price scenario C'!AH14,'price scenario A'!AH14))</f>
        <v>28.861477000000001</v>
      </c>
      <c r="AI15" s="82">
        <f>IF(parameters!$C$27="B",'price scenario B'!AI14,IF(parameters!$C$27="C",'price scenario C'!AI14,'price scenario A'!AI14))</f>
        <v>28.991952999999999</v>
      </c>
      <c r="AJ15" s="82">
        <f>IF(parameters!$C$27="B",'price scenario B'!AJ14,IF(parameters!$C$27="C",'price scenario C'!AJ14,'price scenario A'!AJ14))</f>
        <v>29.191348999999999</v>
      </c>
      <c r="AK15" s="82">
        <f>IF(parameters!$C$27="B",'price scenario B'!AK14,IF(parameters!$C$27="C",'price scenario C'!AK14,'price scenario A'!AK14))</f>
        <v>29.375630999999998</v>
      </c>
      <c r="AL15" s="67">
        <v>4.0000000000000001E-3</v>
      </c>
      <c r="AM15" s="76"/>
      <c r="AN15" s="100">
        <v>15.3663234710693</v>
      </c>
      <c r="AO15" s="100">
        <v>16.226200103759801</v>
      </c>
    </row>
    <row r="16" spans="1:42">
      <c r="A16" s="57" t="s">
        <v>45</v>
      </c>
      <c r="B16" s="82">
        <f>IF(parameters!$C$27="B",'price scenario B'!B15,IF(parameters!$C$27="C",'price scenario C'!B15,'price scenario A'!B15))</f>
        <v>12.921112351189148</v>
      </c>
      <c r="C16" s="82">
        <f>IF(parameters!$C$27="B",'price scenario B'!C15,IF(parameters!$C$27="C",'price scenario C'!C15,'price scenario A'!C15))</f>
        <v>6.0615216361345912</v>
      </c>
      <c r="D16" s="82">
        <f>IF(parameters!$C$27="B",'price scenario B'!D15,IF(parameters!$C$27="C",'price scenario C'!D15,'price scenario A'!D15))</f>
        <v>5.8083483068085409</v>
      </c>
      <c r="E16" s="82">
        <f>IF(parameters!$C$27="B",'price scenario B'!E15,IF(parameters!$C$27="C",'price scenario C'!E15,'price scenario A'!E15))</f>
        <v>10.712581042967264</v>
      </c>
      <c r="F16" s="82">
        <f>IF(parameters!$C$27="B",'price scenario B'!F15,IF(parameters!$C$27="C",'price scenario C'!F15,'price scenario A'!F15))</f>
        <v>6.4120503501815724</v>
      </c>
      <c r="G16" s="82">
        <f>IF(parameters!$C$27="B",'price scenario B'!G15,IF(parameters!$C$27="C",'price scenario C'!G15,'price scenario A'!G15))</f>
        <v>12.935456585700001</v>
      </c>
      <c r="H16" s="82">
        <f>IF(parameters!$C$27="B",'price scenario B'!H15,IF(parameters!$C$27="C",'price scenario C'!H15,'price scenario A'!H15))</f>
        <v>21.757031170800001</v>
      </c>
      <c r="I16" s="367">
        <f>IF(parameters!$C$27="B",'price scenario B'!I15,IF(parameters!$C$27="C",'price scenario C'!I15,'price scenario A'!I15))</f>
        <v>17.627347200000003</v>
      </c>
      <c r="J16" s="82">
        <f>IF(parameters!$C$27="B",'price scenario B'!J15,IF(parameters!$C$27="C",'price scenario C'!J15,'price scenario A'!J15))</f>
        <v>17.024176799999999</v>
      </c>
      <c r="K16" s="542">
        <f>IF(parameters!$C$27="B",'price scenario B'!K15,IF(parameters!$C$27="C",'price scenario C'!K15,'price scenario A'!K15))</f>
        <v>12.55123</v>
      </c>
      <c r="L16" s="541">
        <f>IF(parameters!$C$27="B",'price scenario B'!L15,IF(parameters!$C$27="C",'price scenario C'!L15,'price scenario A'!L15))</f>
        <v>10.757339999999999</v>
      </c>
      <c r="M16" s="82">
        <f>IF(parameters!$C$27="B",'price scenario B'!M15,IF(parameters!$C$27="C",'price scenario C'!M15,'price scenario A'!M15))</f>
        <v>7.8119240000000003</v>
      </c>
      <c r="N16" s="82">
        <f>IF(parameters!$C$27="B",'price scenario B'!N15,IF(parameters!$C$27="C",'price scenario C'!N15,'price scenario A'!N15))</f>
        <v>10.441119</v>
      </c>
      <c r="O16" s="82">
        <f>IF(parameters!$C$27="B",'price scenario B'!O15,IF(parameters!$C$27="C",'price scenario C'!O15,'price scenario A'!O15))</f>
        <v>10.327628000000001</v>
      </c>
      <c r="P16" s="82">
        <f>IF(parameters!$C$27="B",'price scenario B'!P15,IF(parameters!$C$27="C",'price scenario C'!P15,'price scenario A'!P15))</f>
        <v>10.267853000000001</v>
      </c>
      <c r="Q16" s="82">
        <f>IF(parameters!$C$27="B",'price scenario B'!Q15,IF(parameters!$C$27="C",'price scenario C'!Q15,'price scenario A'!Q15))</f>
        <v>12.259173000000001</v>
      </c>
      <c r="R16" s="82">
        <f>IF(parameters!$C$27="B",'price scenario B'!R15,IF(parameters!$C$27="C",'price scenario C'!R15,'price scenario A'!R15))</f>
        <v>12.630362999999999</v>
      </c>
      <c r="S16" s="82">
        <f>IF(parameters!$C$27="B",'price scenario B'!S15,IF(parameters!$C$27="C",'price scenario C'!S15,'price scenario A'!S15))</f>
        <v>12.317698</v>
      </c>
      <c r="T16" s="82">
        <f>IF(parameters!$C$27="B",'price scenario B'!T15,IF(parameters!$C$27="C",'price scenario C'!T15,'price scenario A'!T15))</f>
        <v>11.884785000000001</v>
      </c>
      <c r="U16" s="82">
        <f>IF(parameters!$C$27="B",'price scenario B'!U15,IF(parameters!$C$27="C",'price scenario C'!U15,'price scenario A'!U15))</f>
        <v>11.968275</v>
      </c>
      <c r="V16" s="82">
        <f>IF(parameters!$C$27="B",'price scenario B'!V15,IF(parameters!$C$27="C",'price scenario C'!V15,'price scenario A'!V15))</f>
        <v>11.983991</v>
      </c>
      <c r="W16" s="82">
        <f>IF(parameters!$C$27="B",'price scenario B'!W15,IF(parameters!$C$27="C",'price scenario C'!W15,'price scenario A'!W15))</f>
        <v>12.214967</v>
      </c>
      <c r="X16" s="82">
        <f>IF(parameters!$C$27="B",'price scenario B'!X15,IF(parameters!$C$27="C",'price scenario C'!X15,'price scenario A'!X15))</f>
        <v>12.421203999999999</v>
      </c>
      <c r="Y16" s="82">
        <f>IF(parameters!$C$27="B",'price scenario B'!Y15,IF(parameters!$C$27="C",'price scenario C'!Y15,'price scenario A'!Y15))</f>
        <v>12.579959000000001</v>
      </c>
      <c r="Z16" s="82">
        <f>IF(parameters!$C$27="B",'price scenario B'!Z15,IF(parameters!$C$27="C",'price scenario C'!Z15,'price scenario A'!Z15))</f>
        <v>12.880599999999999</v>
      </c>
      <c r="AA16" s="82">
        <f>IF(parameters!$C$27="B",'price scenario B'!AA15,IF(parameters!$C$27="C",'price scenario C'!AA15,'price scenario A'!AA15))</f>
        <v>13.062250000000001</v>
      </c>
      <c r="AB16" s="82">
        <f>IF(parameters!$C$27="B",'price scenario B'!AB15,IF(parameters!$C$27="C",'price scenario C'!AB15,'price scenario A'!AB15))</f>
        <v>13.338372</v>
      </c>
      <c r="AC16" s="82">
        <f>IF(parameters!$C$27="B",'price scenario B'!AC15,IF(parameters!$C$27="C",'price scenario C'!AC15,'price scenario A'!AC15))</f>
        <v>13.477693</v>
      </c>
      <c r="AD16" s="82">
        <f>IF(parameters!$C$27="B",'price scenario B'!AD15,IF(parameters!$C$27="C",'price scenario C'!AD15,'price scenario A'!AD15))</f>
        <v>13.677117000000001</v>
      </c>
      <c r="AE16" s="82">
        <f>IF(parameters!$C$27="B",'price scenario B'!AE15,IF(parameters!$C$27="C",'price scenario C'!AE15,'price scenario A'!AE15))</f>
        <v>13.845609</v>
      </c>
      <c r="AF16" s="82">
        <f>IF(parameters!$C$27="B",'price scenario B'!AF15,IF(parameters!$C$27="C",'price scenario C'!AF15,'price scenario A'!AF15))</f>
        <v>14.040692999999999</v>
      </c>
      <c r="AG16" s="82">
        <f>IF(parameters!$C$27="B",'price scenario B'!AG15,IF(parameters!$C$27="C",'price scenario C'!AG15,'price scenario A'!AG15))</f>
        <v>14.108172</v>
      </c>
      <c r="AH16" s="82">
        <f>IF(parameters!$C$27="B",'price scenario B'!AH15,IF(parameters!$C$27="C",'price scenario C'!AH15,'price scenario A'!AH15))</f>
        <v>14.482070999999999</v>
      </c>
      <c r="AI16" s="82">
        <f>IF(parameters!$C$27="B",'price scenario B'!AI15,IF(parameters!$C$27="C",'price scenario C'!AI15,'price scenario A'!AI15))</f>
        <v>14.621357</v>
      </c>
      <c r="AJ16" s="82">
        <f>IF(parameters!$C$27="B",'price scenario B'!AJ15,IF(parameters!$C$27="C",'price scenario C'!AJ15,'price scenario A'!AJ15))</f>
        <v>14.809163</v>
      </c>
      <c r="AK16" s="82">
        <f>IF(parameters!$C$27="B",'price scenario B'!AK15,IF(parameters!$C$27="C",'price scenario C'!AK15,'price scenario A'!AK15))</f>
        <v>14.967705</v>
      </c>
      <c r="AL16" s="67">
        <v>6.0000000000000001E-3</v>
      </c>
      <c r="AM16" s="76"/>
      <c r="AN16" s="100">
        <v>10.828083038330099</v>
      </c>
      <c r="AO16" s="100">
        <v>5.0796446800231898</v>
      </c>
    </row>
    <row r="17" spans="1:41">
      <c r="A17" s="57" t="s">
        <v>26</v>
      </c>
      <c r="B17" s="82">
        <f>IF(parameters!$C$27="B",'price scenario B'!B16,IF(parameters!$C$27="C",'price scenario C'!B16,'price scenario A'!B16))</f>
        <v>12.4588911739857</v>
      </c>
      <c r="C17" s="82">
        <f>IF(parameters!$C$27="B",'price scenario B'!C16,IF(parameters!$C$27="C",'price scenario C'!C16,'price scenario A'!C16))</f>
        <v>12.138027530451193</v>
      </c>
      <c r="D17" s="82">
        <f>IF(parameters!$C$27="B",'price scenario B'!D16,IF(parameters!$C$27="C",'price scenario C'!D16,'price scenario A'!D16))</f>
        <v>12.253838968934737</v>
      </c>
      <c r="E17" s="82">
        <f>IF(parameters!$C$27="B",'price scenario B'!E16,IF(parameters!$C$27="C",'price scenario C'!E16,'price scenario A'!E16))</f>
        <v>13.109720213375745</v>
      </c>
      <c r="F17" s="82">
        <f>IF(parameters!$C$27="B",'price scenario B'!F16,IF(parameters!$C$27="C",'price scenario C'!F16,'price scenario A'!F16))</f>
        <v>10.911478280941965</v>
      </c>
      <c r="G17" s="82">
        <f>IF(parameters!$C$27="B",'price scenario B'!G16,IF(parameters!$C$27="C",'price scenario C'!G16,'price scenario A'!G16))</f>
        <v>9.4729120800000004</v>
      </c>
      <c r="H17" s="82">
        <f>IF(parameters!$C$27="B",'price scenario B'!H16,IF(parameters!$C$27="C",'price scenario C'!H16,'price scenario A'!H16))</f>
        <v>9.3063090174000003</v>
      </c>
      <c r="I17" s="367">
        <f>IF(parameters!$C$27="B",'price scenario B'!I16,IF(parameters!$C$27="C",'price scenario C'!I16,'price scenario A'!I16))</f>
        <v>8.0032916000000007</v>
      </c>
      <c r="J17" s="82">
        <f>IF(parameters!$C$27="B",'price scenario B'!J16,IF(parameters!$C$27="C",'price scenario C'!J16,'price scenario A'!J16))</f>
        <v>8.1879356000000012</v>
      </c>
      <c r="K17" s="542">
        <f>IF(parameters!$C$27="B",'price scenario B'!K16,IF(parameters!$C$27="C",'price scenario C'!K16,'price scenario A'!K16))</f>
        <v>9.0168049999999997</v>
      </c>
      <c r="L17" s="541">
        <f>IF(parameters!$C$27="B",'price scenario B'!L16,IF(parameters!$C$27="C",'price scenario C'!L16,'price scenario A'!L16))</f>
        <v>8.688383</v>
      </c>
      <c r="M17" s="82">
        <f>IF(parameters!$C$27="B",'price scenario B'!M16,IF(parameters!$C$27="C",'price scenario C'!M16,'price scenario A'!M16))</f>
        <v>9.047186</v>
      </c>
      <c r="N17" s="82">
        <f>IF(parameters!$C$27="B",'price scenario B'!N16,IF(parameters!$C$27="C",'price scenario C'!N16,'price scenario A'!N16))</f>
        <v>9.0701850000000004</v>
      </c>
      <c r="O17" s="82">
        <f>IF(parameters!$C$27="B",'price scenario B'!O16,IF(parameters!$C$27="C",'price scenario C'!O16,'price scenario A'!O16))</f>
        <v>8.6322949999999992</v>
      </c>
      <c r="P17" s="82">
        <f>IF(parameters!$C$27="B",'price scenario B'!P16,IF(parameters!$C$27="C",'price scenario C'!P16,'price scenario A'!P16))</f>
        <v>8.9627320000000008</v>
      </c>
      <c r="Q17" s="82">
        <f>IF(parameters!$C$27="B",'price scenario B'!Q16,IF(parameters!$C$27="C",'price scenario C'!Q16,'price scenario A'!Q16))</f>
        <v>9.2672109999999996</v>
      </c>
      <c r="R17" s="82">
        <f>IF(parameters!$C$27="B",'price scenario B'!R16,IF(parameters!$C$27="C",'price scenario C'!R16,'price scenario A'!R16))</f>
        <v>9.3659809999999997</v>
      </c>
      <c r="S17" s="82">
        <f>IF(parameters!$C$27="B",'price scenario B'!S16,IF(parameters!$C$27="C",'price scenario C'!S16,'price scenario A'!S16))</f>
        <v>9.4557479999999998</v>
      </c>
      <c r="T17" s="82">
        <f>IF(parameters!$C$27="B",'price scenario B'!T16,IF(parameters!$C$27="C",'price scenario C'!T16,'price scenario A'!T16))</f>
        <v>9.665775</v>
      </c>
      <c r="U17" s="82">
        <f>IF(parameters!$C$27="B",'price scenario B'!U16,IF(parameters!$C$27="C",'price scenario C'!U16,'price scenario A'!U16))</f>
        <v>11.728985</v>
      </c>
      <c r="V17" s="82">
        <f>IF(parameters!$C$27="B",'price scenario B'!V16,IF(parameters!$C$27="C",'price scenario C'!V16,'price scenario A'!V16))</f>
        <v>11.873932</v>
      </c>
      <c r="W17" s="82">
        <f>IF(parameters!$C$27="B",'price scenario B'!W16,IF(parameters!$C$27="C",'price scenario C'!W16,'price scenario A'!W16))</f>
        <v>11.914144</v>
      </c>
      <c r="X17" s="82">
        <f>IF(parameters!$C$27="B",'price scenario B'!X16,IF(parameters!$C$27="C",'price scenario C'!X16,'price scenario A'!X16))</f>
        <v>11.972922000000001</v>
      </c>
      <c r="Y17" s="82">
        <f>IF(parameters!$C$27="B",'price scenario B'!Y16,IF(parameters!$C$27="C",'price scenario C'!Y16,'price scenario A'!Y16))</f>
        <v>11.977556999999999</v>
      </c>
      <c r="Z17" s="82">
        <f>IF(parameters!$C$27="B",'price scenario B'!Z16,IF(parameters!$C$27="C",'price scenario C'!Z16,'price scenario A'!Z16))</f>
        <v>12.3345</v>
      </c>
      <c r="AA17" s="82">
        <f>IF(parameters!$C$27="B",'price scenario B'!AA16,IF(parameters!$C$27="C",'price scenario C'!AA16,'price scenario A'!AA16))</f>
        <v>12.326641</v>
      </c>
      <c r="AB17" s="82">
        <f>IF(parameters!$C$27="B",'price scenario B'!AB16,IF(parameters!$C$27="C",'price scenario C'!AB16,'price scenario A'!AB16))</f>
        <v>12.338607</v>
      </c>
      <c r="AC17" s="82">
        <f>IF(parameters!$C$27="B",'price scenario B'!AC16,IF(parameters!$C$27="C",'price scenario C'!AC16,'price scenario A'!AC16))</f>
        <v>12.36623</v>
      </c>
      <c r="AD17" s="82">
        <f>IF(parameters!$C$27="B",'price scenario B'!AD16,IF(parameters!$C$27="C",'price scenario C'!AD16,'price scenario A'!AD16))</f>
        <v>12.388722</v>
      </c>
      <c r="AE17" s="82">
        <f>IF(parameters!$C$27="B",'price scenario B'!AE16,IF(parameters!$C$27="C",'price scenario C'!AE16,'price scenario A'!AE16))</f>
        <v>12.42376</v>
      </c>
      <c r="AF17" s="82">
        <f>IF(parameters!$C$27="B",'price scenario B'!AF16,IF(parameters!$C$27="C",'price scenario C'!AF16,'price scenario A'!AF16))</f>
        <v>12.444418000000001</v>
      </c>
      <c r="AG17" s="82">
        <f>IF(parameters!$C$27="B",'price scenario B'!AG16,IF(parameters!$C$27="C",'price scenario C'!AG16,'price scenario A'!AG16))</f>
        <v>12.538086</v>
      </c>
      <c r="AH17" s="82">
        <f>IF(parameters!$C$27="B",'price scenario B'!AH16,IF(parameters!$C$27="C",'price scenario C'!AH16,'price scenario A'!AH16))</f>
        <v>12.581108</v>
      </c>
      <c r="AI17" s="82">
        <f>IF(parameters!$C$27="B",'price scenario B'!AI16,IF(parameters!$C$27="C",'price scenario C'!AI16,'price scenario A'!AI16))</f>
        <v>12.632256999999999</v>
      </c>
      <c r="AJ17" s="82">
        <f>IF(parameters!$C$27="B",'price scenario B'!AJ16,IF(parameters!$C$27="C",'price scenario C'!AJ16,'price scenario A'!AJ16))</f>
        <v>12.679245999999999</v>
      </c>
      <c r="AK17" s="82">
        <f>IF(parameters!$C$27="B",'price scenario B'!AK16,IF(parameters!$C$27="C",'price scenario C'!AK16,'price scenario A'!AK16))</f>
        <v>12.717772</v>
      </c>
      <c r="AL17" s="67">
        <v>2.5000000000000001E-2</v>
      </c>
      <c r="AM17" s="76"/>
      <c r="AN17" s="100">
        <v>10.4407348632813</v>
      </c>
      <c r="AO17" s="100">
        <v>10.171846389770501</v>
      </c>
    </row>
    <row r="18" spans="1:41">
      <c r="A18" s="77" t="s">
        <v>8</v>
      </c>
      <c r="B18" s="82">
        <f>IF(parameters!$C$27="B",'price scenario B'!B17,IF(parameters!$C$27="C",'price scenario C'!B17,'price scenario A'!B17))</f>
        <v>23.1460737255574</v>
      </c>
      <c r="C18" s="82">
        <f>IF(parameters!$C$27="B",'price scenario B'!C17,IF(parameters!$C$27="C",'price scenario C'!C17,'price scenario A'!C17))</f>
        <v>24.624666882854779</v>
      </c>
      <c r="D18" s="82">
        <f>IF(parameters!$C$27="B",'price scenario B'!D17,IF(parameters!$C$27="C",'price scenario C'!D17,'price scenario A'!D17))</f>
        <v>24.228302186069008</v>
      </c>
      <c r="E18" s="82">
        <f>IF(parameters!$C$27="B",'price scenario B'!E17,IF(parameters!$C$27="C",'price scenario C'!E17,'price scenario A'!E17))</f>
        <v>23.393087422468135</v>
      </c>
      <c r="F18" s="82">
        <f>IF(parameters!$C$27="B",'price scenario B'!F17,IF(parameters!$C$27="C",'price scenario C'!F17,'price scenario A'!F17))</f>
        <v>22.521179950466806</v>
      </c>
      <c r="G18" s="82">
        <f>IF(parameters!$C$27="B",'price scenario B'!G17,IF(parameters!$C$27="C",'price scenario C'!G17,'price scenario A'!G17))</f>
        <v>23.088380996261964</v>
      </c>
      <c r="H18" s="82">
        <f>IF(parameters!$C$27="B",'price scenario B'!H17,IF(parameters!$C$27="C",'price scenario C'!H17,'price scenario A'!H17))</f>
        <v>21.771570740789318</v>
      </c>
      <c r="I18" s="367">
        <f>IF(parameters!$C$27="B",'price scenario B'!I17,IF(parameters!$C$27="C",'price scenario C'!I17,'price scenario A'!I17))</f>
        <v>22.849315103117643</v>
      </c>
      <c r="J18" s="82">
        <f>IF(parameters!$C$27="B",'price scenario B'!J17,IF(parameters!$C$27="C",'price scenario C'!J17,'price scenario A'!J17))</f>
        <v>23.973965877348391</v>
      </c>
      <c r="K18" s="542">
        <f>IF(parameters!$C$27="B",'price scenario B'!K17,IF(parameters!$C$27="C",'price scenario C'!K17,'price scenario A'!K17))</f>
        <v>25.288633935720732</v>
      </c>
      <c r="L18" s="541">
        <f>IF(parameters!$C$27="B",'price scenario B'!L17,IF(parameters!$C$27="C",'price scenario C'!L17,'price scenario A'!L17))</f>
        <v>25.573413851467585</v>
      </c>
      <c r="M18" s="82">
        <f>IF(parameters!$C$27="B",'price scenario B'!M17,IF(parameters!$C$27="C",'price scenario C'!M17,'price scenario A'!M17))</f>
        <v>23.743157333116049</v>
      </c>
      <c r="N18" s="82">
        <f>IF(parameters!$C$27="B",'price scenario B'!N17,IF(parameters!$C$27="C",'price scenario C'!N17,'price scenario A'!N17))</f>
        <v>24.625329298367848</v>
      </c>
      <c r="O18" s="82">
        <f>IF(parameters!$C$27="B",'price scenario B'!O17,IF(parameters!$C$27="C",'price scenario C'!O17,'price scenario A'!O17))</f>
        <v>24.706474214551257</v>
      </c>
      <c r="P18" s="82">
        <f>IF(parameters!$C$27="B",'price scenario B'!P17,IF(parameters!$C$27="C",'price scenario C'!P17,'price scenario A'!P17))</f>
        <v>24.015484730118768</v>
      </c>
      <c r="Q18" s="82">
        <f>IF(parameters!$C$27="B",'price scenario B'!Q17,IF(parameters!$C$27="C",'price scenario C'!Q17,'price scenario A'!Q17))</f>
        <v>23.72697737823384</v>
      </c>
      <c r="R18" s="82">
        <f>IF(parameters!$C$27="B",'price scenario B'!R17,IF(parameters!$C$27="C",'price scenario C'!R17,'price scenario A'!R17))</f>
        <v>23.758856570961736</v>
      </c>
      <c r="S18" s="82">
        <f>IF(parameters!$C$27="B",'price scenario B'!S17,IF(parameters!$C$27="C",'price scenario C'!S17,'price scenario A'!S17))</f>
        <v>24.77900449011004</v>
      </c>
      <c r="T18" s="82">
        <f>IF(parameters!$C$27="B",'price scenario B'!T17,IF(parameters!$C$27="C",'price scenario C'!T17,'price scenario A'!T17))</f>
        <v>25.489474972656868</v>
      </c>
      <c r="U18" s="82">
        <f>IF(parameters!$C$27="B",'price scenario B'!U17,IF(parameters!$C$27="C",'price scenario C'!U17,'price scenario A'!U17))</f>
        <v>25.732238271913541</v>
      </c>
      <c r="V18" s="82">
        <f>IF(parameters!$C$27="B",'price scenario B'!V17,IF(parameters!$C$27="C",'price scenario C'!V17,'price scenario A'!V17))</f>
        <v>26.745391279855056</v>
      </c>
      <c r="W18" s="82">
        <f>IF(parameters!$C$27="B",'price scenario B'!W17,IF(parameters!$C$27="C",'price scenario C'!W17,'price scenario A'!W17))</f>
        <v>27.292159076356835</v>
      </c>
      <c r="X18" s="82">
        <f>IF(parameters!$C$27="B",'price scenario B'!X17,IF(parameters!$C$27="C",'price scenario C'!X17,'price scenario A'!X17))</f>
        <v>27.388731780716057</v>
      </c>
      <c r="Y18" s="82">
        <f>IF(parameters!$C$27="B",'price scenario B'!Y17,IF(parameters!$C$27="C",'price scenario C'!Y17,'price scenario A'!Y17))</f>
        <v>27.450444727139597</v>
      </c>
      <c r="Z18" s="82">
        <f>IF(parameters!$C$27="B",'price scenario B'!Z17,IF(parameters!$C$27="C",'price scenario C'!Z17,'price scenario A'!Z17))</f>
        <v>27.51322912248035</v>
      </c>
      <c r="AA18" s="82">
        <f>IF(parameters!$C$27="B",'price scenario B'!AA17,IF(parameters!$C$27="C",'price scenario C'!AA17,'price scenario A'!AA17))</f>
        <v>27.769667745193878</v>
      </c>
      <c r="AB18" s="82">
        <f>IF(parameters!$C$27="B",'price scenario B'!AB17,IF(parameters!$C$27="C",'price scenario C'!AB17,'price scenario A'!AB17))</f>
        <v>27.988654684159133</v>
      </c>
      <c r="AC18" s="82">
        <f>IF(parameters!$C$27="B",'price scenario B'!AC17,IF(parameters!$C$27="C",'price scenario C'!AC17,'price scenario A'!AC17))</f>
        <v>28.04293624743973</v>
      </c>
      <c r="AD18" s="82">
        <f>IF(parameters!$C$27="B",'price scenario B'!AD17,IF(parameters!$C$27="C",'price scenario C'!AD17,'price scenario A'!AD17))</f>
        <v>28.053375699501494</v>
      </c>
      <c r="AE18" s="82">
        <f>IF(parameters!$C$27="B",'price scenario B'!AE17,IF(parameters!$C$27="C",'price scenario C'!AE17,'price scenario A'!AE17))</f>
        <v>28.059990342007755</v>
      </c>
      <c r="AF18" s="82">
        <f>IF(parameters!$C$27="B",'price scenario B'!AF17,IF(parameters!$C$27="C",'price scenario C'!AF17,'price scenario A'!AF17))</f>
        <v>28.013107874904954</v>
      </c>
      <c r="AG18" s="82">
        <f>IF(parameters!$C$27="B",'price scenario B'!AG17,IF(parameters!$C$27="C",'price scenario C'!AG17,'price scenario A'!AG17))</f>
        <v>27.93707864897587</v>
      </c>
      <c r="AH18" s="82">
        <f>IF(parameters!$C$27="B",'price scenario B'!AH17,IF(parameters!$C$27="C",'price scenario C'!AH17,'price scenario A'!AH17))</f>
        <v>27.847891288938925</v>
      </c>
      <c r="AI18" s="82">
        <f>IF(parameters!$C$27="B",'price scenario B'!AI17,IF(parameters!$C$27="C",'price scenario C'!AI17,'price scenario A'!AI17))</f>
        <v>27.74230454223817</v>
      </c>
      <c r="AJ18" s="82">
        <f>IF(parameters!$C$27="B",'price scenario B'!AJ17,IF(parameters!$C$27="C",'price scenario C'!AJ17,'price scenario A'!AJ17))</f>
        <v>27.594944441714556</v>
      </c>
      <c r="AK18" s="82">
        <f>IF(parameters!$C$27="B",'price scenario B'!AK17,IF(parameters!$C$27="C",'price scenario C'!AK17,'price scenario A'!AK17))</f>
        <v>27.448104520073745</v>
      </c>
      <c r="AL18" s="67">
        <v>-1E-3</v>
      </c>
      <c r="AM18" s="76"/>
      <c r="AN18" s="100">
        <v>31.049251556396499</v>
      </c>
      <c r="AO18" s="100">
        <v>33.032707214355497</v>
      </c>
    </row>
    <row r="19" spans="1:41">
      <c r="B19" s="82"/>
      <c r="C19" s="82"/>
      <c r="D19" s="82"/>
      <c r="E19" s="82"/>
      <c r="F19" s="82"/>
      <c r="G19" s="82"/>
      <c r="H19" s="82"/>
      <c r="I19" s="367"/>
      <c r="J19" s="82"/>
      <c r="K19" s="542"/>
      <c r="L19" s="541"/>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76"/>
      <c r="AM19" s="76"/>
      <c r="AN19" s="82"/>
      <c r="AO19" s="82"/>
    </row>
    <row r="20" spans="1:41">
      <c r="A20" s="57" t="str">
        <f>'Price Change'!A20</f>
        <v xml:space="preserve"> Industrial 1/</v>
      </c>
      <c r="B20" s="61"/>
      <c r="C20" s="61"/>
      <c r="D20" s="61"/>
      <c r="E20" s="61"/>
      <c r="F20" s="61"/>
      <c r="G20" s="61"/>
      <c r="H20" s="61"/>
      <c r="I20" s="369"/>
      <c r="J20" s="76"/>
      <c r="K20" s="278"/>
      <c r="L20" s="3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67">
        <v>0.67569999999999997</v>
      </c>
      <c r="AM20" s="76" t="s">
        <v>347</v>
      </c>
      <c r="AN20" s="76"/>
      <c r="AO20" s="76"/>
    </row>
    <row r="21" spans="1:41">
      <c r="A21" s="57" t="s">
        <v>24</v>
      </c>
      <c r="B21" s="82">
        <f>IF(parameters!$C$27="B",'price scenario B'!B20,IF(parameters!$C$27="C",'price scenario C'!B20,'price scenario A'!B20))</f>
        <v>21.509851978559478</v>
      </c>
      <c r="C21" s="82">
        <f>IF(parameters!$C$27="B",'price scenario B'!C20,IF(parameters!$C$27="C",'price scenario C'!C20,'price scenario A'!C20))</f>
        <v>26.868314656148534</v>
      </c>
      <c r="D21" s="82">
        <f>IF(parameters!$C$27="B",'price scenario B'!D20,IF(parameters!$C$27="C",'price scenario C'!D20,'price scenario A'!D20))</f>
        <v>28.751324003003155</v>
      </c>
      <c r="E21" s="82">
        <f>IF(parameters!$C$27="B",'price scenario B'!E20,IF(parameters!$C$27="C",'price scenario C'!E20,'price scenario A'!E20))</f>
        <v>26.965483053909633</v>
      </c>
      <c r="F21" s="82">
        <f>IF(parameters!$C$27="B",'price scenario B'!F20,IF(parameters!$C$27="C",'price scenario C'!F20,'price scenario A'!F20))</f>
        <v>21.018354346330199</v>
      </c>
      <c r="G21" s="82">
        <f>IF(parameters!$C$27="B",'price scenario B'!G20,IF(parameters!$C$27="C",'price scenario C'!G20,'price scenario A'!G20))</f>
        <v>29.179118348100001</v>
      </c>
      <c r="H21" s="82">
        <f>IF(parameters!$C$27="B",'price scenario B'!H20,IF(parameters!$C$27="C",'price scenario C'!H20,'price scenario A'!H20))</f>
        <v>23.640283057799998</v>
      </c>
      <c r="I21" s="367">
        <f>IF(parameters!$C$27="B",'price scenario B'!I20,IF(parameters!$C$27="C",'price scenario C'!I20,'price scenario A'!I20))</f>
        <v>21.868004400000004</v>
      </c>
      <c r="J21" s="82">
        <f>IF(parameters!$C$27="B",'price scenario B'!J20,IF(parameters!$C$27="C",'price scenario C'!J20,'price scenario A'!J20))</f>
        <v>20.828869000000001</v>
      </c>
      <c r="K21" s="542">
        <f>IF(parameters!$C$27="B",'price scenario B'!K20,IF(parameters!$C$27="C",'price scenario C'!K20,'price scenario A'!K20))</f>
        <v>18.848862</v>
      </c>
      <c r="L21" s="541">
        <f>IF(parameters!$C$27="B",'price scenario B'!L20,IF(parameters!$C$27="C",'price scenario C'!L20,'price scenario A'!L20))</f>
        <v>12.432567000000001</v>
      </c>
      <c r="M21" s="82">
        <f>IF(parameters!$C$27="B",'price scenario B'!M20,IF(parameters!$C$27="C",'price scenario C'!M20,'price scenario A'!M20))</f>
        <v>11.673771</v>
      </c>
      <c r="N21" s="82">
        <f>IF(parameters!$C$27="B",'price scenario B'!N20,IF(parameters!$C$27="C",'price scenario C'!N20,'price scenario A'!N20))</f>
        <v>12.419772999999999</v>
      </c>
      <c r="O21" s="82">
        <f>IF(parameters!$C$27="B",'price scenario B'!O20,IF(parameters!$C$27="C",'price scenario C'!O20,'price scenario A'!O20))</f>
        <v>11.471807</v>
      </c>
      <c r="P21" s="82">
        <f>IF(parameters!$C$27="B",'price scenario B'!P20,IF(parameters!$C$27="C",'price scenario C'!P20,'price scenario A'!P20))</f>
        <v>11.594818</v>
      </c>
      <c r="Q21" s="82">
        <f>IF(parameters!$C$27="B",'price scenario B'!Q20,IF(parameters!$C$27="C",'price scenario C'!Q20,'price scenario A'!Q20))</f>
        <v>12.435618</v>
      </c>
      <c r="R21" s="82">
        <f>IF(parameters!$C$27="B",'price scenario B'!R20,IF(parameters!$C$27="C",'price scenario C'!R20,'price scenario A'!R20))</f>
        <v>12.750907</v>
      </c>
      <c r="S21" s="82">
        <f>IF(parameters!$C$27="B",'price scenario B'!S20,IF(parameters!$C$27="C",'price scenario C'!S20,'price scenario A'!S20))</f>
        <v>13.035876</v>
      </c>
      <c r="T21" s="82">
        <f>IF(parameters!$C$27="B",'price scenario B'!T20,IF(parameters!$C$27="C",'price scenario C'!T20,'price scenario A'!T20))</f>
        <v>13.272091</v>
      </c>
      <c r="U21" s="82">
        <f>IF(parameters!$C$27="B",'price scenario B'!U20,IF(parameters!$C$27="C",'price scenario C'!U20,'price scenario A'!U20))</f>
        <v>13.410634</v>
      </c>
      <c r="V21" s="82">
        <f>IF(parameters!$C$27="B",'price scenario B'!V20,IF(parameters!$C$27="C",'price scenario C'!V20,'price scenario A'!V20))</f>
        <v>13.477384000000001</v>
      </c>
      <c r="W21" s="82">
        <f>IF(parameters!$C$27="B",'price scenario B'!W20,IF(parameters!$C$27="C",'price scenario C'!W20,'price scenario A'!W20))</f>
        <v>13.536186000000001</v>
      </c>
      <c r="X21" s="82">
        <f>IF(parameters!$C$27="B",'price scenario B'!X20,IF(parameters!$C$27="C",'price scenario C'!X20,'price scenario A'!X20))</f>
        <v>13.578403</v>
      </c>
      <c r="Y21" s="82">
        <f>IF(parameters!$C$27="B",'price scenario B'!Y20,IF(parameters!$C$27="C",'price scenario C'!Y20,'price scenario A'!Y20))</f>
        <v>13.668303999999999</v>
      </c>
      <c r="Z21" s="82">
        <f>IF(parameters!$C$27="B",'price scenario B'!Z20,IF(parameters!$C$27="C",'price scenario C'!Z20,'price scenario A'!Z20))</f>
        <v>13.910195</v>
      </c>
      <c r="AA21" s="82">
        <f>IF(parameters!$C$27="B",'price scenario B'!AA20,IF(parameters!$C$27="C",'price scenario C'!AA20,'price scenario A'!AA20))</f>
        <v>14.007917000000001</v>
      </c>
      <c r="AB21" s="82">
        <f>IF(parameters!$C$27="B",'price scenario B'!AB20,IF(parameters!$C$27="C",'price scenario C'!AB20,'price scenario A'!AB20))</f>
        <v>14.209625000000001</v>
      </c>
      <c r="AC21" s="82">
        <f>IF(parameters!$C$27="B",'price scenario B'!AC20,IF(parameters!$C$27="C",'price scenario C'!AC20,'price scenario A'!AC20))</f>
        <v>14.471892</v>
      </c>
      <c r="AD21" s="82">
        <f>IF(parameters!$C$27="B",'price scenario B'!AD20,IF(parameters!$C$27="C",'price scenario C'!AD20,'price scenario A'!AD20))</f>
        <v>14.704164</v>
      </c>
      <c r="AE21" s="82">
        <f>IF(parameters!$C$27="B",'price scenario B'!AE20,IF(parameters!$C$27="C",'price scenario C'!AE20,'price scenario A'!AE20))</f>
        <v>14.88274</v>
      </c>
      <c r="AF21" s="82">
        <f>IF(parameters!$C$27="B",'price scenario B'!AF20,IF(parameters!$C$27="C",'price scenario C'!AF20,'price scenario A'!AF20))</f>
        <v>15.107113</v>
      </c>
      <c r="AG21" s="82">
        <f>IF(parameters!$C$27="B",'price scenario B'!AG20,IF(parameters!$C$27="C",'price scenario C'!AG20,'price scenario A'!AG20))</f>
        <v>15.343349999999999</v>
      </c>
      <c r="AH21" s="82">
        <f>IF(parameters!$C$27="B",'price scenario B'!AH20,IF(parameters!$C$27="C",'price scenario C'!AH20,'price scenario A'!AH20))</f>
        <v>15.438871000000001</v>
      </c>
      <c r="AI21" s="82">
        <f>IF(parameters!$C$27="B",'price scenario B'!AI20,IF(parameters!$C$27="C",'price scenario C'!AI20,'price scenario A'!AI20))</f>
        <v>15.791161000000001</v>
      </c>
      <c r="AJ21" s="82">
        <f>IF(parameters!$C$27="B",'price scenario B'!AJ20,IF(parameters!$C$27="C",'price scenario C'!AJ20,'price scenario A'!AJ20))</f>
        <v>15.941803999999999</v>
      </c>
      <c r="AK21" s="82">
        <f>IF(parameters!$C$27="B",'price scenario B'!AK20,IF(parameters!$C$27="C",'price scenario C'!AK20,'price scenario A'!AK20))</f>
        <v>16.062193000000001</v>
      </c>
      <c r="AL21" s="67">
        <v>0.01</v>
      </c>
      <c r="AM21" s="76"/>
      <c r="AN21" s="100">
        <v>18.0255737304688</v>
      </c>
      <c r="AO21" s="100">
        <v>22.516044616699201</v>
      </c>
    </row>
    <row r="22" spans="1:41">
      <c r="A22" s="57" t="s">
        <v>25</v>
      </c>
      <c r="B22" s="82">
        <f>IF(parameters!$C$27="B",'price scenario B'!B21,IF(parameters!$C$27="C",'price scenario C'!B21,'price scenario A'!B21))</f>
        <v>19.153648789949461</v>
      </c>
      <c r="C22" s="82">
        <f>IF(parameters!$C$27="B",'price scenario B'!C21,IF(parameters!$C$27="C",'price scenario C'!C21,'price scenario A'!C21))</f>
        <v>20.236741970904106</v>
      </c>
      <c r="D22" s="82">
        <f>IF(parameters!$C$27="B",'price scenario B'!D21,IF(parameters!$C$27="C",'price scenario C'!D21,'price scenario A'!D21))</f>
        <v>21.723221140235491</v>
      </c>
      <c r="E22" s="82">
        <f>IF(parameters!$C$27="B",'price scenario B'!E21,IF(parameters!$C$27="C",'price scenario C'!E21,'price scenario A'!E21))</f>
        <v>25.880665116088384</v>
      </c>
      <c r="F22" s="82">
        <f>IF(parameters!$C$27="B",'price scenario B'!F21,IF(parameters!$C$27="C",'price scenario C'!F21,'price scenario A'!F21))</f>
        <v>19.023063652554338</v>
      </c>
      <c r="G22" s="82">
        <f>IF(parameters!$C$27="B",'price scenario B'!G21,IF(parameters!$C$27="C",'price scenario C'!G21,'price scenario A'!G21))</f>
        <v>23.027341889100001</v>
      </c>
      <c r="H22" s="82">
        <f>IF(parameters!$C$27="B",'price scenario B'!H21,IF(parameters!$C$27="C",'price scenario C'!H21,'price scenario A'!H21))</f>
        <v>28.029164734799998</v>
      </c>
      <c r="I22" s="367">
        <f>IF(parameters!$C$27="B",'price scenario B'!I21,IF(parameters!$C$27="C",'price scenario C'!I21,'price scenario A'!I21))</f>
        <v>27.893553600000001</v>
      </c>
      <c r="J22" s="82">
        <f>IF(parameters!$C$27="B",'price scenario B'!J21,IF(parameters!$C$27="C",'price scenario C'!J21,'price scenario A'!J21))</f>
        <v>27.820721800000001</v>
      </c>
      <c r="K22" s="542">
        <f>IF(parameters!$C$27="B",'price scenario B'!K21,IF(parameters!$C$27="C",'price scenario C'!K21,'price scenario A'!K21))</f>
        <v>26.843142</v>
      </c>
      <c r="L22" s="541">
        <f>IF(parameters!$C$27="B",'price scenario B'!L21,IF(parameters!$C$27="C",'price scenario C'!L21,'price scenario A'!L21))</f>
        <v>17.866862999999999</v>
      </c>
      <c r="M22" s="82">
        <f>IF(parameters!$C$27="B",'price scenario B'!M21,IF(parameters!$C$27="C",'price scenario C'!M21,'price scenario A'!M21))</f>
        <v>14.205218</v>
      </c>
      <c r="N22" s="82">
        <f>IF(parameters!$C$27="B",'price scenario B'!N21,IF(parameters!$C$27="C",'price scenario C'!N21,'price scenario A'!N21))</f>
        <v>16.550685999999999</v>
      </c>
      <c r="O22" s="82">
        <f>IF(parameters!$C$27="B",'price scenario B'!O21,IF(parameters!$C$27="C",'price scenario C'!O21,'price scenario A'!O21))</f>
        <v>17.174883000000001</v>
      </c>
      <c r="P22" s="82">
        <f>IF(parameters!$C$27="B",'price scenario B'!P21,IF(parameters!$C$27="C",'price scenario C'!P21,'price scenario A'!P21))</f>
        <v>17.679608999999999</v>
      </c>
      <c r="Q22" s="82">
        <f>IF(parameters!$C$27="B",'price scenario B'!Q21,IF(parameters!$C$27="C",'price scenario C'!Q21,'price scenario A'!Q21))</f>
        <v>20.542677000000001</v>
      </c>
      <c r="R22" s="82">
        <f>IF(parameters!$C$27="B",'price scenario B'!R21,IF(parameters!$C$27="C",'price scenario C'!R21,'price scenario A'!R21))</f>
        <v>21.896439000000001</v>
      </c>
      <c r="S22" s="82">
        <f>IF(parameters!$C$27="B",'price scenario B'!S21,IF(parameters!$C$27="C",'price scenario C'!S21,'price scenario A'!S21))</f>
        <v>22.425398000000001</v>
      </c>
      <c r="T22" s="82">
        <f>IF(parameters!$C$27="B",'price scenario B'!T21,IF(parameters!$C$27="C",'price scenario C'!T21,'price scenario A'!T21))</f>
        <v>22.907511</v>
      </c>
      <c r="U22" s="82">
        <f>IF(parameters!$C$27="B",'price scenario B'!U21,IF(parameters!$C$27="C",'price scenario C'!U21,'price scenario A'!U21))</f>
        <v>23.250235</v>
      </c>
      <c r="V22" s="82">
        <f>IF(parameters!$C$27="B",'price scenario B'!V21,IF(parameters!$C$27="C",'price scenario C'!V21,'price scenario A'!V21))</f>
        <v>23.512858999999999</v>
      </c>
      <c r="W22" s="82">
        <f>IF(parameters!$C$27="B",'price scenario B'!W21,IF(parameters!$C$27="C",'price scenario C'!W21,'price scenario A'!W21))</f>
        <v>23.671866999999999</v>
      </c>
      <c r="X22" s="82">
        <f>IF(parameters!$C$27="B",'price scenario B'!X21,IF(parameters!$C$27="C",'price scenario C'!X21,'price scenario A'!X21))</f>
        <v>23.951612000000001</v>
      </c>
      <c r="Y22" s="82">
        <f>IF(parameters!$C$27="B",'price scenario B'!Y21,IF(parameters!$C$27="C",'price scenario C'!Y21,'price scenario A'!Y21))</f>
        <v>24.254899999999999</v>
      </c>
      <c r="Z22" s="82">
        <f>IF(parameters!$C$27="B",'price scenario B'!Z21,IF(parameters!$C$27="C",'price scenario C'!Z21,'price scenario A'!Z21))</f>
        <v>24.579868000000001</v>
      </c>
      <c r="AA22" s="82">
        <f>IF(parameters!$C$27="B",'price scenario B'!AA21,IF(parameters!$C$27="C",'price scenario C'!AA21,'price scenario A'!AA21))</f>
        <v>24.801348000000001</v>
      </c>
      <c r="AB22" s="82">
        <f>IF(parameters!$C$27="B",'price scenario B'!AB21,IF(parameters!$C$27="C",'price scenario C'!AB21,'price scenario A'!AB21))</f>
        <v>25.151688</v>
      </c>
      <c r="AC22" s="82">
        <f>IF(parameters!$C$27="B",'price scenario B'!AC21,IF(parameters!$C$27="C",'price scenario C'!AC21,'price scenario A'!AC21))</f>
        <v>25.311364999999999</v>
      </c>
      <c r="AD22" s="82">
        <f>IF(parameters!$C$27="B",'price scenario B'!AD21,IF(parameters!$C$27="C",'price scenario C'!AD21,'price scenario A'!AD21))</f>
        <v>25.584105000000001</v>
      </c>
      <c r="AE22" s="82">
        <f>IF(parameters!$C$27="B",'price scenario B'!AE21,IF(parameters!$C$27="C",'price scenario C'!AE21,'price scenario A'!AE21))</f>
        <v>25.876052999999999</v>
      </c>
      <c r="AF22" s="82">
        <f>IF(parameters!$C$27="B",'price scenario B'!AF21,IF(parameters!$C$27="C",'price scenario C'!AF21,'price scenario A'!AF21))</f>
        <v>26.021736000000001</v>
      </c>
      <c r="AG22" s="82">
        <f>IF(parameters!$C$27="B",'price scenario B'!AG21,IF(parameters!$C$27="C",'price scenario C'!AG21,'price scenario A'!AG21))</f>
        <v>26.140388000000002</v>
      </c>
      <c r="AH22" s="82">
        <f>IF(parameters!$C$27="B",'price scenario B'!AH21,IF(parameters!$C$27="C",'price scenario C'!AH21,'price scenario A'!AH21))</f>
        <v>26.61758</v>
      </c>
      <c r="AI22" s="82">
        <f>IF(parameters!$C$27="B",'price scenario B'!AI21,IF(parameters!$C$27="C",'price scenario C'!AI21,'price scenario A'!AI21))</f>
        <v>26.744978</v>
      </c>
      <c r="AJ22" s="82">
        <f>IF(parameters!$C$27="B",'price scenario B'!AJ21,IF(parameters!$C$27="C",'price scenario C'!AJ21,'price scenario A'!AJ21))</f>
        <v>26.939384</v>
      </c>
      <c r="AK22" s="82">
        <f>IF(parameters!$C$27="B",'price scenario B'!AK21,IF(parameters!$C$27="C",'price scenario C'!AK21,'price scenario A'!AK21))</f>
        <v>27.119140999999999</v>
      </c>
      <c r="AL22" s="67">
        <v>5.0000000000000001E-3</v>
      </c>
      <c r="AM22" s="76"/>
      <c r="AN22" s="100">
        <v>16.051040649414102</v>
      </c>
      <c r="AO22" s="100">
        <v>16.9586887359619</v>
      </c>
    </row>
    <row r="23" spans="1:41">
      <c r="A23" s="57" t="s">
        <v>31</v>
      </c>
      <c r="B23" s="82">
        <f>IF(parameters!$C$27="B",'price scenario B'!B22,IF(parameters!$C$27="C",'price scenario C'!B22,'price scenario A'!B22))</f>
        <v>12.712094069421742</v>
      </c>
      <c r="C23" s="82">
        <f>IF(parameters!$C$27="B",'price scenario B'!C22,IF(parameters!$C$27="C",'price scenario C'!C22,'price scenario A'!C22))</f>
        <v>8.3987233696777679</v>
      </c>
      <c r="D23" s="82">
        <f>IF(parameters!$C$27="B",'price scenario B'!D22,IF(parameters!$C$27="C",'price scenario C'!D22,'price scenario A'!D22))</f>
        <v>8.0348807831263542</v>
      </c>
      <c r="E23" s="82">
        <f>IF(parameters!$C$27="B",'price scenario B'!E22,IF(parameters!$C$27="C",'price scenario C'!E22,'price scenario A'!E22))</f>
        <v>14.838764238637486</v>
      </c>
      <c r="F23" s="82">
        <f>IF(parameters!$C$27="B",'price scenario B'!F22,IF(parameters!$C$27="C",'price scenario C'!F22,'price scenario A'!F22))</f>
        <v>8.8722638441839781</v>
      </c>
      <c r="G23" s="82">
        <f>IF(parameters!$C$27="B",'price scenario B'!G22,IF(parameters!$C$27="C",'price scenario C'!G22,'price scenario A'!G22))</f>
        <v>12.8982843453</v>
      </c>
      <c r="H23" s="82">
        <f>IF(parameters!$C$27="B",'price scenario B'!H22,IF(parameters!$C$27="C",'price scenario C'!H22,'price scenario A'!H22))</f>
        <v>21.682584618</v>
      </c>
      <c r="I23" s="367">
        <f>IF(parameters!$C$27="B",'price scenario B'!I22,IF(parameters!$C$27="C",'price scenario C'!I22,'price scenario A'!I22))</f>
        <v>17.5545154</v>
      </c>
      <c r="J23" s="82">
        <f>IF(parameters!$C$27="B",'price scenario B'!J22,IF(parameters!$C$27="C",'price scenario C'!J22,'price scenario A'!J22))</f>
        <v>16.969809399999999</v>
      </c>
      <c r="K23" s="542">
        <f>IF(parameters!$C$27="B",'price scenario B'!K22,IF(parameters!$C$27="C",'price scenario C'!K22,'price scenario A'!K22))</f>
        <v>12.514585</v>
      </c>
      <c r="L23" s="541">
        <f>IF(parameters!$C$27="B",'price scenario B'!L22,IF(parameters!$C$27="C",'price scenario C'!L22,'price scenario A'!L22))</f>
        <v>10.701506</v>
      </c>
      <c r="M23" s="82">
        <f>IF(parameters!$C$27="B",'price scenario B'!M22,IF(parameters!$C$27="C",'price scenario C'!M22,'price scenario A'!M22))</f>
        <v>7.7740939999999998</v>
      </c>
      <c r="N23" s="82">
        <f>IF(parameters!$C$27="B",'price scenario B'!N22,IF(parameters!$C$27="C",'price scenario C'!N22,'price scenario A'!N22))</f>
        <v>10.403288999999999</v>
      </c>
      <c r="O23" s="82">
        <f>IF(parameters!$C$27="B",'price scenario B'!O22,IF(parameters!$C$27="C",'price scenario C'!O22,'price scenario A'!O22))</f>
        <v>10.270883</v>
      </c>
      <c r="P23" s="82">
        <f>IF(parameters!$C$27="B",'price scenario B'!P22,IF(parameters!$C$27="C",'price scenario C'!P22,'price scenario A'!P22))</f>
        <v>10.222457</v>
      </c>
      <c r="Q23" s="82">
        <f>IF(parameters!$C$27="B",'price scenario B'!Q22,IF(parameters!$C$27="C",'price scenario C'!Q22,'price scenario A'!Q22))</f>
        <v>12.225125999999999</v>
      </c>
      <c r="R23" s="82">
        <f>IF(parameters!$C$27="B",'price scenario B'!R22,IF(parameters!$C$27="C",'price scenario C'!R22,'price scenario A'!R22))</f>
        <v>12.607664</v>
      </c>
      <c r="S23" s="82">
        <f>IF(parameters!$C$27="B",'price scenario B'!S22,IF(parameters!$C$27="C",'price scenario C'!S22,'price scenario A'!S22))</f>
        <v>12.306349000000001</v>
      </c>
      <c r="T23" s="82">
        <f>IF(parameters!$C$27="B",'price scenario B'!T22,IF(parameters!$C$27="C",'price scenario C'!T22,'price scenario A'!T22))</f>
        <v>11.884785000000001</v>
      </c>
      <c r="U23" s="82">
        <f>IF(parameters!$C$27="B",'price scenario B'!U22,IF(parameters!$C$27="C",'price scenario C'!U22,'price scenario A'!U22))</f>
        <v>11.968275</v>
      </c>
      <c r="V23" s="82">
        <f>IF(parameters!$C$27="B",'price scenario B'!V22,IF(parameters!$C$27="C",'price scenario C'!V22,'price scenario A'!V22))</f>
        <v>11.983991</v>
      </c>
      <c r="W23" s="82">
        <f>IF(parameters!$C$27="B",'price scenario B'!W22,IF(parameters!$C$27="C",'price scenario C'!W22,'price scenario A'!W22))</f>
        <v>12.214967</v>
      </c>
      <c r="X23" s="82">
        <f>IF(parameters!$C$27="B",'price scenario B'!X22,IF(parameters!$C$27="C",'price scenario C'!X22,'price scenario A'!X22))</f>
        <v>12.421203999999999</v>
      </c>
      <c r="Y23" s="82">
        <f>IF(parameters!$C$27="B",'price scenario B'!Y22,IF(parameters!$C$27="C",'price scenario C'!Y22,'price scenario A'!Y22))</f>
        <v>12.579959000000001</v>
      </c>
      <c r="Z23" s="82">
        <f>IF(parameters!$C$27="B",'price scenario B'!Z22,IF(parameters!$C$27="C",'price scenario C'!Z22,'price scenario A'!Z22))</f>
        <v>12.880599999999999</v>
      </c>
      <c r="AA23" s="82">
        <f>IF(parameters!$C$27="B",'price scenario B'!AA22,IF(parameters!$C$27="C",'price scenario C'!AA22,'price scenario A'!AA22))</f>
        <v>13.062250000000001</v>
      </c>
      <c r="AB23" s="82">
        <f>IF(parameters!$C$27="B",'price scenario B'!AB22,IF(parameters!$C$27="C",'price scenario C'!AB22,'price scenario A'!AB22))</f>
        <v>13.338372</v>
      </c>
      <c r="AC23" s="82">
        <f>IF(parameters!$C$27="B",'price scenario B'!AC22,IF(parameters!$C$27="C",'price scenario C'!AC22,'price scenario A'!AC22))</f>
        <v>13.477693</v>
      </c>
      <c r="AD23" s="82">
        <f>IF(parameters!$C$27="B",'price scenario B'!AD22,IF(parameters!$C$27="C",'price scenario C'!AD22,'price scenario A'!AD22))</f>
        <v>13.677117000000001</v>
      </c>
      <c r="AE23" s="82">
        <f>IF(parameters!$C$27="B",'price scenario B'!AE22,IF(parameters!$C$27="C",'price scenario C'!AE22,'price scenario A'!AE22))</f>
        <v>13.845609</v>
      </c>
      <c r="AF23" s="82">
        <f>IF(parameters!$C$27="B",'price scenario B'!AF22,IF(parameters!$C$27="C",'price scenario C'!AF22,'price scenario A'!AF22))</f>
        <v>14.040692999999999</v>
      </c>
      <c r="AG23" s="82">
        <f>IF(parameters!$C$27="B",'price scenario B'!AG22,IF(parameters!$C$27="C",'price scenario C'!AG22,'price scenario A'!AG22))</f>
        <v>14.108172</v>
      </c>
      <c r="AH23" s="82">
        <f>IF(parameters!$C$27="B",'price scenario B'!AH22,IF(parameters!$C$27="C",'price scenario C'!AH22,'price scenario A'!AH22))</f>
        <v>14.482070999999999</v>
      </c>
      <c r="AI23" s="82">
        <f>IF(parameters!$C$27="B",'price scenario B'!AI22,IF(parameters!$C$27="C",'price scenario C'!AI22,'price scenario A'!AI22))</f>
        <v>14.621357</v>
      </c>
      <c r="AJ23" s="82">
        <f>IF(parameters!$C$27="B",'price scenario B'!AJ22,IF(parameters!$C$27="C",'price scenario C'!AJ22,'price scenario A'!AJ22))</f>
        <v>14.809163</v>
      </c>
      <c r="AK23" s="82">
        <f>IF(parameters!$C$27="B",'price scenario B'!AK22,IF(parameters!$C$27="C",'price scenario C'!AK22,'price scenario A'!AK22))</f>
        <v>14.967705</v>
      </c>
      <c r="AL23" s="67">
        <v>6.0000000000000001E-3</v>
      </c>
      <c r="AM23" s="76"/>
      <c r="AN23" s="100">
        <v>10.652922630310099</v>
      </c>
      <c r="AO23" s="100">
        <v>7.0382542610168501</v>
      </c>
    </row>
    <row r="24" spans="1:41">
      <c r="A24" s="57" t="s">
        <v>47</v>
      </c>
      <c r="B24" s="82">
        <f>IF(parameters!$C$27="B",'price scenario B'!B23,IF(parameters!$C$27="C",'price scenario C'!B23,'price scenario A'!B23))</f>
        <v>9.6803827233946027</v>
      </c>
      <c r="C24" s="82">
        <f>IF(parameters!$C$27="B",'price scenario B'!C23,IF(parameters!$C$27="C",'price scenario C'!C23,'price scenario A'!C23))</f>
        <v>8.7916513146663533</v>
      </c>
      <c r="D24" s="82">
        <f>IF(parameters!$C$27="B",'price scenario B'!D23,IF(parameters!$C$27="C",'price scenario C'!D23,'price scenario A'!D23))</f>
        <v>9.4360966899852876</v>
      </c>
      <c r="E24" s="82">
        <f>IF(parameters!$C$27="B",'price scenario B'!E23,IF(parameters!$C$27="C",'price scenario C'!E23,'price scenario A'!E23))</f>
        <v>10.9743303406492</v>
      </c>
      <c r="F24" s="82">
        <f>IF(parameters!$C$27="B",'price scenario B'!F23,IF(parameters!$C$27="C",'price scenario C'!F23,'price scenario A'!F23))</f>
        <v>6.1526683944177361</v>
      </c>
      <c r="G24" s="82">
        <f>IF(parameters!$C$27="B",'price scenario B'!G23,IF(parameters!$C$27="C",'price scenario C'!G23,'price scenario A'!G23))</f>
        <v>6.8424346047000011</v>
      </c>
      <c r="H24" s="82">
        <f>IF(parameters!$C$27="B",'price scenario B'!H23,IF(parameters!$C$27="C",'price scenario C'!H23,'price scenario A'!H23))</f>
        <v>6.6316744380000001</v>
      </c>
      <c r="I24" s="367">
        <f>IF(parameters!$C$27="B",'price scenario B'!I23,IF(parameters!$C$27="C",'price scenario C'!I23,'price scenario A'!I23))</f>
        <v>5.144387</v>
      </c>
      <c r="J24" s="82">
        <f>IF(parameters!$C$27="B",'price scenario B'!J23,IF(parameters!$C$27="C",'price scenario C'!J23,'price scenario A'!J23))</f>
        <v>5.9116854000000005</v>
      </c>
      <c r="K24" s="542">
        <f>IF(parameters!$C$27="B",'price scenario B'!K23,IF(parameters!$C$27="C",'price scenario C'!K23,'price scenario A'!K23))</f>
        <v>6.6199209999999997</v>
      </c>
      <c r="L24" s="541">
        <f>IF(parameters!$C$27="B",'price scenario B'!L23,IF(parameters!$C$27="C",'price scenario C'!L23,'price scenario A'!L23))</f>
        <v>5.2504679999999997</v>
      </c>
      <c r="M24" s="82">
        <f>IF(parameters!$C$27="B",'price scenario B'!M23,IF(parameters!$C$27="C",'price scenario C'!M23,'price scenario A'!M23))</f>
        <v>4.0961410000000003</v>
      </c>
      <c r="N24" s="82">
        <f>IF(parameters!$C$27="B",'price scenario B'!N23,IF(parameters!$C$27="C",'price scenario C'!N23,'price scenario A'!N23))</f>
        <v>4.6249969999999996</v>
      </c>
      <c r="O24" s="82">
        <f>IF(parameters!$C$27="B",'price scenario B'!O23,IF(parameters!$C$27="C",'price scenario C'!O23,'price scenario A'!O23))</f>
        <v>4.7118919999999997</v>
      </c>
      <c r="P24" s="82">
        <f>IF(parameters!$C$27="B",'price scenario B'!P23,IF(parameters!$C$27="C",'price scenario C'!P23,'price scenario A'!P23))</f>
        <v>5.0582580000000004</v>
      </c>
      <c r="Q24" s="82">
        <f>IF(parameters!$C$27="B",'price scenario B'!Q23,IF(parameters!$C$27="C",'price scenario C'!Q23,'price scenario A'!Q23))</f>
        <v>5.2893610000000004</v>
      </c>
      <c r="R24" s="82">
        <f>IF(parameters!$C$27="B",'price scenario B'!R23,IF(parameters!$C$27="C",'price scenario C'!R23,'price scenario A'!R23))</f>
        <v>5.283067</v>
      </c>
      <c r="S24" s="82">
        <f>IF(parameters!$C$27="B",'price scenario B'!S23,IF(parameters!$C$27="C",'price scenario C'!S23,'price scenario A'!S23))</f>
        <v>5.3194410000000003</v>
      </c>
      <c r="T24" s="82">
        <f>IF(parameters!$C$27="B",'price scenario B'!T23,IF(parameters!$C$27="C",'price scenario C'!T23,'price scenario A'!T23))</f>
        <v>5.447254</v>
      </c>
      <c r="U24" s="82">
        <f>IF(parameters!$C$27="B",'price scenario B'!U23,IF(parameters!$C$27="C",'price scenario C'!U23,'price scenario A'!U23))</f>
        <v>5.5407700000000002</v>
      </c>
      <c r="V24" s="82">
        <f>IF(parameters!$C$27="B",'price scenario B'!V23,IF(parameters!$C$27="C",'price scenario C'!V23,'price scenario A'!V23))</f>
        <v>5.6902540000000004</v>
      </c>
      <c r="W24" s="82">
        <f>IF(parameters!$C$27="B",'price scenario B'!W23,IF(parameters!$C$27="C",'price scenario C'!W23,'price scenario A'!W23))</f>
        <v>5.748208</v>
      </c>
      <c r="X24" s="82">
        <f>IF(parameters!$C$27="B",'price scenario B'!X23,IF(parameters!$C$27="C",'price scenario C'!X23,'price scenario A'!X23))</f>
        <v>5.8018980000000004</v>
      </c>
      <c r="Y24" s="82">
        <f>IF(parameters!$C$27="B",'price scenario B'!Y23,IF(parameters!$C$27="C",'price scenario C'!Y23,'price scenario A'!Y23))</f>
        <v>5.8151260000000002</v>
      </c>
      <c r="Z24" s="82">
        <f>IF(parameters!$C$27="B",'price scenario B'!Z23,IF(parameters!$C$27="C",'price scenario C'!Z23,'price scenario A'!Z23))</f>
        <v>5.8622899999999998</v>
      </c>
      <c r="AA24" s="82">
        <f>IF(parameters!$C$27="B",'price scenario B'!AA23,IF(parameters!$C$27="C",'price scenario C'!AA23,'price scenario A'!AA23))</f>
        <v>5.8628549999999997</v>
      </c>
      <c r="AB24" s="82">
        <f>IF(parameters!$C$27="B",'price scenario B'!AB23,IF(parameters!$C$27="C",'price scenario C'!AB23,'price scenario A'!AB23))</f>
        <v>5.8593140000000004</v>
      </c>
      <c r="AC24" s="82">
        <f>IF(parameters!$C$27="B",'price scenario B'!AC23,IF(parameters!$C$27="C",'price scenario C'!AC23,'price scenario A'!AC23))</f>
        <v>5.8792999999999997</v>
      </c>
      <c r="AD24" s="82">
        <f>IF(parameters!$C$27="B",'price scenario B'!AD23,IF(parameters!$C$27="C",'price scenario C'!AD23,'price scenario A'!AD23))</f>
        <v>5.8856679999999999</v>
      </c>
      <c r="AE24" s="82">
        <f>IF(parameters!$C$27="B",'price scenario B'!AE23,IF(parameters!$C$27="C",'price scenario C'!AE23,'price scenario A'!AE23))</f>
        <v>5.9143379999999999</v>
      </c>
      <c r="AF24" s="82">
        <f>IF(parameters!$C$27="B",'price scenario B'!AF23,IF(parameters!$C$27="C",'price scenario C'!AF23,'price scenario A'!AF23))</f>
        <v>5.9215280000000003</v>
      </c>
      <c r="AG24" s="82">
        <f>IF(parameters!$C$27="B",'price scenario B'!AG23,IF(parameters!$C$27="C",'price scenario C'!AG23,'price scenario A'!AG23))</f>
        <v>6.0244749999999998</v>
      </c>
      <c r="AH24" s="82">
        <f>IF(parameters!$C$27="B",'price scenario B'!AH23,IF(parameters!$C$27="C",'price scenario C'!AH23,'price scenario A'!AH23))</f>
        <v>6.0436740000000002</v>
      </c>
      <c r="AI24" s="82">
        <f>IF(parameters!$C$27="B",'price scenario B'!AI23,IF(parameters!$C$27="C",'price scenario C'!AI23,'price scenario A'!AI23))</f>
        <v>6.1028640000000003</v>
      </c>
      <c r="AJ24" s="82">
        <f>IF(parameters!$C$27="B",'price scenario B'!AJ23,IF(parameters!$C$27="C",'price scenario C'!AJ23,'price scenario A'!AJ23))</f>
        <v>6.1604760000000001</v>
      </c>
      <c r="AK24" s="82">
        <f>IF(parameters!$C$27="B",'price scenario B'!AK23,IF(parameters!$C$27="C",'price scenario C'!AK23,'price scenario A'!AK23))</f>
        <v>6.1995610000000001</v>
      </c>
      <c r="AL24" s="67">
        <v>2.1999999999999999E-2</v>
      </c>
      <c r="AM24" s="76"/>
      <c r="AN24" s="100">
        <v>8.11230373382568</v>
      </c>
      <c r="AO24" s="100">
        <v>7.3675336837768599</v>
      </c>
    </row>
    <row r="25" spans="1:41">
      <c r="A25" s="57" t="s">
        <v>36</v>
      </c>
      <c r="B25" s="82" t="str">
        <f>IF(parameters!$C$27="B",'price scenario B'!B24,IF(parameters!$C$27="C",'price scenario C'!B24,'price scenario A'!B24))</f>
        <v>- -</v>
      </c>
      <c r="C25" s="82" t="str">
        <f>IF(parameters!$C$27="B",'price scenario B'!C24,IF(parameters!$C$27="C",'price scenario C'!C24,'price scenario A'!C24))</f>
        <v>- -</v>
      </c>
      <c r="D25" s="82" t="str">
        <f>IF(parameters!$C$27="B",'price scenario B'!D24,IF(parameters!$C$27="C",'price scenario C'!D24,'price scenario A'!D24))</f>
        <v>- -</v>
      </c>
      <c r="E25" s="82" t="str">
        <f>IF(parameters!$C$27="B",'price scenario B'!E24,IF(parameters!$C$27="C",'price scenario C'!E24,'price scenario A'!E24))</f>
        <v>- -</v>
      </c>
      <c r="F25" s="82" t="str">
        <f>IF(parameters!$C$27="B",'price scenario B'!F24,IF(parameters!$C$27="C",'price scenario C'!F24,'price scenario A'!F24))</f>
        <v>- -</v>
      </c>
      <c r="G25" s="82" t="str">
        <f>IF(parameters!$C$27="B",'price scenario B'!G24,IF(parameters!$C$27="C",'price scenario C'!G24,'price scenario A'!G24))</f>
        <v>- -</v>
      </c>
      <c r="H25" s="82" t="str">
        <f>IF(parameters!$C$27="B",'price scenario B'!H24,IF(parameters!$C$27="C",'price scenario C'!H24,'price scenario A'!H24))</f>
        <v>- -</v>
      </c>
      <c r="I25" s="367">
        <f>IF(parameters!$C$27="B",'price scenario B'!I24,IF(parameters!$C$27="C",'price scenario C'!I24,'price scenario A'!I24))</f>
        <v>0</v>
      </c>
      <c r="J25" s="82">
        <f>IF(parameters!$C$27="B",'price scenario B'!J24,IF(parameters!$C$27="C",'price scenario C'!J24,'price scenario A'!J24))</f>
        <v>0</v>
      </c>
      <c r="K25" s="542">
        <f>IF(parameters!$C$27="B",'price scenario B'!K24,IF(parameters!$C$27="C",'price scenario C'!K24,'price scenario A'!K24))</f>
        <v>0</v>
      </c>
      <c r="L25" s="541">
        <f>IF(parameters!$C$27="B",'price scenario B'!L24,IF(parameters!$C$27="C",'price scenario C'!L24,'price scenario A'!L24))</f>
        <v>0</v>
      </c>
      <c r="M25" s="82">
        <f>IF(parameters!$C$27="B",'price scenario B'!M24,IF(parameters!$C$27="C",'price scenario C'!M24,'price scenario A'!M24))</f>
        <v>0</v>
      </c>
      <c r="N25" s="82">
        <f>IF(parameters!$C$27="B",'price scenario B'!N24,IF(parameters!$C$27="C",'price scenario C'!N24,'price scenario A'!N24))</f>
        <v>0</v>
      </c>
      <c r="O25" s="82">
        <f>IF(parameters!$C$27="B",'price scenario B'!O24,IF(parameters!$C$27="C",'price scenario C'!O24,'price scenario A'!O24))</f>
        <v>0</v>
      </c>
      <c r="P25" s="82">
        <f>IF(parameters!$C$27="B",'price scenario B'!P24,IF(parameters!$C$27="C",'price scenario C'!P24,'price scenario A'!P24))</f>
        <v>0</v>
      </c>
      <c r="Q25" s="82">
        <f>IF(parameters!$C$27="B",'price scenario B'!Q24,IF(parameters!$C$27="C",'price scenario C'!Q24,'price scenario A'!Q24))</f>
        <v>0</v>
      </c>
      <c r="R25" s="82">
        <f>IF(parameters!$C$27="B",'price scenario B'!R24,IF(parameters!$C$27="C",'price scenario C'!R24,'price scenario A'!R24))</f>
        <v>0</v>
      </c>
      <c r="S25" s="82">
        <f>IF(parameters!$C$27="B",'price scenario B'!S24,IF(parameters!$C$27="C",'price scenario C'!S24,'price scenario A'!S24))</f>
        <v>0</v>
      </c>
      <c r="T25" s="82">
        <f>IF(parameters!$C$27="B",'price scenario B'!T24,IF(parameters!$C$27="C",'price scenario C'!T24,'price scenario A'!T24))</f>
        <v>0</v>
      </c>
      <c r="U25" s="82">
        <f>IF(parameters!$C$27="B",'price scenario B'!U24,IF(parameters!$C$27="C",'price scenario C'!U24,'price scenario A'!U24))</f>
        <v>0</v>
      </c>
      <c r="V25" s="82">
        <f>IF(parameters!$C$27="B",'price scenario B'!V24,IF(parameters!$C$27="C",'price scenario C'!V24,'price scenario A'!V24))</f>
        <v>0</v>
      </c>
      <c r="W25" s="82">
        <f>IF(parameters!$C$27="B",'price scenario B'!W24,IF(parameters!$C$27="C",'price scenario C'!W24,'price scenario A'!W24))</f>
        <v>0</v>
      </c>
      <c r="X25" s="82">
        <f>IF(parameters!$C$27="B",'price scenario B'!X24,IF(parameters!$C$27="C",'price scenario C'!X24,'price scenario A'!X24))</f>
        <v>0</v>
      </c>
      <c r="Y25" s="82">
        <f>IF(parameters!$C$27="B",'price scenario B'!Y24,IF(parameters!$C$27="C",'price scenario C'!Y24,'price scenario A'!Y24))</f>
        <v>0</v>
      </c>
      <c r="Z25" s="82">
        <f>IF(parameters!$C$27="B",'price scenario B'!Z24,IF(parameters!$C$27="C",'price scenario C'!Z24,'price scenario A'!Z24))</f>
        <v>0</v>
      </c>
      <c r="AA25" s="82">
        <f>IF(parameters!$C$27="B",'price scenario B'!AA24,IF(parameters!$C$27="C",'price scenario C'!AA24,'price scenario A'!AA24))</f>
        <v>0</v>
      </c>
      <c r="AB25" s="82">
        <f>IF(parameters!$C$27="B",'price scenario B'!AB24,IF(parameters!$C$27="C",'price scenario C'!AB24,'price scenario A'!AB24))</f>
        <v>0</v>
      </c>
      <c r="AC25" s="82">
        <f>IF(parameters!$C$27="B",'price scenario B'!AC24,IF(parameters!$C$27="C",'price scenario C'!AC24,'price scenario A'!AC24))</f>
        <v>0</v>
      </c>
      <c r="AD25" s="82">
        <f>IF(parameters!$C$27="B",'price scenario B'!AD24,IF(parameters!$C$27="C",'price scenario C'!AD24,'price scenario A'!AD24))</f>
        <v>0</v>
      </c>
      <c r="AE25" s="82">
        <f>IF(parameters!$C$27="B",'price scenario B'!AE24,IF(parameters!$C$27="C",'price scenario C'!AE24,'price scenario A'!AE24))</f>
        <v>0</v>
      </c>
      <c r="AF25" s="82">
        <f>IF(parameters!$C$27="B",'price scenario B'!AF24,IF(parameters!$C$27="C",'price scenario C'!AF24,'price scenario A'!AF24))</f>
        <v>0</v>
      </c>
      <c r="AG25" s="82">
        <f>IF(parameters!$C$27="B",'price scenario B'!AG24,IF(parameters!$C$27="C",'price scenario C'!AG24,'price scenario A'!AG24))</f>
        <v>0</v>
      </c>
      <c r="AH25" s="82">
        <f>IF(parameters!$C$27="B",'price scenario B'!AH24,IF(parameters!$C$27="C",'price scenario C'!AH24,'price scenario A'!AH24))</f>
        <v>0</v>
      </c>
      <c r="AI25" s="82">
        <f>IF(parameters!$C$27="B",'price scenario B'!AI24,IF(parameters!$C$27="C",'price scenario C'!AI24,'price scenario A'!AI24))</f>
        <v>0</v>
      </c>
      <c r="AJ25" s="82">
        <f>IF(parameters!$C$27="B",'price scenario B'!AJ24,IF(parameters!$C$27="C",'price scenario C'!AJ24,'price scenario A'!AJ24))</f>
        <v>0</v>
      </c>
      <c r="AK25" s="82">
        <f>IF(parameters!$C$27="B",'price scenario B'!AK24,IF(parameters!$C$27="C",'price scenario C'!AK24,'price scenario A'!AK24))</f>
        <v>0</v>
      </c>
      <c r="AL25" s="76" t="s">
        <v>34</v>
      </c>
      <c r="AM25" s="76"/>
      <c r="AN25" s="76" t="s">
        <v>34</v>
      </c>
      <c r="AO25" s="76" t="s">
        <v>34</v>
      </c>
    </row>
    <row r="26" spans="1:41">
      <c r="A26" s="57" t="s">
        <v>37</v>
      </c>
      <c r="B26" s="82">
        <f>IF(parameters!$C$27="B",'price scenario B'!B25,IF(parameters!$C$27="C",'price scenario C'!B25,'price scenario A'!B25))</f>
        <v>2.6853029392704197</v>
      </c>
      <c r="C26" s="82">
        <f>IF(parameters!$C$27="B",'price scenario B'!C25,IF(parameters!$C$27="C",'price scenario C'!C25,'price scenario A'!C25))</f>
        <v>3.0562250666494064</v>
      </c>
      <c r="D26" s="82">
        <f>IF(parameters!$C$27="B",'price scenario B'!D25,IF(parameters!$C$27="C",'price scenario C'!D25,'price scenario A'!D25))</f>
        <v>2.9300224949548581</v>
      </c>
      <c r="E26" s="82">
        <f>IF(parameters!$C$27="B",'price scenario B'!E25,IF(parameters!$C$27="C",'price scenario C'!E25,'price scenario A'!E25))</f>
        <v>3.7140272312924871</v>
      </c>
      <c r="F26" s="82">
        <f>IF(parameters!$C$27="B",'price scenario B'!F25,IF(parameters!$C$27="C",'price scenario C'!F25,'price scenario A'!F25))</f>
        <v>3.6157993272453006</v>
      </c>
      <c r="G26" s="82">
        <f>IF(parameters!$C$27="B",'price scenario B'!G25,IF(parameters!$C$27="C",'price scenario C'!G25,'price scenario A'!G25))</f>
        <v>3.4432300593000003</v>
      </c>
      <c r="H26" s="82">
        <f>IF(parameters!$C$27="B",'price scenario B'!H25,IF(parameters!$C$27="C",'price scenario C'!H25,'price scenario A'!H25))</f>
        <v>3.5423075435999998</v>
      </c>
      <c r="I26" s="367">
        <f>IF(parameters!$C$27="B",'price scenario B'!I25,IF(parameters!$C$27="C",'price scenario C'!I25,'price scenario A'!I25))</f>
        <v>3.857008</v>
      </c>
      <c r="J26" s="82">
        <f>IF(parameters!$C$27="B",'price scenario B'!J25,IF(parameters!$C$27="C",'price scenario C'!J25,'price scenario A'!J25))</f>
        <v>3.7451957999999999</v>
      </c>
      <c r="K26" s="542">
        <f>IF(parameters!$C$27="B",'price scenario B'!K25,IF(parameters!$C$27="C",'price scenario C'!K25,'price scenario A'!K25))</f>
        <v>3.6507230000000002</v>
      </c>
      <c r="L26" s="541">
        <f>IF(parameters!$C$27="B",'price scenario B'!L25,IF(parameters!$C$27="C",'price scenario C'!L25,'price scenario A'!L25))</f>
        <v>3.8749349999999998</v>
      </c>
      <c r="M26" s="82">
        <f>IF(parameters!$C$27="B",'price scenario B'!M25,IF(parameters!$C$27="C",'price scenario C'!M25,'price scenario A'!M25))</f>
        <v>4.0111290000000004</v>
      </c>
      <c r="N26" s="82">
        <f>IF(parameters!$C$27="B",'price scenario B'!N25,IF(parameters!$C$27="C",'price scenario C'!N25,'price scenario A'!N25))</f>
        <v>3.967587</v>
      </c>
      <c r="O26" s="82">
        <f>IF(parameters!$C$27="B",'price scenario B'!O25,IF(parameters!$C$27="C",'price scenario C'!O25,'price scenario A'!O25))</f>
        <v>4.0316559999999999</v>
      </c>
      <c r="P26" s="82">
        <f>IF(parameters!$C$27="B",'price scenario B'!P25,IF(parameters!$C$27="C",'price scenario C'!P25,'price scenario A'!P25))</f>
        <v>4.0118239999999998</v>
      </c>
      <c r="Q26" s="82">
        <f>IF(parameters!$C$27="B",'price scenario B'!Q25,IF(parameters!$C$27="C",'price scenario C'!Q25,'price scenario A'!Q25))</f>
        <v>4.0233410000000003</v>
      </c>
      <c r="R26" s="82">
        <f>IF(parameters!$C$27="B",'price scenario B'!R25,IF(parameters!$C$27="C",'price scenario C'!R25,'price scenario A'!R25))</f>
        <v>4.0327659999999996</v>
      </c>
      <c r="S26" s="82">
        <f>IF(parameters!$C$27="B",'price scenario B'!S25,IF(parameters!$C$27="C",'price scenario C'!S25,'price scenario A'!S25))</f>
        <v>4.0023289999999996</v>
      </c>
      <c r="T26" s="82">
        <f>IF(parameters!$C$27="B",'price scenario B'!T25,IF(parameters!$C$27="C",'price scenario C'!T25,'price scenario A'!T25))</f>
        <v>3.9900389999999999</v>
      </c>
      <c r="U26" s="82">
        <f>IF(parameters!$C$27="B",'price scenario B'!U25,IF(parameters!$C$27="C",'price scenario C'!U25,'price scenario A'!U25))</f>
        <v>3.9999310000000001</v>
      </c>
      <c r="V26" s="82">
        <f>IF(parameters!$C$27="B",'price scenario B'!V25,IF(parameters!$C$27="C",'price scenario C'!V25,'price scenario A'!V25))</f>
        <v>4.0094649999999996</v>
      </c>
      <c r="W26" s="82">
        <f>IF(parameters!$C$27="B",'price scenario B'!W25,IF(parameters!$C$27="C",'price scenario C'!W25,'price scenario A'!W25))</f>
        <v>3.9966179999999998</v>
      </c>
      <c r="X26" s="82">
        <f>IF(parameters!$C$27="B",'price scenario B'!X25,IF(parameters!$C$27="C",'price scenario C'!X25,'price scenario A'!X25))</f>
        <v>3.9861979999999999</v>
      </c>
      <c r="Y26" s="82">
        <f>IF(parameters!$C$27="B",'price scenario B'!Y25,IF(parameters!$C$27="C",'price scenario C'!Y25,'price scenario A'!Y25))</f>
        <v>3.9928330000000001</v>
      </c>
      <c r="Z26" s="82">
        <f>IF(parameters!$C$27="B",'price scenario B'!Z25,IF(parameters!$C$27="C",'price scenario C'!Z25,'price scenario A'!Z25))</f>
        <v>3.9775320000000001</v>
      </c>
      <c r="AA26" s="82">
        <f>IF(parameters!$C$27="B",'price scenario B'!AA25,IF(parameters!$C$27="C",'price scenario C'!AA25,'price scenario A'!AA25))</f>
        <v>4.0337019999999999</v>
      </c>
      <c r="AB26" s="82">
        <f>IF(parameters!$C$27="B",'price scenario B'!AB25,IF(parameters!$C$27="C",'price scenario C'!AB25,'price scenario A'!AB25))</f>
        <v>4.0278850000000004</v>
      </c>
      <c r="AC26" s="82">
        <f>IF(parameters!$C$27="B",'price scenario B'!AC25,IF(parameters!$C$27="C",'price scenario C'!AC25,'price scenario A'!AC25))</f>
        <v>4.006335</v>
      </c>
      <c r="AD26" s="82">
        <f>IF(parameters!$C$27="B",'price scenario B'!AD25,IF(parameters!$C$27="C",'price scenario C'!AD25,'price scenario A'!AD25))</f>
        <v>3.9977070000000001</v>
      </c>
      <c r="AE26" s="82">
        <f>IF(parameters!$C$27="B",'price scenario B'!AE25,IF(parameters!$C$27="C",'price scenario C'!AE25,'price scenario A'!AE25))</f>
        <v>3.9667859999999999</v>
      </c>
      <c r="AF26" s="82">
        <f>IF(parameters!$C$27="B",'price scenario B'!AF25,IF(parameters!$C$27="C",'price scenario C'!AF25,'price scenario A'!AF25))</f>
        <v>3.9582730000000002</v>
      </c>
      <c r="AG26" s="82">
        <f>IF(parameters!$C$27="B",'price scenario B'!AG25,IF(parameters!$C$27="C",'price scenario C'!AG25,'price scenario A'!AG25))</f>
        <v>3.9358499999999998</v>
      </c>
      <c r="AH26" s="82">
        <f>IF(parameters!$C$27="B",'price scenario B'!AH25,IF(parameters!$C$27="C",'price scenario C'!AH25,'price scenario A'!AH25))</f>
        <v>3.9384220000000001</v>
      </c>
      <c r="AI26" s="82">
        <f>IF(parameters!$C$27="B",'price scenario B'!AI25,IF(parameters!$C$27="C",'price scenario C'!AI25,'price scenario A'!AI25))</f>
        <v>3.9140579999999998</v>
      </c>
      <c r="AJ26" s="82">
        <f>IF(parameters!$C$27="B",'price scenario B'!AJ25,IF(parameters!$C$27="C",'price scenario C'!AJ25,'price scenario A'!AJ25))</f>
        <v>3.891356</v>
      </c>
      <c r="AK26" s="82">
        <f>IF(parameters!$C$27="B",'price scenario B'!AK25,IF(parameters!$C$27="C",'price scenario C'!AK25,'price scenario A'!AK25))</f>
        <v>3.8906329999999998</v>
      </c>
      <c r="AL26" s="67">
        <v>8.9999999999999993E-3</v>
      </c>
      <c r="AM26" s="76"/>
      <c r="AN26" s="100">
        <v>2.2503235340118399</v>
      </c>
      <c r="AO26" s="100">
        <v>2.5611617565154998</v>
      </c>
    </row>
    <row r="27" spans="1:41">
      <c r="A27" s="57" t="s">
        <v>48</v>
      </c>
      <c r="B27" s="82" t="str">
        <f>IF(parameters!$C$27="B",'price scenario B'!B26,IF(parameters!$C$27="C",'price scenario C'!B26,'price scenario A'!B26))</f>
        <v>- -</v>
      </c>
      <c r="C27" s="82" t="str">
        <f>IF(parameters!$C$27="B",'price scenario B'!C26,IF(parameters!$C$27="C",'price scenario C'!C26,'price scenario A'!C26))</f>
        <v>- -</v>
      </c>
      <c r="D27" s="82" t="str">
        <f>IF(parameters!$C$27="B",'price scenario B'!D26,IF(parameters!$C$27="C",'price scenario C'!D26,'price scenario A'!D26))</f>
        <v>- -</v>
      </c>
      <c r="E27" s="82" t="str">
        <f>IF(parameters!$C$27="B",'price scenario B'!E26,IF(parameters!$C$27="C",'price scenario C'!E26,'price scenario A'!E26))</f>
        <v>- -</v>
      </c>
      <c r="F27" s="82" t="str">
        <f>IF(parameters!$C$27="B",'price scenario B'!F26,IF(parameters!$C$27="C",'price scenario C'!F26,'price scenario A'!F26))</f>
        <v>- -</v>
      </c>
      <c r="G27" s="82" t="str">
        <f>IF(parameters!$C$27="B",'price scenario B'!G26,IF(parameters!$C$27="C",'price scenario C'!G26,'price scenario A'!G26))</f>
        <v>- -</v>
      </c>
      <c r="H27" s="82" t="str">
        <f>IF(parameters!$C$27="B",'price scenario B'!H26,IF(parameters!$C$27="C",'price scenario C'!H26,'price scenario A'!H26))</f>
        <v>- -</v>
      </c>
      <c r="I27" s="367">
        <f>IF(parameters!$C$27="B",'price scenario B'!I26,IF(parameters!$C$27="C",'price scenario C'!I26,'price scenario A'!I26))</f>
        <v>0</v>
      </c>
      <c r="J27" s="82">
        <f>IF(parameters!$C$27="B",'price scenario B'!J26,IF(parameters!$C$27="C",'price scenario C'!J26,'price scenario A'!J26))</f>
        <v>0</v>
      </c>
      <c r="K27" s="542">
        <f>IF(parameters!$C$27="B",'price scenario B'!K26,IF(parameters!$C$27="C",'price scenario C'!K26,'price scenario A'!K26))</f>
        <v>0</v>
      </c>
      <c r="L27" s="541">
        <f>IF(parameters!$C$27="B",'price scenario B'!L26,IF(parameters!$C$27="C",'price scenario C'!L26,'price scenario A'!L26))</f>
        <v>0</v>
      </c>
      <c r="M27" s="82">
        <f>IF(parameters!$C$27="B",'price scenario B'!M26,IF(parameters!$C$27="C",'price scenario C'!M26,'price scenario A'!M26))</f>
        <v>0</v>
      </c>
      <c r="N27" s="82">
        <f>IF(parameters!$C$27="B",'price scenario B'!N26,IF(parameters!$C$27="C",'price scenario C'!N26,'price scenario A'!N26))</f>
        <v>0</v>
      </c>
      <c r="O27" s="82">
        <f>IF(parameters!$C$27="B",'price scenario B'!O26,IF(parameters!$C$27="C",'price scenario C'!O26,'price scenario A'!O26))</f>
        <v>0</v>
      </c>
      <c r="P27" s="82">
        <f>IF(parameters!$C$27="B",'price scenario B'!P26,IF(parameters!$C$27="C",'price scenario C'!P26,'price scenario A'!P26))</f>
        <v>0</v>
      </c>
      <c r="Q27" s="82">
        <f>IF(parameters!$C$27="B",'price scenario B'!Q26,IF(parameters!$C$27="C",'price scenario C'!Q26,'price scenario A'!Q26))</f>
        <v>0</v>
      </c>
      <c r="R27" s="82">
        <f>IF(parameters!$C$27="B",'price scenario B'!R26,IF(parameters!$C$27="C",'price scenario C'!R26,'price scenario A'!R26))</f>
        <v>0</v>
      </c>
      <c r="S27" s="82">
        <f>IF(parameters!$C$27="B",'price scenario B'!S26,IF(parameters!$C$27="C",'price scenario C'!S26,'price scenario A'!S26))</f>
        <v>0</v>
      </c>
      <c r="T27" s="82">
        <f>IF(parameters!$C$27="B",'price scenario B'!T26,IF(parameters!$C$27="C",'price scenario C'!T26,'price scenario A'!T26))</f>
        <v>0</v>
      </c>
      <c r="U27" s="82">
        <f>IF(parameters!$C$27="B",'price scenario B'!U26,IF(parameters!$C$27="C",'price scenario C'!U26,'price scenario A'!U26))</f>
        <v>0</v>
      </c>
      <c r="V27" s="82">
        <f>IF(parameters!$C$27="B",'price scenario B'!V26,IF(parameters!$C$27="C",'price scenario C'!V26,'price scenario A'!V26))</f>
        <v>0</v>
      </c>
      <c r="W27" s="82">
        <f>IF(parameters!$C$27="B",'price scenario B'!W26,IF(parameters!$C$27="C",'price scenario C'!W26,'price scenario A'!W26))</f>
        <v>0</v>
      </c>
      <c r="X27" s="82">
        <f>IF(parameters!$C$27="B",'price scenario B'!X26,IF(parameters!$C$27="C",'price scenario C'!X26,'price scenario A'!X26))</f>
        <v>0</v>
      </c>
      <c r="Y27" s="82">
        <f>IF(parameters!$C$27="B",'price scenario B'!Y26,IF(parameters!$C$27="C",'price scenario C'!Y26,'price scenario A'!Y26))</f>
        <v>0</v>
      </c>
      <c r="Z27" s="82">
        <f>IF(parameters!$C$27="B",'price scenario B'!Z26,IF(parameters!$C$27="C",'price scenario C'!Z26,'price scenario A'!Z26))</f>
        <v>0</v>
      </c>
      <c r="AA27" s="82">
        <f>IF(parameters!$C$27="B",'price scenario B'!AA26,IF(parameters!$C$27="C",'price scenario C'!AA26,'price scenario A'!AA26))</f>
        <v>0</v>
      </c>
      <c r="AB27" s="82">
        <f>IF(parameters!$C$27="B",'price scenario B'!AB26,IF(parameters!$C$27="C",'price scenario C'!AB26,'price scenario A'!AB26))</f>
        <v>0</v>
      </c>
      <c r="AC27" s="82">
        <f>IF(parameters!$C$27="B",'price scenario B'!AC26,IF(parameters!$C$27="C",'price scenario C'!AC26,'price scenario A'!AC26))</f>
        <v>0</v>
      </c>
      <c r="AD27" s="82">
        <f>IF(parameters!$C$27="B",'price scenario B'!AD26,IF(parameters!$C$27="C",'price scenario C'!AD26,'price scenario A'!AD26))</f>
        <v>0</v>
      </c>
      <c r="AE27" s="82">
        <f>IF(parameters!$C$27="B",'price scenario B'!AE26,IF(parameters!$C$27="C",'price scenario C'!AE26,'price scenario A'!AE26))</f>
        <v>0</v>
      </c>
      <c r="AF27" s="82">
        <f>IF(parameters!$C$27="B",'price scenario B'!AF26,IF(parameters!$C$27="C",'price scenario C'!AF26,'price scenario A'!AF26))</f>
        <v>0</v>
      </c>
      <c r="AG27" s="82">
        <f>IF(parameters!$C$27="B",'price scenario B'!AG26,IF(parameters!$C$27="C",'price scenario C'!AG26,'price scenario A'!AG26))</f>
        <v>0</v>
      </c>
      <c r="AH27" s="82">
        <f>IF(parameters!$C$27="B",'price scenario B'!AH26,IF(parameters!$C$27="C",'price scenario C'!AH26,'price scenario A'!AH26))</f>
        <v>0</v>
      </c>
      <c r="AI27" s="82">
        <f>IF(parameters!$C$27="B",'price scenario B'!AI26,IF(parameters!$C$27="C",'price scenario C'!AI26,'price scenario A'!AI26))</f>
        <v>0</v>
      </c>
      <c r="AJ27" s="82">
        <f>IF(parameters!$C$27="B",'price scenario B'!AJ26,IF(parameters!$C$27="C",'price scenario C'!AJ26,'price scenario A'!AJ26))</f>
        <v>0</v>
      </c>
      <c r="AK27" s="82">
        <f>IF(parameters!$C$27="B",'price scenario B'!AK26,IF(parameters!$C$27="C",'price scenario C'!AK26,'price scenario A'!AK26))</f>
        <v>0</v>
      </c>
      <c r="AL27" s="76" t="s">
        <v>34</v>
      </c>
      <c r="AM27" s="76"/>
      <c r="AN27" s="76" t="s">
        <v>34</v>
      </c>
      <c r="AO27" s="76" t="s">
        <v>34</v>
      </c>
    </row>
    <row r="28" spans="1:41">
      <c r="A28" s="77" t="s">
        <v>8</v>
      </c>
      <c r="B28" s="82">
        <f>IF(parameters!$C$27="B",'price scenario B'!B27,IF(parameters!$C$27="C",'price scenario C'!B27,'price scenario A'!B27))</f>
        <v>14.501129517650607</v>
      </c>
      <c r="C28" s="82">
        <f>IF(parameters!$C$27="B",'price scenario B'!C27,IF(parameters!$C$27="C",'price scenario C'!C27,'price scenario A'!C27))</f>
        <v>14.97593173500983</v>
      </c>
      <c r="D28" s="82">
        <f>IF(parameters!$C$27="B",'price scenario B'!D27,IF(parameters!$C$27="C",'price scenario C'!D27,'price scenario A'!D27))</f>
        <v>14.85010796351723</v>
      </c>
      <c r="E28" s="82">
        <f>IF(parameters!$C$27="B",'price scenario B'!E27,IF(parameters!$C$27="C",'price scenario C'!E27,'price scenario A'!E27))</f>
        <v>14.628858094573284</v>
      </c>
      <c r="F28" s="82">
        <f>IF(parameters!$C$27="B",'price scenario B'!F27,IF(parameters!$C$27="C",'price scenario C'!F27,'price scenario A'!F27))</f>
        <v>13.785994920885091</v>
      </c>
      <c r="G28" s="82">
        <f>IF(parameters!$C$27="B",'price scenario B'!G27,IF(parameters!$C$27="C",'price scenario C'!G27,'price scenario A'!G27))</f>
        <v>13.017621405478318</v>
      </c>
      <c r="H28" s="82">
        <f>IF(parameters!$C$27="B",'price scenario B'!H27,IF(parameters!$C$27="C",'price scenario C'!H27,'price scenario A'!H27))</f>
        <v>12.499403010805048</v>
      </c>
      <c r="I28" s="367">
        <f>IF(parameters!$C$27="B",'price scenario B'!I27,IF(parameters!$C$27="C",'price scenario C'!I27,'price scenario A'!I27))</f>
        <v>13.049445744021567</v>
      </c>
      <c r="J28" s="82">
        <f>IF(parameters!$C$27="B",'price scenario B'!J27,IF(parameters!$C$27="C",'price scenario C'!J27,'price scenario A'!J27))</f>
        <v>13.632119706637743</v>
      </c>
      <c r="K28" s="542">
        <f>IF(parameters!$C$27="B",'price scenario B'!K27,IF(parameters!$C$27="C",'price scenario C'!K27,'price scenario A'!K27))</f>
        <v>14.718766471786052</v>
      </c>
      <c r="L28" s="541">
        <f>IF(parameters!$C$27="B",'price scenario B'!L27,IF(parameters!$C$27="C",'price scenario C'!L27,'price scenario A'!L27))</f>
        <v>14.723711930367225</v>
      </c>
      <c r="M28" s="82">
        <f>IF(parameters!$C$27="B",'price scenario B'!M27,IF(parameters!$C$27="C",'price scenario C'!M27,'price scenario A'!M27))</f>
        <v>13.463710532269946</v>
      </c>
      <c r="N28" s="82">
        <f>IF(parameters!$C$27="B",'price scenario B'!N27,IF(parameters!$C$27="C",'price scenario C'!N27,'price scenario A'!N27))</f>
        <v>14.320058280623735</v>
      </c>
      <c r="O28" s="82">
        <f>IF(parameters!$C$27="B",'price scenario B'!O27,IF(parameters!$C$27="C",'price scenario C'!O27,'price scenario A'!O27))</f>
        <v>14.529007103162726</v>
      </c>
      <c r="P28" s="82">
        <f>IF(parameters!$C$27="B",'price scenario B'!P27,IF(parameters!$C$27="C",'price scenario C'!P27,'price scenario A'!P27))</f>
        <v>13.356676709120922</v>
      </c>
      <c r="Q28" s="82">
        <f>IF(parameters!$C$27="B",'price scenario B'!Q27,IF(parameters!$C$27="C",'price scenario C'!Q27,'price scenario A'!Q27))</f>
        <v>13.284469025887041</v>
      </c>
      <c r="R28" s="82">
        <f>IF(parameters!$C$27="B",'price scenario B'!R27,IF(parameters!$C$27="C",'price scenario C'!R27,'price scenario A'!R27))</f>
        <v>13.174010962177194</v>
      </c>
      <c r="S28" s="82">
        <f>IF(parameters!$C$27="B",'price scenario B'!S27,IF(parameters!$C$27="C",'price scenario C'!S27,'price scenario A'!S27))</f>
        <v>14.053328780772398</v>
      </c>
      <c r="T28" s="82">
        <f>IF(parameters!$C$27="B",'price scenario B'!T27,IF(parameters!$C$27="C",'price scenario C'!T27,'price scenario A'!T27))</f>
        <v>14.330072455608901</v>
      </c>
      <c r="U28" s="82">
        <f>IF(parameters!$C$27="B",'price scenario B'!U27,IF(parameters!$C$27="C",'price scenario C'!U27,'price scenario A'!U27))</f>
        <v>14.45493096908727</v>
      </c>
      <c r="V28" s="82">
        <f>IF(parameters!$C$27="B",'price scenario B'!V27,IF(parameters!$C$27="C",'price scenario C'!V27,'price scenario A'!V27))</f>
        <v>15.239895778129201</v>
      </c>
      <c r="W28" s="82">
        <f>IF(parameters!$C$27="B",'price scenario B'!W27,IF(parameters!$C$27="C",'price scenario C'!W27,'price scenario A'!W27))</f>
        <v>15.429119892749346</v>
      </c>
      <c r="X28" s="82">
        <f>IF(parameters!$C$27="B",'price scenario B'!X27,IF(parameters!$C$27="C",'price scenario C'!X27,'price scenario A'!X27))</f>
        <v>15.462270990786404</v>
      </c>
      <c r="Y28" s="82">
        <f>IF(parameters!$C$27="B",'price scenario B'!Y27,IF(parameters!$C$27="C",'price scenario C'!Y27,'price scenario A'!Y27))</f>
        <v>15.48272874874044</v>
      </c>
      <c r="Z28" s="82">
        <f>IF(parameters!$C$27="B",'price scenario B'!Z27,IF(parameters!$C$27="C",'price scenario C'!Z27,'price scenario A'!Z27))</f>
        <v>15.517635058174125</v>
      </c>
      <c r="AA28" s="82">
        <f>IF(parameters!$C$27="B",'price scenario B'!AA27,IF(parameters!$C$27="C",'price scenario C'!AA27,'price scenario A'!AA27))</f>
        <v>15.689837179769349</v>
      </c>
      <c r="AB28" s="82">
        <f>IF(parameters!$C$27="B",'price scenario B'!AB27,IF(parameters!$C$27="C",'price scenario C'!AB27,'price scenario A'!AB27))</f>
        <v>15.80160751828587</v>
      </c>
      <c r="AC28" s="82">
        <f>IF(parameters!$C$27="B",'price scenario B'!AC27,IF(parameters!$C$27="C",'price scenario C'!AC27,'price scenario A'!AC27))</f>
        <v>15.798223362484316</v>
      </c>
      <c r="AD28" s="82">
        <f>IF(parameters!$C$27="B",'price scenario B'!AD27,IF(parameters!$C$27="C",'price scenario C'!AD27,'price scenario A'!AD27))</f>
        <v>15.791701071091245</v>
      </c>
      <c r="AE28" s="82">
        <f>IF(parameters!$C$27="B",'price scenario B'!AE27,IF(parameters!$C$27="C",'price scenario C'!AE27,'price scenario A'!AE27))</f>
        <v>15.786211463308923</v>
      </c>
      <c r="AF28" s="82">
        <f>IF(parameters!$C$27="B",'price scenario B'!AF27,IF(parameters!$C$27="C",'price scenario C'!AF27,'price scenario A'!AF27))</f>
        <v>15.745543971848846</v>
      </c>
      <c r="AG28" s="82">
        <f>IF(parameters!$C$27="B",'price scenario B'!AG27,IF(parameters!$C$27="C",'price scenario C'!AG27,'price scenario A'!AG27))</f>
        <v>15.685781103190497</v>
      </c>
      <c r="AH28" s="82">
        <f>IF(parameters!$C$27="B",'price scenario B'!AH27,IF(parameters!$C$27="C",'price scenario C'!AH27,'price scenario A'!AH27))</f>
        <v>15.616777194341443</v>
      </c>
      <c r="AI28" s="82">
        <f>IF(parameters!$C$27="B",'price scenario B'!AI27,IF(parameters!$C$27="C",'price scenario C'!AI27,'price scenario A'!AI27))</f>
        <v>15.543431605003722</v>
      </c>
      <c r="AJ28" s="82">
        <f>IF(parameters!$C$27="B",'price scenario B'!AJ27,IF(parameters!$C$27="C",'price scenario C'!AJ27,'price scenario A'!AJ27))</f>
        <v>15.44628218243172</v>
      </c>
      <c r="AK28" s="82">
        <f>IF(parameters!$C$27="B",'price scenario B'!AK27,IF(parameters!$C$27="C",'price scenario C'!AK27,'price scenario A'!AK27))</f>
        <v>15.348513450328966</v>
      </c>
      <c r="AL28" s="67">
        <v>1E-3</v>
      </c>
      <c r="AM28" s="76"/>
      <c r="AN28" s="100">
        <v>22.3780517578125</v>
      </c>
      <c r="AO28" s="100">
        <v>23.110763549804702</v>
      </c>
    </row>
    <row r="29" spans="1:41">
      <c r="B29" s="82"/>
      <c r="C29" s="82"/>
      <c r="D29" s="82"/>
      <c r="E29" s="82"/>
      <c r="F29" s="82"/>
      <c r="G29" s="82"/>
      <c r="H29" s="82"/>
      <c r="I29" s="367"/>
      <c r="J29" s="82"/>
      <c r="K29" s="542"/>
      <c r="L29" s="541"/>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76"/>
      <c r="AM29" s="76"/>
      <c r="AN29" s="82"/>
      <c r="AO29" s="82"/>
    </row>
    <row r="30" spans="1:41">
      <c r="A30" s="57" t="str">
        <f>'Price Change'!A30</f>
        <v xml:space="preserve"> Transportation</v>
      </c>
      <c r="B30" s="61"/>
      <c r="C30" s="61"/>
      <c r="D30" s="61"/>
      <c r="E30" s="61"/>
      <c r="F30" s="61"/>
      <c r="G30" s="61"/>
      <c r="H30" s="61"/>
      <c r="I30" s="368"/>
      <c r="J30" s="76"/>
      <c r="K30" s="278"/>
      <c r="L30" s="3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67">
        <v>0.6155653414911384</v>
      </c>
      <c r="AM30" s="76"/>
      <c r="AN30" s="76"/>
      <c r="AO30" s="76"/>
    </row>
    <row r="31" spans="1:41">
      <c r="A31" s="57" t="s">
        <v>49</v>
      </c>
      <c r="B31" s="82">
        <f>IF(parameters!$C$27="B",'price scenario B'!B30,IF(parameters!$C$27="C",'price scenario C'!B30,'price scenario A'!B30))</f>
        <v>23.581029927118582</v>
      </c>
      <c r="C31" s="82">
        <f>IF(parameters!$C$27="B",'price scenario B'!C30,IF(parameters!$C$27="C",'price scenario C'!C30,'price scenario A'!C30))</f>
        <v>25.158165491875451</v>
      </c>
      <c r="D31" s="82">
        <f>IF(parameters!$C$27="B",'price scenario B'!D30,IF(parameters!$C$27="C",'price scenario C'!D30,'price scenario A'!D30))</f>
        <v>26.679676788537343</v>
      </c>
      <c r="E31" s="82">
        <f>IF(parameters!$C$27="B",'price scenario B'!E30,IF(parameters!$C$27="C",'price scenario C'!E30,'price scenario A'!E30))</f>
        <v>33.455022466836319</v>
      </c>
      <c r="F31" s="82">
        <f>IF(parameters!$C$27="B",'price scenario B'!F30,IF(parameters!$C$27="C",'price scenario C'!F30,'price scenario A'!F30))</f>
        <v>28.166532270599728</v>
      </c>
      <c r="G31" s="82">
        <f>IF(parameters!$C$27="B",'price scenario B'!G30,IF(parameters!$C$27="C",'price scenario C'!G30,'price scenario A'!G30))</f>
        <v>33.068190690999998</v>
      </c>
      <c r="H31" s="82">
        <f>IF(parameters!$C$27="B",'price scenario B'!H30,IF(parameters!$C$27="C",'price scenario C'!H30,'price scenario A'!H30))</f>
        <v>27.4650159696</v>
      </c>
      <c r="I31" s="367">
        <f>IF(parameters!$C$27="B",'price scenario B'!I30,IF(parameters!$C$27="C",'price scenario C'!I30,'price scenario A'!I30))</f>
        <v>25.942482000000002</v>
      </c>
      <c r="J31" s="82">
        <f>IF(parameters!$C$27="B",'price scenario B'!J30,IF(parameters!$C$27="C",'price scenario C'!J30,'price scenario A'!J30))</f>
        <v>25.177235200000002</v>
      </c>
      <c r="K31" s="542">
        <f>IF(parameters!$C$27="B",'price scenario B'!K30,IF(parameters!$C$27="C",'price scenario C'!K30,'price scenario A'!K30))</f>
        <v>24.355412999999999</v>
      </c>
      <c r="L31" s="541">
        <f>IF(parameters!$C$27="B",'price scenario B'!L30,IF(parameters!$C$27="C",'price scenario C'!L30,'price scenario A'!L30))</f>
        <v>18.216522000000001</v>
      </c>
      <c r="M31" s="82">
        <f>IF(parameters!$C$27="B",'price scenario B'!M30,IF(parameters!$C$27="C",'price scenario C'!M30,'price scenario A'!M30))</f>
        <v>18.082048</v>
      </c>
      <c r="N31" s="82">
        <f>IF(parameters!$C$27="B",'price scenario B'!N30,IF(parameters!$C$27="C",'price scenario C'!N30,'price scenario A'!N30))</f>
        <v>18.830143</v>
      </c>
      <c r="O31" s="82">
        <f>IF(parameters!$C$27="B",'price scenario B'!O30,IF(parameters!$C$27="C",'price scenario C'!O30,'price scenario A'!O30))</f>
        <v>17.934799000000002</v>
      </c>
      <c r="P31" s="82">
        <f>IF(parameters!$C$27="B",'price scenario B'!P30,IF(parameters!$C$27="C",'price scenario C'!P30,'price scenario A'!P30))</f>
        <v>18.082011999999999</v>
      </c>
      <c r="Q31" s="82">
        <f>IF(parameters!$C$27="B",'price scenario B'!Q30,IF(parameters!$C$27="C",'price scenario C'!Q30,'price scenario A'!Q30))</f>
        <v>18.927889</v>
      </c>
      <c r="R31" s="82">
        <f>IF(parameters!$C$27="B",'price scenario B'!R30,IF(parameters!$C$27="C",'price scenario C'!R30,'price scenario A'!R30))</f>
        <v>19.235287</v>
      </c>
      <c r="S31" s="82">
        <f>IF(parameters!$C$27="B",'price scenario B'!S30,IF(parameters!$C$27="C",'price scenario C'!S30,'price scenario A'!S30))</f>
        <v>19.513083999999999</v>
      </c>
      <c r="T31" s="82">
        <f>IF(parameters!$C$27="B",'price scenario B'!T30,IF(parameters!$C$27="C",'price scenario C'!T30,'price scenario A'!T30))</f>
        <v>19.743957999999999</v>
      </c>
      <c r="U31" s="82">
        <f>IF(parameters!$C$27="B",'price scenario B'!U30,IF(parameters!$C$27="C",'price scenario C'!U30,'price scenario A'!U30))</f>
        <v>22.034893</v>
      </c>
      <c r="V31" s="82">
        <f>IF(parameters!$C$27="B",'price scenario B'!V30,IF(parameters!$C$27="C",'price scenario C'!V30,'price scenario A'!V30))</f>
        <v>22.100491999999999</v>
      </c>
      <c r="W31" s="82">
        <f>IF(parameters!$C$27="B",'price scenario B'!W30,IF(parameters!$C$27="C",'price scenario C'!W30,'price scenario A'!W30))</f>
        <v>22.158249000000001</v>
      </c>
      <c r="X31" s="82">
        <f>IF(parameters!$C$27="B",'price scenario B'!X30,IF(parameters!$C$27="C",'price scenario C'!X30,'price scenario A'!X30))</f>
        <v>22.199839000000001</v>
      </c>
      <c r="Y31" s="82">
        <f>IF(parameters!$C$27="B",'price scenario B'!Y30,IF(parameters!$C$27="C",'price scenario C'!Y30,'price scenario A'!Y30))</f>
        <v>22.287490999999999</v>
      </c>
      <c r="Z31" s="82">
        <f>IF(parameters!$C$27="B",'price scenario B'!Z30,IF(parameters!$C$27="C",'price scenario C'!Z30,'price scenario A'!Z30))</f>
        <v>22.829509999999999</v>
      </c>
      <c r="AA31" s="82">
        <f>IF(parameters!$C$27="B",'price scenario B'!AA30,IF(parameters!$C$27="C",'price scenario C'!AA30,'price scenario A'!AA30))</f>
        <v>22.924804999999999</v>
      </c>
      <c r="AB31" s="82">
        <f>IF(parameters!$C$27="B",'price scenario B'!AB30,IF(parameters!$C$27="C",'price scenario C'!AB30,'price scenario A'!AB30))</f>
        <v>23.121113000000001</v>
      </c>
      <c r="AC31" s="82">
        <f>IF(parameters!$C$27="B",'price scenario B'!AC30,IF(parameters!$C$27="C",'price scenario C'!AC30,'price scenario A'!AC30))</f>
        <v>23.376373000000001</v>
      </c>
      <c r="AD31" s="82">
        <f>IF(parameters!$C$27="B",'price scenario B'!AD30,IF(parameters!$C$27="C",'price scenario C'!AD30,'price scenario A'!AD30))</f>
        <v>23.602467000000001</v>
      </c>
      <c r="AE31" s="82">
        <f>IF(parameters!$C$27="B",'price scenario B'!AE30,IF(parameters!$C$27="C",'price scenario C'!AE30,'price scenario A'!AE30))</f>
        <v>23.776357999999998</v>
      </c>
      <c r="AF31" s="82">
        <f>IF(parameters!$C$27="B",'price scenario B'!AF30,IF(parameters!$C$27="C",'price scenario C'!AF30,'price scenario A'!AF30))</f>
        <v>23.994793000000001</v>
      </c>
      <c r="AG31" s="82">
        <f>IF(parameters!$C$27="B",'price scenario B'!AG30,IF(parameters!$C$27="C",'price scenario C'!AG30,'price scenario A'!AG30))</f>
        <v>24.224799999999998</v>
      </c>
      <c r="AH31" s="82">
        <f>IF(parameters!$C$27="B",'price scenario B'!AH30,IF(parameters!$C$27="C",'price scenario C'!AH30,'price scenario A'!AH30))</f>
        <v>24.318083000000001</v>
      </c>
      <c r="AI31" s="82">
        <f>IF(parameters!$C$27="B",'price scenario B'!AI30,IF(parameters!$C$27="C",'price scenario C'!AI30,'price scenario A'!AI30))</f>
        <v>24.660979999999999</v>
      </c>
      <c r="AJ31" s="82">
        <f>IF(parameters!$C$27="B",'price scenario B'!AJ30,IF(parameters!$C$27="C",'price scenario C'!AJ30,'price scenario A'!AJ30))</f>
        <v>24.807874999999999</v>
      </c>
      <c r="AK31" s="82">
        <f>IF(parameters!$C$27="B",'price scenario B'!AK30,IF(parameters!$C$27="C",'price scenario C'!AK30,'price scenario A'!AK30))</f>
        <v>24.925362</v>
      </c>
      <c r="AL31" s="67">
        <v>7.0000000000000001E-3</v>
      </c>
      <c r="AM31" s="76"/>
      <c r="AN31" s="100">
        <v>19.761251449585</v>
      </c>
      <c r="AO31" s="100">
        <v>21.082914352416999</v>
      </c>
    </row>
    <row r="32" spans="1:41">
      <c r="A32" s="57" t="s">
        <v>50</v>
      </c>
      <c r="B32" s="82">
        <f>IF(parameters!$C$27="B",'price scenario B'!B31,IF(parameters!$C$27="C",'price scenario C'!B31,'price scenario A'!B31))</f>
        <v>28.50245344808981</v>
      </c>
      <c r="C32" s="82">
        <f>IF(parameters!$C$27="B",'price scenario B'!C31,IF(parameters!$C$27="C",'price scenario C'!C31,'price scenario A'!C31))</f>
        <v>31.960750134705297</v>
      </c>
      <c r="D32" s="82">
        <f>IF(parameters!$C$27="B",'price scenario B'!D31,IF(parameters!$C$27="C",'price scenario C'!D31,'price scenario A'!D31))</f>
        <v>33.572252010082465</v>
      </c>
      <c r="E32" s="82">
        <f>IF(parameters!$C$27="B",'price scenario B'!E31,IF(parameters!$C$27="C",'price scenario C'!E31,'price scenario A'!E31))</f>
        <v>33.59062427495482</v>
      </c>
      <c r="F32" s="82">
        <f>IF(parameters!$C$27="B",'price scenario B'!F31,IF(parameters!$C$27="C",'price scenario C'!F31,'price scenario A'!F31))</f>
        <v>30.529886172607366</v>
      </c>
      <c r="G32" s="82">
        <f>IF(parameters!$C$27="B",'price scenario B'!G31,IF(parameters!$C$27="C",'price scenario C'!G31,'price scenario A'!G31))</f>
        <v>29.803621808999999</v>
      </c>
      <c r="H32" s="82">
        <f>IF(parameters!$C$27="B",'price scenario B'!H31,IF(parameters!$C$27="C",'price scenario C'!H31,'price scenario A'!H31))</f>
        <v>48.911446820999998</v>
      </c>
      <c r="I32" s="367">
        <f>IF(parameters!$C$27="B",'price scenario B'!I31,IF(parameters!$C$27="C",'price scenario C'!I31,'price scenario A'!I31))</f>
        <v>38.798833399999999</v>
      </c>
      <c r="J32" s="82">
        <f>IF(parameters!$C$27="B",'price scenario B'!J31,IF(parameters!$C$27="C",'price scenario C'!J31,'price scenario A'!J31))</f>
        <v>36.077386000000004</v>
      </c>
      <c r="K32" s="542">
        <f>IF(parameters!$C$27="B",'price scenario B'!K31,IF(parameters!$C$27="C",'price scenario C'!K31,'price scenario A'!K31))</f>
        <v>36.462696000000001</v>
      </c>
      <c r="L32" s="541">
        <f>IF(parameters!$C$27="B",'price scenario B'!L31,IF(parameters!$C$27="C",'price scenario C'!L31,'price scenario A'!L31))</f>
        <v>30.690058000000001</v>
      </c>
      <c r="M32" s="82">
        <f>IF(parameters!$C$27="B",'price scenario B'!M31,IF(parameters!$C$27="C",'price scenario C'!M31,'price scenario A'!M31))</f>
        <v>25.474024</v>
      </c>
      <c r="N32" s="82">
        <f>IF(parameters!$C$27="B",'price scenario B'!N31,IF(parameters!$C$27="C",'price scenario C'!N31,'price scenario A'!N31))</f>
        <v>26.090434999999999</v>
      </c>
      <c r="O32" s="82">
        <f>IF(parameters!$C$27="B",'price scenario B'!O31,IF(parameters!$C$27="C",'price scenario C'!O31,'price scenario A'!O31))</f>
        <v>31.700970000000002</v>
      </c>
      <c r="P32" s="82">
        <f>IF(parameters!$C$27="B",'price scenario B'!P31,IF(parameters!$C$27="C",'price scenario C'!P31,'price scenario A'!P31))</f>
        <v>30.308520999999999</v>
      </c>
      <c r="Q32" s="82">
        <f>IF(parameters!$C$27="B",'price scenario B'!Q31,IF(parameters!$C$27="C",'price scenario C'!Q31,'price scenario A'!Q31))</f>
        <v>33.787208999999997</v>
      </c>
      <c r="R32" s="82">
        <f>IF(parameters!$C$27="B",'price scenario B'!R31,IF(parameters!$C$27="C",'price scenario C'!R31,'price scenario A'!R31))</f>
        <v>34.646827999999999</v>
      </c>
      <c r="S32" s="82">
        <f>IF(parameters!$C$27="B",'price scenario B'!S31,IF(parameters!$C$27="C",'price scenario C'!S31,'price scenario A'!S31))</f>
        <v>33.667324000000001</v>
      </c>
      <c r="T32" s="82">
        <f>IF(parameters!$C$27="B",'price scenario B'!T31,IF(parameters!$C$27="C",'price scenario C'!T31,'price scenario A'!T31))</f>
        <v>31.306431</v>
      </c>
      <c r="U32" s="82">
        <f>IF(parameters!$C$27="B",'price scenario B'!U31,IF(parameters!$C$27="C",'price scenario C'!U31,'price scenario A'!U31))</f>
        <v>31.102774</v>
      </c>
      <c r="V32" s="82">
        <f>IF(parameters!$C$27="B",'price scenario B'!V31,IF(parameters!$C$27="C",'price scenario C'!V31,'price scenario A'!V31))</f>
        <v>28.936824999999999</v>
      </c>
      <c r="W32" s="82">
        <f>IF(parameters!$C$27="B",'price scenario B'!W31,IF(parameters!$C$27="C",'price scenario C'!W31,'price scenario A'!W31))</f>
        <v>28.360486999999999</v>
      </c>
      <c r="X32" s="82">
        <f>IF(parameters!$C$27="B",'price scenario B'!X31,IF(parameters!$C$27="C",'price scenario C'!X31,'price scenario A'!X31))</f>
        <v>27.540120999999999</v>
      </c>
      <c r="Y32" s="82">
        <f>IF(parameters!$C$27="B",'price scenario B'!Y31,IF(parameters!$C$27="C",'price scenario C'!Y31,'price scenario A'!Y31))</f>
        <v>27.319701999999999</v>
      </c>
      <c r="Z32" s="82">
        <f>IF(parameters!$C$27="B",'price scenario B'!Z31,IF(parameters!$C$27="C",'price scenario C'!Z31,'price scenario A'!Z31))</f>
        <v>27.492139999999999</v>
      </c>
      <c r="AA32" s="82">
        <f>IF(parameters!$C$27="B",'price scenario B'!AA31,IF(parameters!$C$27="C",'price scenario C'!AA31,'price scenario A'!AA31))</f>
        <v>27.265657000000001</v>
      </c>
      <c r="AB32" s="82">
        <f>IF(parameters!$C$27="B",'price scenario B'!AB31,IF(parameters!$C$27="C",'price scenario C'!AB31,'price scenario A'!AB31))</f>
        <v>28.028704000000001</v>
      </c>
      <c r="AC32" s="82">
        <f>IF(parameters!$C$27="B",'price scenario B'!AC31,IF(parameters!$C$27="C",'price scenario C'!AC31,'price scenario A'!AC31))</f>
        <v>28.132866</v>
      </c>
      <c r="AD32" s="82">
        <f>IF(parameters!$C$27="B",'price scenario B'!AD31,IF(parameters!$C$27="C",'price scenario C'!AD31,'price scenario A'!AD31))</f>
        <v>27.788345</v>
      </c>
      <c r="AE32" s="82">
        <f>IF(parameters!$C$27="B",'price scenario B'!AE31,IF(parameters!$C$27="C",'price scenario C'!AE31,'price scenario A'!AE31))</f>
        <v>27.603521000000001</v>
      </c>
      <c r="AF32" s="82">
        <f>IF(parameters!$C$27="B",'price scenario B'!AF31,IF(parameters!$C$27="C",'price scenario C'!AF31,'price scenario A'!AF31))</f>
        <v>27.350156999999999</v>
      </c>
      <c r="AG32" s="82">
        <f>IF(parameters!$C$27="B",'price scenario B'!AG31,IF(parameters!$C$27="C",'price scenario C'!AG31,'price scenario A'!AG31))</f>
        <v>27.276244999999999</v>
      </c>
      <c r="AH32" s="82">
        <f>IF(parameters!$C$27="B",'price scenario B'!AH31,IF(parameters!$C$27="C",'price scenario C'!AH31,'price scenario A'!AH31))</f>
        <v>27.644812000000002</v>
      </c>
      <c r="AI32" s="82">
        <f>IF(parameters!$C$27="B",'price scenario B'!AI31,IF(parameters!$C$27="C",'price scenario C'!AI31,'price scenario A'!AI31))</f>
        <v>27.774061</v>
      </c>
      <c r="AJ32" s="82">
        <f>IF(parameters!$C$27="B",'price scenario B'!AJ31,IF(parameters!$C$27="C",'price scenario C'!AJ31,'price scenario A'!AJ31))</f>
        <v>28.160803000000001</v>
      </c>
      <c r="AK32" s="82">
        <f>IF(parameters!$C$27="B",'price scenario B'!AK31,IF(parameters!$C$27="C",'price scenario C'!AK31,'price scenario A'!AK31))</f>
        <v>28.683347999999999</v>
      </c>
      <c r="AL32" s="67">
        <v>0</v>
      </c>
      <c r="AM32" s="76"/>
      <c r="AN32" s="100">
        <v>23.88547706604</v>
      </c>
      <c r="AO32" s="100">
        <v>26.7835807800293</v>
      </c>
    </row>
    <row r="33" spans="1:41">
      <c r="A33" s="57" t="s">
        <v>51</v>
      </c>
      <c r="B33" s="82">
        <f>IF(parameters!$C$27="B",'price scenario B'!B32,IF(parameters!$C$27="C",'price scenario C'!B32,'price scenario A'!B32))</f>
        <v>25.215170995092052</v>
      </c>
      <c r="C33" s="82">
        <f>IF(parameters!$C$27="B",'price scenario B'!C32,IF(parameters!$C$27="C",'price scenario C'!C32,'price scenario A'!C32))</f>
        <v>26.545286505964025</v>
      </c>
      <c r="D33" s="82">
        <f>IF(parameters!$C$27="B",'price scenario B'!D32,IF(parameters!$C$27="C",'price scenario C'!D32,'price scenario A'!D32))</f>
        <v>28.731961754408683</v>
      </c>
      <c r="E33" s="82">
        <f>IF(parameters!$C$27="B",'price scenario B'!E32,IF(parameters!$C$27="C",'price scenario C'!E32,'price scenario A'!E32))</f>
        <v>31.537219678181152</v>
      </c>
      <c r="F33" s="82">
        <f>IF(parameters!$C$27="B",'price scenario B'!F32,IF(parameters!$C$27="C",'price scenario C'!F32,'price scenario A'!F32))</f>
        <v>22.548723397503924</v>
      </c>
      <c r="G33" s="82">
        <f>IF(parameters!$C$27="B",'price scenario B'!G32,IF(parameters!$C$27="C",'price scenario C'!G32,'price scenario A'!G32))</f>
        <v>26.558251523999999</v>
      </c>
      <c r="H33" s="82">
        <f>IF(parameters!$C$27="B",'price scenario B'!H32,IF(parameters!$C$27="C",'price scenario C'!H32,'price scenario A'!H32))</f>
        <v>32.520299452742321</v>
      </c>
      <c r="I33" s="367">
        <f>IF(parameters!$C$27="B",'price scenario B'!I32,IF(parameters!$C$27="C",'price scenario C'!I32,'price scenario A'!I32))</f>
        <v>31.700946531883368</v>
      </c>
      <c r="J33" s="82">
        <f>IF(parameters!$C$27="B",'price scenario B'!J32,IF(parameters!$C$27="C",'price scenario C'!J32,'price scenario A'!J32))</f>
        <v>30.011539011306155</v>
      </c>
      <c r="K33" s="542">
        <f>IF(parameters!$C$27="B",'price scenario B'!K32,IF(parameters!$C$27="C",'price scenario C'!K32,'price scenario A'!K32))</f>
        <v>28.640116270973003</v>
      </c>
      <c r="L33" s="541">
        <f>IF(parameters!$C$27="B",'price scenario B'!L32,IF(parameters!$C$27="C",'price scenario C'!L32,'price scenario A'!L32))</f>
        <v>20.793419703219829</v>
      </c>
      <c r="M33" s="82">
        <f>IF(parameters!$C$27="B",'price scenario B'!M32,IF(parameters!$C$27="C",'price scenario C'!M32,'price scenario A'!M32))</f>
        <v>20.369113535381949</v>
      </c>
      <c r="N33" s="82">
        <f>IF(parameters!$C$27="B",'price scenario B'!N32,IF(parameters!$C$27="C",'price scenario C'!N32,'price scenario A'!N32))</f>
        <v>22.111402786252139</v>
      </c>
      <c r="O33" s="82">
        <f>IF(parameters!$C$27="B",'price scenario B'!O32,IF(parameters!$C$27="C",'price scenario C'!O32,'price scenario A'!O32))</f>
        <v>21.836510149872083</v>
      </c>
      <c r="P33" s="82">
        <f>IF(parameters!$C$27="B",'price scenario B'!P32,IF(parameters!$C$27="C",'price scenario C'!P32,'price scenario A'!P32))</f>
        <v>22.402248780085525</v>
      </c>
      <c r="Q33" s="82">
        <f>IF(parameters!$C$27="B",'price scenario B'!Q32,IF(parameters!$C$27="C",'price scenario C'!Q32,'price scenario A'!Q32))</f>
        <v>25.173662468064091</v>
      </c>
      <c r="R33" s="82">
        <f>IF(parameters!$C$27="B",'price scenario B'!R32,IF(parameters!$C$27="C",'price scenario C'!R32,'price scenario A'!R32))</f>
        <v>26.56885134685578</v>
      </c>
      <c r="S33" s="82">
        <f>IF(parameters!$C$27="B",'price scenario B'!S32,IF(parameters!$C$27="C",'price scenario C'!S32,'price scenario A'!S32))</f>
        <v>27.165194454563576</v>
      </c>
      <c r="T33" s="82">
        <f>IF(parameters!$C$27="B",'price scenario B'!T32,IF(parameters!$C$27="C",'price scenario C'!T32,'price scenario A'!T32))</f>
        <v>27.634593143387768</v>
      </c>
      <c r="U33" s="82">
        <f>IF(parameters!$C$27="B",'price scenario B'!U32,IF(parameters!$C$27="C",'price scenario C'!U32,'price scenario A'!U32))</f>
        <v>30.605791121601882</v>
      </c>
      <c r="V33" s="82">
        <f>IF(parameters!$C$27="B",'price scenario B'!V32,IF(parameters!$C$27="C",'price scenario C'!V32,'price scenario A'!V32))</f>
        <v>30.666978246080042</v>
      </c>
      <c r="W33" s="82">
        <f>IF(parameters!$C$27="B",'price scenario B'!W32,IF(parameters!$C$27="C",'price scenario C'!W32,'price scenario A'!W32))</f>
        <v>30.761091475392568</v>
      </c>
      <c r="X33" s="82">
        <f>IF(parameters!$C$27="B",'price scenario B'!X32,IF(parameters!$C$27="C",'price scenario C'!X32,'price scenario A'!X32))</f>
        <v>30.921519151706033</v>
      </c>
      <c r="Y33" s="82">
        <f>IF(parameters!$C$27="B",'price scenario B'!Y32,IF(parameters!$C$27="C",'price scenario C'!Y32,'price scenario A'!Y32))</f>
        <v>31.200587110518097</v>
      </c>
      <c r="Z33" s="82">
        <f>IF(parameters!$C$27="B",'price scenario B'!Z32,IF(parameters!$C$27="C",'price scenario C'!Z32,'price scenario A'!Z32))</f>
        <v>31.825774966738901</v>
      </c>
      <c r="AA33" s="82">
        <f>IF(parameters!$C$27="B",'price scenario B'!AA32,IF(parameters!$C$27="C",'price scenario C'!AA32,'price scenario A'!AA32))</f>
        <v>31.962823115399441</v>
      </c>
      <c r="AB33" s="82">
        <f>IF(parameters!$C$27="B",'price scenario B'!AB32,IF(parameters!$C$27="C",'price scenario C'!AB32,'price scenario A'!AB32))</f>
        <v>32.317548979730439</v>
      </c>
      <c r="AC33" s="82">
        <f>IF(parameters!$C$27="B",'price scenario B'!AC32,IF(parameters!$C$27="C",'price scenario C'!AC32,'price scenario A'!AC32))</f>
        <v>32.452617195998812</v>
      </c>
      <c r="AD33" s="82">
        <f>IF(parameters!$C$27="B",'price scenario B'!AD32,IF(parameters!$C$27="C",'price scenario C'!AD32,'price scenario A'!AD32))</f>
        <v>32.511381133805244</v>
      </c>
      <c r="AE33" s="82">
        <f>IF(parameters!$C$27="B",'price scenario B'!AE32,IF(parameters!$C$27="C",'price scenario C'!AE32,'price scenario A'!AE32))</f>
        <v>32.690715930565538</v>
      </c>
      <c r="AF33" s="82">
        <f>IF(parameters!$C$27="B",'price scenario B'!AF32,IF(parameters!$C$27="C",'price scenario C'!AF32,'price scenario A'!AF32))</f>
        <v>32.828419943695394</v>
      </c>
      <c r="AG33" s="82">
        <f>IF(parameters!$C$27="B",'price scenario B'!AG32,IF(parameters!$C$27="C",'price scenario C'!AG32,'price scenario A'!AG32))</f>
        <v>32.86266442153682</v>
      </c>
      <c r="AH33" s="82">
        <f>IF(parameters!$C$27="B",'price scenario B'!AH32,IF(parameters!$C$27="C",'price scenario C'!AH32,'price scenario A'!AH32))</f>
        <v>33.25646215400004</v>
      </c>
      <c r="AI33" s="82">
        <f>IF(parameters!$C$27="B",'price scenario B'!AI32,IF(parameters!$C$27="C",'price scenario C'!AI32,'price scenario A'!AI32))</f>
        <v>33.360265282541569</v>
      </c>
      <c r="AJ33" s="82">
        <f>IF(parameters!$C$27="B",'price scenario B'!AJ32,IF(parameters!$C$27="C",'price scenario C'!AJ32,'price scenario A'!AJ32))</f>
        <v>33.557703267468654</v>
      </c>
      <c r="AK33" s="82">
        <f>IF(parameters!$C$27="B",'price scenario B'!AK32,IF(parameters!$C$27="C",'price scenario C'!AK32,'price scenario A'!AK32))</f>
        <v>33.787692441940109</v>
      </c>
      <c r="AL33" s="67">
        <v>5.0000000000000001E-3</v>
      </c>
      <c r="AM33" s="76"/>
      <c r="AN33" s="100">
        <v>21.1306858062744</v>
      </c>
      <c r="AO33" s="100">
        <v>22.2453422546387</v>
      </c>
    </row>
    <row r="34" spans="1:41">
      <c r="A34" s="57" t="s">
        <v>52</v>
      </c>
      <c r="B34" s="82">
        <f>IF(parameters!$C$27="B",'price scenario B'!B33,IF(parameters!$C$27="C",'price scenario C'!B33,'price scenario A'!B33))</f>
        <v>16.702437187989137</v>
      </c>
      <c r="C34" s="82">
        <f>IF(parameters!$C$27="B",'price scenario B'!C33,IF(parameters!$C$27="C",'price scenario C'!C33,'price scenario A'!C33))</f>
        <v>17.975547195644388</v>
      </c>
      <c r="D34" s="82">
        <f>IF(parameters!$C$27="B",'price scenario B'!D33,IF(parameters!$C$27="C",'price scenario C'!D33,'price scenario A'!D33))</f>
        <v>18.52862945579167</v>
      </c>
      <c r="E34" s="82">
        <f>IF(parameters!$C$27="B",'price scenario B'!E33,IF(parameters!$C$27="C",'price scenario C'!E33,'price scenario A'!E33))</f>
        <v>26.326216229440853</v>
      </c>
      <c r="F34" s="82">
        <f>IF(parameters!$C$27="B",'price scenario B'!F33,IF(parameters!$C$27="C",'price scenario C'!F33,'price scenario A'!F33))</f>
        <v>14.548188935526408</v>
      </c>
      <c r="G34" s="82">
        <f>IF(parameters!$C$27="B",'price scenario B'!G33,IF(parameters!$C$27="C",'price scenario C'!G33,'price scenario A'!G33))</f>
        <v>18.012754261000001</v>
      </c>
      <c r="H34" s="82">
        <f>IF(parameters!$C$27="B",'price scenario B'!H33,IF(parameters!$C$27="C",'price scenario C'!H33,'price scenario A'!H33))</f>
        <v>23.841538827600001</v>
      </c>
      <c r="I34" s="367">
        <f>IF(parameters!$C$27="B",'price scenario B'!I33,IF(parameters!$C$27="C",'price scenario C'!I33,'price scenario A'!I33))</f>
        <v>23.3636208</v>
      </c>
      <c r="J34" s="82">
        <f>IF(parameters!$C$27="B",'price scenario B'!J33,IF(parameters!$C$27="C",'price scenario C'!J33,'price scenario A'!J33))</f>
        <v>22.157280000000004</v>
      </c>
      <c r="K34" s="542">
        <f>IF(parameters!$C$27="B",'price scenario B'!K33,IF(parameters!$C$27="C",'price scenario C'!K33,'price scenario A'!K33))</f>
        <v>20.741593999999999</v>
      </c>
      <c r="L34" s="541">
        <f>IF(parameters!$C$27="B",'price scenario B'!L33,IF(parameters!$C$27="C",'price scenario C'!L33,'price scenario A'!L33))</f>
        <v>12.171799999999999</v>
      </c>
      <c r="M34" s="82">
        <f>IF(parameters!$C$27="B",'price scenario B'!M33,IF(parameters!$C$27="C",'price scenario C'!M33,'price scenario A'!M33))</f>
        <v>9.9814690000000006</v>
      </c>
      <c r="N34" s="82">
        <f>IF(parameters!$C$27="B",'price scenario B'!N33,IF(parameters!$C$27="C",'price scenario C'!N33,'price scenario A'!N33))</f>
        <v>11.951191</v>
      </c>
      <c r="O34" s="82">
        <f>IF(parameters!$C$27="B",'price scenario B'!O33,IF(parameters!$C$27="C",'price scenario C'!O33,'price scenario A'!O33))</f>
        <v>12.256513</v>
      </c>
      <c r="P34" s="82">
        <f>IF(parameters!$C$27="B",'price scenario B'!P33,IF(parameters!$C$27="C",'price scenario C'!P33,'price scenario A'!P33))</f>
        <v>13.308604000000001</v>
      </c>
      <c r="Q34" s="82">
        <f>IF(parameters!$C$27="B",'price scenario B'!Q33,IF(parameters!$C$27="C",'price scenario C'!Q33,'price scenario A'!Q33))</f>
        <v>16.655777</v>
      </c>
      <c r="R34" s="82">
        <f>IF(parameters!$C$27="B",'price scenario B'!R33,IF(parameters!$C$27="C",'price scenario C'!R33,'price scenario A'!R33))</f>
        <v>18.258929999999999</v>
      </c>
      <c r="S34" s="82">
        <f>IF(parameters!$C$27="B",'price scenario B'!S33,IF(parameters!$C$27="C",'price scenario C'!S33,'price scenario A'!S33))</f>
        <v>18.930979000000001</v>
      </c>
      <c r="T34" s="82">
        <f>IF(parameters!$C$27="B",'price scenario B'!T33,IF(parameters!$C$27="C",'price scenario C'!T33,'price scenario A'!T33))</f>
        <v>19.509972000000001</v>
      </c>
      <c r="U34" s="82">
        <f>IF(parameters!$C$27="B",'price scenario B'!U33,IF(parameters!$C$27="C",'price scenario C'!U33,'price scenario A'!U33))</f>
        <v>20.100172000000001</v>
      </c>
      <c r="V34" s="82">
        <f>IF(parameters!$C$27="B",'price scenario B'!V33,IF(parameters!$C$27="C",'price scenario C'!V33,'price scenario A'!V33))</f>
        <v>20.224865000000001</v>
      </c>
      <c r="W34" s="82">
        <f>IF(parameters!$C$27="B",'price scenario B'!W33,IF(parameters!$C$27="C",'price scenario C'!W33,'price scenario A'!W33))</f>
        <v>20.325897000000001</v>
      </c>
      <c r="X34" s="82">
        <f>IF(parameters!$C$27="B",'price scenario B'!X33,IF(parameters!$C$27="C",'price scenario C'!X33,'price scenario A'!X33))</f>
        <v>20.659405</v>
      </c>
      <c r="Y34" s="82">
        <f>IF(parameters!$C$27="B",'price scenario B'!Y33,IF(parameters!$C$27="C",'price scenario C'!Y33,'price scenario A'!Y33))</f>
        <v>20.953747</v>
      </c>
      <c r="Z34" s="82">
        <f>IF(parameters!$C$27="B",'price scenario B'!Z33,IF(parameters!$C$27="C",'price scenario C'!Z33,'price scenario A'!Z33))</f>
        <v>21.510567000000002</v>
      </c>
      <c r="AA34" s="82">
        <f>IF(parameters!$C$27="B",'price scenario B'!AA33,IF(parameters!$C$27="C",'price scenario C'!AA33,'price scenario A'!AA33))</f>
        <v>21.723246</v>
      </c>
      <c r="AB34" s="82">
        <f>IF(parameters!$C$27="B",'price scenario B'!AB33,IF(parameters!$C$27="C",'price scenario C'!AB33,'price scenario A'!AB33))</f>
        <v>22.113056</v>
      </c>
      <c r="AC34" s="82">
        <f>IF(parameters!$C$27="B",'price scenario B'!AC33,IF(parameters!$C$27="C",'price scenario C'!AC33,'price scenario A'!AC33))</f>
        <v>22.350823999999999</v>
      </c>
      <c r="AD34" s="82">
        <f>IF(parameters!$C$27="B",'price scenario B'!AD33,IF(parameters!$C$27="C",'price scenario C'!AD33,'price scenario A'!AD33))</f>
        <v>22.687228999999999</v>
      </c>
      <c r="AE34" s="82">
        <f>IF(parameters!$C$27="B",'price scenario B'!AE33,IF(parameters!$C$27="C",'price scenario C'!AE33,'price scenario A'!AE33))</f>
        <v>22.910995</v>
      </c>
      <c r="AF34" s="82">
        <f>IF(parameters!$C$27="B",'price scenario B'!AF33,IF(parameters!$C$27="C",'price scenario C'!AF33,'price scenario A'!AF33))</f>
        <v>23.109155999999999</v>
      </c>
      <c r="AG34" s="82">
        <f>IF(parameters!$C$27="B",'price scenario B'!AG33,IF(parameters!$C$27="C",'price scenario C'!AG33,'price scenario A'!AG33))</f>
        <v>23.296961</v>
      </c>
      <c r="AH34" s="82">
        <f>IF(parameters!$C$27="B",'price scenario B'!AH33,IF(parameters!$C$27="C",'price scenario C'!AH33,'price scenario A'!AH33))</f>
        <v>23.794943</v>
      </c>
      <c r="AI34" s="82">
        <f>IF(parameters!$C$27="B",'price scenario B'!AI33,IF(parameters!$C$27="C",'price scenario C'!AI33,'price scenario A'!AI33))</f>
        <v>24.056287999999999</v>
      </c>
      <c r="AJ34" s="82">
        <f>IF(parameters!$C$27="B",'price scenario B'!AJ33,IF(parameters!$C$27="C",'price scenario C'!AJ33,'price scenario A'!AJ33))</f>
        <v>24.244046999999998</v>
      </c>
      <c r="AK34" s="82">
        <f>IF(parameters!$C$27="B",'price scenario B'!AK33,IF(parameters!$C$27="C",'price scenario C'!AK33,'price scenario A'!AK33))</f>
        <v>24.428225999999999</v>
      </c>
      <c r="AL34" s="67">
        <v>8.0000000000000002E-3</v>
      </c>
      <c r="AM34" s="76"/>
      <c r="AN34" s="100">
        <v>13.996889114379901</v>
      </c>
      <c r="AO34" s="100">
        <v>15.063774108886699</v>
      </c>
    </row>
    <row r="35" spans="1:41">
      <c r="A35" s="57" t="s">
        <v>53</v>
      </c>
      <c r="B35" s="82">
        <f>IF(parameters!$C$27="B",'price scenario B'!B34,IF(parameters!$C$27="C",'price scenario C'!B34,'price scenario A'!B34))</f>
        <v>23.581029927118582</v>
      </c>
      <c r="C35" s="82">
        <f>IF(parameters!$C$27="B",'price scenario B'!C34,IF(parameters!$C$27="C",'price scenario C'!C34,'price scenario A'!C34))</f>
        <v>24.455105964321913</v>
      </c>
      <c r="D35" s="82">
        <f>IF(parameters!$C$27="B",'price scenario B'!D34,IF(parameters!$C$27="C",'price scenario C'!D34,'price scenario A'!D34))</f>
        <v>25.885869718822821</v>
      </c>
      <c r="E35" s="82">
        <f>IF(parameters!$C$27="B",'price scenario B'!E34,IF(parameters!$C$27="C",'price scenario C'!E34,'price scenario A'!E34))</f>
        <v>33.59062427495482</v>
      </c>
      <c r="F35" s="82">
        <f>IF(parameters!$C$27="B",'price scenario B'!F34,IF(parameters!$C$27="C",'price scenario C'!F34,'price scenario A'!F34))</f>
        <v>21.580136738551513</v>
      </c>
      <c r="G35" s="82">
        <f>IF(parameters!$C$27="B",'price scenario B'!G34,IF(parameters!$C$27="C",'price scenario C'!G34,'price scenario A'!G34))</f>
        <v>24.676323889999999</v>
      </c>
      <c r="H35" s="82">
        <f>IF(parameters!$C$27="B",'price scenario B'!H34,IF(parameters!$C$27="C",'price scenario C'!H34,'price scenario A'!H34))</f>
        <v>29.8158830466</v>
      </c>
      <c r="I35" s="367">
        <f>IF(parameters!$C$27="B",'price scenario B'!I34,IF(parameters!$C$27="C",'price scenario C'!I34,'price scenario A'!I34))</f>
        <v>28.88661750530779</v>
      </c>
      <c r="J35" s="82">
        <f>IF(parameters!$C$27="B",'price scenario B'!J34,IF(parameters!$C$27="C",'price scenario C'!J34,'price scenario A'!J34))</f>
        <v>28.314804721683004</v>
      </c>
      <c r="K35" s="542">
        <f>IF(parameters!$C$27="B",'price scenario B'!K34,IF(parameters!$C$27="C",'price scenario C'!K34,'price scenario A'!K34))</f>
        <v>27.273304140532964</v>
      </c>
      <c r="L35" s="541">
        <f>IF(parameters!$C$27="B",'price scenario B'!L34,IF(parameters!$C$27="C",'price scenario C'!L34,'price scenario A'!L34))</f>
        <v>19.487834277933494</v>
      </c>
      <c r="M35" s="82">
        <f>IF(parameters!$C$27="B",'price scenario B'!M34,IF(parameters!$C$27="C",'price scenario C'!M34,'price scenario A'!M34))</f>
        <v>17.748760678199574</v>
      </c>
      <c r="N35" s="82">
        <f>IF(parameters!$C$27="B",'price scenario B'!N34,IF(parameters!$C$27="C",'price scenario C'!N34,'price scenario A'!N34))</f>
        <v>19.847168253125517</v>
      </c>
      <c r="O35" s="82">
        <f>IF(parameters!$C$27="B",'price scenario B'!O34,IF(parameters!$C$27="C",'price scenario C'!O34,'price scenario A'!O34))</f>
        <v>20.536328040223609</v>
      </c>
      <c r="P35" s="82">
        <f>IF(parameters!$C$27="B",'price scenario B'!P34,IF(parameters!$C$27="C",'price scenario C'!P34,'price scenario A'!P34))</f>
        <v>20.918116609662636</v>
      </c>
      <c r="Q35" s="82">
        <f>IF(parameters!$C$27="B",'price scenario B'!Q34,IF(parameters!$C$27="C",'price scenario C'!Q34,'price scenario A'!Q34))</f>
        <v>23.538142991920864</v>
      </c>
      <c r="R35" s="82">
        <f>IF(parameters!$C$27="B",'price scenario B'!R34,IF(parameters!$C$27="C",'price scenario C'!R34,'price scenario A'!R34))</f>
        <v>24.686268055157203</v>
      </c>
      <c r="S35" s="82">
        <f>IF(parameters!$C$27="B",'price scenario B'!S34,IF(parameters!$C$27="C",'price scenario C'!S34,'price scenario A'!S34))</f>
        <v>25.076567137644847</v>
      </c>
      <c r="T35" s="82">
        <f>IF(parameters!$C$27="B",'price scenario B'!T34,IF(parameters!$C$27="C",'price scenario C'!T34,'price scenario A'!T34))</f>
        <v>25.493814725317964</v>
      </c>
      <c r="U35" s="82">
        <f>IF(parameters!$C$27="B",'price scenario B'!U34,IF(parameters!$C$27="C",'price scenario C'!U34,'price scenario A'!U34))</f>
        <v>28.458925123356011</v>
      </c>
      <c r="V35" s="82">
        <f>IF(parameters!$C$27="B",'price scenario B'!V34,IF(parameters!$C$27="C",'price scenario C'!V34,'price scenario A'!V34))</f>
        <v>28.779195284087969</v>
      </c>
      <c r="W35" s="82">
        <f>IF(parameters!$C$27="B",'price scenario B'!W34,IF(parameters!$C$27="C",'price scenario C'!W34,'price scenario A'!W34))</f>
        <v>28.922271081242172</v>
      </c>
      <c r="X35" s="82">
        <f>IF(parameters!$C$27="B",'price scenario B'!X34,IF(parameters!$C$27="C",'price scenario C'!X34,'price scenario A'!X34))</f>
        <v>29.221609273383397</v>
      </c>
      <c r="Y35" s="82">
        <f>IF(parameters!$C$27="B",'price scenario B'!Y34,IF(parameters!$C$27="C",'price scenario C'!Y34,'price scenario A'!Y34))</f>
        <v>29.54305232944958</v>
      </c>
      <c r="Z35" s="82">
        <f>IF(parameters!$C$27="B",'price scenario B'!Z34,IF(parameters!$C$27="C",'price scenario C'!Z34,'price scenario A'!Z34))</f>
        <v>30.256041940497617</v>
      </c>
      <c r="AA35" s="82">
        <f>IF(parameters!$C$27="B",'price scenario B'!AA34,IF(parameters!$C$27="C",'price scenario C'!AA34,'price scenario A'!AA34))</f>
        <v>30.468056089509627</v>
      </c>
      <c r="AB35" s="82">
        <f>IF(parameters!$C$27="B",'price scenario B'!AB34,IF(parameters!$C$27="C",'price scenario C'!AB34,'price scenario A'!AB34))</f>
        <v>30.792472546629558</v>
      </c>
      <c r="AC35" s="82">
        <f>IF(parameters!$C$27="B",'price scenario B'!AC34,IF(parameters!$C$27="C",'price scenario C'!AC34,'price scenario A'!AC34))</f>
        <v>30.905538300900933</v>
      </c>
      <c r="AD35" s="82">
        <f>IF(parameters!$C$27="B",'price scenario B'!AD34,IF(parameters!$C$27="C",'price scenario C'!AD34,'price scenario A'!AD34))</f>
        <v>31.201307443243117</v>
      </c>
      <c r="AE35" s="82">
        <f>IF(parameters!$C$27="B",'price scenario B'!AE34,IF(parameters!$C$27="C",'price scenario C'!AE34,'price scenario A'!AE34))</f>
        <v>31.468782785916563</v>
      </c>
      <c r="AF35" s="82">
        <f>IF(parameters!$C$27="B",'price scenario B'!AF34,IF(parameters!$C$27="C",'price scenario C'!AF34,'price scenario A'!AF34))</f>
        <v>31.6005567534629</v>
      </c>
      <c r="AG35" s="82">
        <f>IF(parameters!$C$27="B",'price scenario B'!AG34,IF(parameters!$C$27="C",'price scenario C'!AG34,'price scenario A'!AG34))</f>
        <v>31.740761814225152</v>
      </c>
      <c r="AH35" s="82">
        <f>IF(parameters!$C$27="B",'price scenario B'!AH34,IF(parameters!$C$27="C",'price scenario C'!AH34,'price scenario A'!AH34))</f>
        <v>32.14829790601361</v>
      </c>
      <c r="AI35" s="82">
        <f>IF(parameters!$C$27="B",'price scenario B'!AI34,IF(parameters!$C$27="C",'price scenario C'!AI34,'price scenario A'!AI34))</f>
        <v>32.313866949445398</v>
      </c>
      <c r="AJ35" s="82">
        <f>IF(parameters!$C$27="B",'price scenario B'!AJ34,IF(parameters!$C$27="C",'price scenario C'!AJ34,'price scenario A'!AJ34))</f>
        <v>32.4656992674227</v>
      </c>
      <c r="AK35" s="82">
        <f>IF(parameters!$C$27="B",'price scenario B'!AK34,IF(parameters!$C$27="C",'price scenario C'!AK34,'price scenario A'!AK34))</f>
        <v>32.610071932332914</v>
      </c>
      <c r="AL35" s="67">
        <v>0.01</v>
      </c>
      <c r="AM35" s="76"/>
      <c r="AN35" s="100">
        <v>19.761251449585</v>
      </c>
      <c r="AO35" s="100">
        <v>20.493740081787099</v>
      </c>
    </row>
    <row r="36" spans="1:41">
      <c r="A36" s="57" t="s">
        <v>31</v>
      </c>
      <c r="B36" s="82">
        <f>IF(parameters!$C$27="B",'price scenario B'!B35,IF(parameters!$C$27="C",'price scenario C'!B35,'price scenario A'!B35))</f>
        <v>10.868934719680732</v>
      </c>
      <c r="C36" s="82">
        <f>IF(parameters!$C$27="B",'price scenario B'!C35,IF(parameters!$C$27="C",'price scenario C'!C35,'price scenario A'!C35))</f>
        <v>11.781013667017787</v>
      </c>
      <c r="D36" s="82">
        <f>IF(parameters!$C$27="B",'price scenario B'!D35,IF(parameters!$C$27="C",'price scenario C'!D35,'price scenario A'!D35))</f>
        <v>11.945835170871824</v>
      </c>
      <c r="E36" s="82">
        <f>IF(parameters!$C$27="B",'price scenario B'!E35,IF(parameters!$C$27="C",'price scenario C'!E35,'price scenario A'!E35))</f>
        <v>20.824636319965069</v>
      </c>
      <c r="F36" s="82">
        <f>IF(parameters!$C$27="B",'price scenario B'!F35,IF(parameters!$C$27="C",'price scenario C'!F35,'price scenario A'!F35))</f>
        <v>11.526194206927102</v>
      </c>
      <c r="G36" s="82">
        <f>IF(parameters!$C$27="B",'price scenario B'!G35,IF(parameters!$C$27="C",'price scenario C'!G35,'price scenario A'!G35))</f>
        <v>15.439504906</v>
      </c>
      <c r="H36" s="82">
        <f>IF(parameters!$C$27="B",'price scenario B'!H35,IF(parameters!$C$27="C",'price scenario C'!H35,'price scenario A'!H35))</f>
        <v>25.107132314400001</v>
      </c>
      <c r="I36" s="367">
        <f>IF(parameters!$C$27="B",'price scenario B'!I35,IF(parameters!$C$27="C",'price scenario C'!I35,'price scenario A'!I35))</f>
        <v>20.331356</v>
      </c>
      <c r="J36" s="82">
        <f>IF(parameters!$C$27="B",'price scenario B'!J35,IF(parameters!$C$27="C",'price scenario C'!J35,'price scenario A'!J35))</f>
        <v>19.655353800000004</v>
      </c>
      <c r="K36" s="542">
        <f>IF(parameters!$C$27="B",'price scenario B'!K35,IF(parameters!$C$27="C",'price scenario C'!K35,'price scenario A'!K35))</f>
        <v>14.493463999999999</v>
      </c>
      <c r="L36" s="541">
        <f>IF(parameters!$C$27="B",'price scenario B'!L35,IF(parameters!$C$27="C",'price scenario C'!L35,'price scenario A'!L35))</f>
        <v>12.395135</v>
      </c>
      <c r="M36" s="82">
        <f>IF(parameters!$C$27="B",'price scenario B'!M35,IF(parameters!$C$27="C",'price scenario C'!M35,'price scenario A'!M35))</f>
        <v>9.0035729999999994</v>
      </c>
      <c r="N36" s="82">
        <f>IF(parameters!$C$27="B",'price scenario B'!N35,IF(parameters!$C$27="C",'price scenario C'!N35,'price scenario A'!N35))</f>
        <v>12.029985</v>
      </c>
      <c r="O36" s="82">
        <f>IF(parameters!$C$27="B",'price scenario B'!O35,IF(parameters!$C$27="C",'price scenario C'!O35,'price scenario A'!O35))</f>
        <v>11.897579</v>
      </c>
      <c r="P36" s="82">
        <f>IF(parameters!$C$27="B",'price scenario B'!P35,IF(parameters!$C$27="C",'price scenario C'!P35,'price scenario A'!P35))</f>
        <v>15.248987</v>
      </c>
      <c r="Q36" s="82">
        <f>IF(parameters!$C$27="B",'price scenario B'!Q35,IF(parameters!$C$27="C",'price scenario C'!Q35,'price scenario A'!Q35))</f>
        <v>15.380401000000001</v>
      </c>
      <c r="R36" s="82">
        <f>IF(parameters!$C$27="B",'price scenario B'!R35,IF(parameters!$C$27="C",'price scenario C'!R35,'price scenario A'!R35))</f>
        <v>16.985220000000002</v>
      </c>
      <c r="S36" s="82">
        <f>IF(parameters!$C$27="B",'price scenario B'!S35,IF(parameters!$C$27="C",'price scenario C'!S35,'price scenario A'!S35))</f>
        <v>18.720980000000001</v>
      </c>
      <c r="T36" s="82">
        <f>IF(parameters!$C$27="B",'price scenario B'!T35,IF(parameters!$C$27="C",'price scenario C'!T35,'price scenario A'!T35))</f>
        <v>19.134377000000001</v>
      </c>
      <c r="U36" s="82">
        <f>IF(parameters!$C$27="B",'price scenario B'!U35,IF(parameters!$C$27="C",'price scenario C'!U35,'price scenario A'!U35))</f>
        <v>19.106483000000001</v>
      </c>
      <c r="V36" s="82">
        <f>IF(parameters!$C$27="B",'price scenario B'!V35,IF(parameters!$C$27="C",'price scenario C'!V35,'price scenario A'!V35))</f>
        <v>19.133807999999998</v>
      </c>
      <c r="W36" s="82">
        <f>IF(parameters!$C$27="B",'price scenario B'!W35,IF(parameters!$C$27="C",'price scenario C'!W35,'price scenario A'!W35))</f>
        <v>19.553170999999999</v>
      </c>
      <c r="X36" s="82">
        <f>IF(parameters!$C$27="B",'price scenario B'!X35,IF(parameters!$C$27="C",'price scenario C'!X35,'price scenario A'!X35))</f>
        <v>19.710277999999999</v>
      </c>
      <c r="Y36" s="82">
        <f>IF(parameters!$C$27="B",'price scenario B'!Y35,IF(parameters!$C$27="C",'price scenario C'!Y35,'price scenario A'!Y35))</f>
        <v>19.886894000000002</v>
      </c>
      <c r="Z36" s="82">
        <f>IF(parameters!$C$27="B",'price scenario B'!Z35,IF(parameters!$C$27="C",'price scenario C'!Z35,'price scenario A'!Z35))</f>
        <v>20.164287999999999</v>
      </c>
      <c r="AA36" s="82">
        <f>IF(parameters!$C$27="B",'price scenario B'!AA35,IF(parameters!$C$27="C",'price scenario C'!AA35,'price scenario A'!AA35))</f>
        <v>20.338757000000001</v>
      </c>
      <c r="AB36" s="82">
        <f>IF(parameters!$C$27="B",'price scenario B'!AB35,IF(parameters!$C$27="C",'price scenario C'!AB35,'price scenario A'!AB35))</f>
        <v>20.608881</v>
      </c>
      <c r="AC36" s="82">
        <f>IF(parameters!$C$27="B",'price scenario B'!AC35,IF(parameters!$C$27="C",'price scenario C'!AC35,'price scenario A'!AC35))</f>
        <v>20.777021000000001</v>
      </c>
      <c r="AD36" s="82">
        <f>IF(parameters!$C$27="B",'price scenario B'!AD35,IF(parameters!$C$27="C",'price scenario C'!AD35,'price scenario A'!AD35))</f>
        <v>20.970106000000001</v>
      </c>
      <c r="AE36" s="82">
        <f>IF(parameters!$C$27="B",'price scenario B'!AE35,IF(parameters!$C$27="C",'price scenario C'!AE35,'price scenario A'!AE35))</f>
        <v>21.154682000000001</v>
      </c>
      <c r="AF36" s="82">
        <f>IF(parameters!$C$27="B",'price scenario B'!AF35,IF(parameters!$C$27="C",'price scenario C'!AF35,'price scenario A'!AF35))</f>
        <v>21.319182999999999</v>
      </c>
      <c r="AG36" s="82">
        <f>IF(parameters!$C$27="B",'price scenario B'!AG35,IF(parameters!$C$27="C",'price scenario C'!AG35,'price scenario A'!AG35))</f>
        <v>21.416967</v>
      </c>
      <c r="AH36" s="82">
        <f>IF(parameters!$C$27="B",'price scenario B'!AH35,IF(parameters!$C$27="C",'price scenario C'!AH35,'price scenario A'!AH35))</f>
        <v>21.795977000000001</v>
      </c>
      <c r="AI36" s="82">
        <f>IF(parameters!$C$27="B",'price scenario B'!AI35,IF(parameters!$C$27="C",'price scenario C'!AI35,'price scenario A'!AI35))</f>
        <v>21.921675</v>
      </c>
      <c r="AJ36" s="82">
        <f>IF(parameters!$C$27="B",'price scenario B'!AJ35,IF(parameters!$C$27="C",'price scenario C'!AJ35,'price scenario A'!AJ35))</f>
        <v>22.075838000000001</v>
      </c>
      <c r="AK36" s="82">
        <f>IF(parameters!$C$27="B",'price scenario B'!AK35,IF(parameters!$C$27="C",'price scenario C'!AK35,'price scenario A'!AK35))</f>
        <v>22.220699</v>
      </c>
      <c r="AL36" s="67">
        <v>4.0000000000000001E-3</v>
      </c>
      <c r="AM36" s="76"/>
      <c r="AN36" s="100">
        <v>9.1083278656005895</v>
      </c>
      <c r="AO36" s="100">
        <v>9.8726634979247994</v>
      </c>
    </row>
    <row r="37" spans="1:41">
      <c r="A37" s="57" t="s">
        <v>54</v>
      </c>
      <c r="B37" s="82">
        <f>IF(parameters!$C$27="B",'price scenario B'!B36,IF(parameters!$C$27="C",'price scenario C'!B36,'price scenario A'!B36))</f>
        <v>14.347516543540372</v>
      </c>
      <c r="C37" s="82">
        <f>IF(parameters!$C$27="B",'price scenario B'!C36,IF(parameters!$C$27="C",'price scenario C'!C36,'price scenario A'!C36))</f>
        <v>13.450918029411255</v>
      </c>
      <c r="D37" s="82">
        <f>IF(parameters!$C$27="B",'price scenario B'!D36,IF(parameters!$C$27="C",'price scenario C'!D36,'price scenario A'!D36))</f>
        <v>12.714585281051809</v>
      </c>
      <c r="E37" s="82">
        <f>IF(parameters!$C$27="B",'price scenario B'!E36,IF(parameters!$C$27="C",'price scenario C'!E36,'price scenario A'!E36))</f>
        <v>15.022166673886632</v>
      </c>
      <c r="F37" s="82">
        <f>IF(parameters!$C$27="B",'price scenario B'!F36,IF(parameters!$C$27="C",'price scenario C'!F36,'price scenario A'!F36))</f>
        <v>10.607329831625647</v>
      </c>
      <c r="G37" s="82">
        <f>IF(parameters!$C$27="B",'price scenario B'!G36,IF(parameters!$C$27="C",'price scenario C'!G36,'price scenario A'!G36))</f>
        <v>15.702759674999999</v>
      </c>
      <c r="H37" s="82">
        <f>IF(parameters!$C$27="B",'price scenario B'!H36,IF(parameters!$C$27="C",'price scenario C'!H36,'price scenario A'!H36))</f>
        <v>16.275761133</v>
      </c>
      <c r="I37" s="367">
        <f>IF(parameters!$C$27="B",'price scenario B'!I36,IF(parameters!$C$27="C",'price scenario C'!I36,'price scenario A'!I36))</f>
        <v>15.559334399999999</v>
      </c>
      <c r="J37" s="82">
        <f>IF(parameters!$C$27="B",'price scenario B'!J36,IF(parameters!$C$27="C",'price scenario C'!J36,'price scenario A'!J36))</f>
        <v>15.365458199999999</v>
      </c>
      <c r="K37" s="542">
        <f>IF(parameters!$C$27="B",'price scenario B'!K36,IF(parameters!$C$27="C",'price scenario C'!K36,'price scenario A'!K36))</f>
        <v>19.085505000000001</v>
      </c>
      <c r="L37" s="541">
        <f>IF(parameters!$C$27="B",'price scenario B'!L36,IF(parameters!$C$27="C",'price scenario C'!L36,'price scenario A'!L36))</f>
        <v>17.802166</v>
      </c>
      <c r="M37" s="82">
        <f>IF(parameters!$C$27="B",'price scenario B'!M36,IF(parameters!$C$27="C",'price scenario C'!M36,'price scenario A'!M36))</f>
        <v>15.690949</v>
      </c>
      <c r="N37" s="82">
        <f>IF(parameters!$C$27="B",'price scenario B'!N36,IF(parameters!$C$27="C",'price scenario C'!N36,'price scenario A'!N36))</f>
        <v>15.951169999999999</v>
      </c>
      <c r="O37" s="82">
        <f>IF(parameters!$C$27="B",'price scenario B'!O36,IF(parameters!$C$27="C",'price scenario C'!O36,'price scenario A'!O36))</f>
        <v>15.54055</v>
      </c>
      <c r="P37" s="82">
        <f>IF(parameters!$C$27="B",'price scenario B'!P36,IF(parameters!$C$27="C",'price scenario C'!P36,'price scenario A'!P36))</f>
        <v>15.461475</v>
      </c>
      <c r="Q37" s="82">
        <f>IF(parameters!$C$27="B",'price scenario B'!Q36,IF(parameters!$C$27="C",'price scenario C'!Q36,'price scenario A'!Q36))</f>
        <v>15.526028</v>
      </c>
      <c r="R37" s="82">
        <f>IF(parameters!$C$27="B",'price scenario B'!R36,IF(parameters!$C$27="C",'price scenario C'!R36,'price scenario A'!R36))</f>
        <v>14.654116</v>
      </c>
      <c r="S37" s="82">
        <f>IF(parameters!$C$27="B",'price scenario B'!S36,IF(parameters!$C$27="C",'price scenario C'!S36,'price scenario A'!S36))</f>
        <v>14.504236000000001</v>
      </c>
      <c r="T37" s="82">
        <f>IF(parameters!$C$27="B",'price scenario B'!T36,IF(parameters!$C$27="C",'price scenario C'!T36,'price scenario A'!T36))</f>
        <v>14.543445999999999</v>
      </c>
      <c r="U37" s="82">
        <f>IF(parameters!$C$27="B",'price scenario B'!U36,IF(parameters!$C$27="C",'price scenario C'!U36,'price scenario A'!U36))</f>
        <v>17.335283</v>
      </c>
      <c r="V37" s="82">
        <f>IF(parameters!$C$27="B",'price scenario B'!V36,IF(parameters!$C$27="C",'price scenario C'!V36,'price scenario A'!V36))</f>
        <v>17.415651</v>
      </c>
      <c r="W37" s="82">
        <f>IF(parameters!$C$27="B",'price scenario B'!W36,IF(parameters!$C$27="C",'price scenario C'!W36,'price scenario A'!W36))</f>
        <v>17.356193999999999</v>
      </c>
      <c r="X37" s="82">
        <f>IF(parameters!$C$27="B",'price scenario B'!X36,IF(parameters!$C$27="C",'price scenario C'!X36,'price scenario A'!X36))</f>
        <v>17.316749999999999</v>
      </c>
      <c r="Y37" s="82">
        <f>IF(parameters!$C$27="B",'price scenario B'!Y36,IF(parameters!$C$27="C",'price scenario C'!Y36,'price scenario A'!Y36))</f>
        <v>17.225100999999999</v>
      </c>
      <c r="Z37" s="82">
        <f>IF(parameters!$C$27="B",'price scenario B'!Z36,IF(parameters!$C$27="C",'price scenario C'!Z36,'price scenario A'!Z36))</f>
        <v>17.576174000000002</v>
      </c>
      <c r="AA37" s="82">
        <f>IF(parameters!$C$27="B",'price scenario B'!AA36,IF(parameters!$C$27="C",'price scenario C'!AA36,'price scenario A'!AA36))</f>
        <v>17.482697000000002</v>
      </c>
      <c r="AB37" s="82">
        <f>IF(parameters!$C$27="B",'price scenario B'!AB36,IF(parameters!$C$27="C",'price scenario C'!AB36,'price scenario A'!AB36))</f>
        <v>17.390416999999999</v>
      </c>
      <c r="AC37" s="82">
        <f>IF(parameters!$C$27="B",'price scenario B'!AC36,IF(parameters!$C$27="C",'price scenario C'!AC36,'price scenario A'!AC36))</f>
        <v>17.333994000000001</v>
      </c>
      <c r="AD37" s="82">
        <f>IF(parameters!$C$27="B",'price scenario B'!AD36,IF(parameters!$C$27="C",'price scenario C'!AD36,'price scenario A'!AD36))</f>
        <v>17.264631000000001</v>
      </c>
      <c r="AE37" s="82">
        <f>IF(parameters!$C$27="B",'price scenario B'!AE36,IF(parameters!$C$27="C",'price scenario C'!AE36,'price scenario A'!AE36))</f>
        <v>17.222916000000001</v>
      </c>
      <c r="AF37" s="82">
        <f>IF(parameters!$C$27="B",'price scenario B'!AF36,IF(parameters!$C$27="C",'price scenario C'!AF36,'price scenario A'!AF36))</f>
        <v>17.164318000000002</v>
      </c>
      <c r="AG37" s="82">
        <f>IF(parameters!$C$27="B",'price scenario B'!AG36,IF(parameters!$C$27="C",'price scenario C'!AG36,'price scenario A'!AG36))</f>
        <v>17.218857</v>
      </c>
      <c r="AH37" s="82">
        <f>IF(parameters!$C$27="B",'price scenario B'!AH36,IF(parameters!$C$27="C",'price scenario C'!AH36,'price scenario A'!AH36))</f>
        <v>17.173249999999999</v>
      </c>
      <c r="AI37" s="82">
        <f>IF(parameters!$C$27="B",'price scenario B'!AI36,IF(parameters!$C$27="C",'price scenario C'!AI36,'price scenario A'!AI36))</f>
        <v>17.185514000000001</v>
      </c>
      <c r="AJ37" s="82">
        <f>IF(parameters!$C$27="B",'price scenario B'!AJ36,IF(parameters!$C$27="C",'price scenario C'!AJ36,'price scenario A'!AJ36))</f>
        <v>17.192053000000001</v>
      </c>
      <c r="AK37" s="82">
        <f>IF(parameters!$C$27="B",'price scenario B'!AK36,IF(parameters!$C$27="C",'price scenario C'!AK36,'price scenario A'!AK36))</f>
        <v>17.183734999999999</v>
      </c>
      <c r="AL37" s="67">
        <v>1.7000000000000001E-2</v>
      </c>
      <c r="AM37" s="76"/>
      <c r="AN37" s="100">
        <v>12.023430824279799</v>
      </c>
      <c r="AO37" s="100">
        <v>11.2720680236816</v>
      </c>
    </row>
    <row r="38" spans="1:41">
      <c r="A38" s="77" t="s">
        <v>8</v>
      </c>
      <c r="B38" s="82">
        <f>IF(parameters!$C$27="B",'price scenario B'!B37,IF(parameters!$C$27="C",'price scenario C'!B37,'price scenario A'!B37))</f>
        <v>25.273055569087418</v>
      </c>
      <c r="C38" s="82">
        <f>IF(parameters!$C$27="B",'price scenario B'!C37,IF(parameters!$C$27="C",'price scenario C'!C37,'price scenario A'!C37))</f>
        <v>23.968927249238199</v>
      </c>
      <c r="D38" s="82">
        <f>IF(parameters!$C$27="B",'price scenario B'!D37,IF(parameters!$C$27="C",'price scenario C'!D37,'price scenario A'!D37))</f>
        <v>23.728557758441507</v>
      </c>
      <c r="E38" s="82">
        <f>IF(parameters!$C$27="B",'price scenario B'!E37,IF(parameters!$C$27="C",'price scenario C'!E37,'price scenario A'!E37))</f>
        <v>24.586978211291097</v>
      </c>
      <c r="F38" s="82">
        <f>IF(parameters!$C$27="B",'price scenario B'!F37,IF(parameters!$C$27="C",'price scenario C'!F37,'price scenario A'!F37))</f>
        <v>23.563944028004737</v>
      </c>
      <c r="G38" s="82">
        <f>IF(parameters!$C$27="B",'price scenario B'!G37,IF(parameters!$C$27="C",'price scenario C'!G37,'price scenario A'!G37))</f>
        <v>25.051514399860356</v>
      </c>
      <c r="H38" s="82">
        <f>IF(parameters!$C$27="B",'price scenario B'!H37,IF(parameters!$C$27="C",'price scenario C'!H37,'price scenario A'!H37))</f>
        <v>24.211661054755247</v>
      </c>
      <c r="I38" s="367">
        <f>IF(parameters!$C$27="B",'price scenario B'!I37,IF(parameters!$C$27="C",'price scenario C'!I37,'price scenario A'!I37))</f>
        <v>21.242036654265814</v>
      </c>
      <c r="J38" s="82">
        <f>IF(parameters!$C$27="B",'price scenario B'!J37,IF(parameters!$C$27="C",'price scenario C'!J37,'price scenario A'!J37))</f>
        <v>21.485177834325871</v>
      </c>
      <c r="K38" s="542">
        <f>IF(parameters!$C$27="B",'price scenario B'!K37,IF(parameters!$C$27="C",'price scenario C'!K37,'price scenario A'!K37))</f>
        <v>22.631162053794682</v>
      </c>
      <c r="L38" s="541">
        <f>IF(parameters!$C$27="B",'price scenario B'!L37,IF(parameters!$C$27="C",'price scenario C'!L37,'price scenario A'!L37))</f>
        <v>20.524528828361394</v>
      </c>
      <c r="M38" s="82">
        <f>IF(parameters!$C$27="B",'price scenario B'!M37,IF(parameters!$C$27="C",'price scenario C'!M37,'price scenario A'!M37))</f>
        <v>22.188918030250495</v>
      </c>
      <c r="N38" s="82">
        <f>IF(parameters!$C$27="B",'price scenario B'!N37,IF(parameters!$C$27="C",'price scenario C'!N37,'price scenario A'!N37))</f>
        <v>27.954380549803759</v>
      </c>
      <c r="O38" s="82">
        <f>IF(parameters!$C$27="B",'price scenario B'!O37,IF(parameters!$C$27="C",'price scenario C'!O37,'price scenario A'!O37))</f>
        <v>29.640141964888709</v>
      </c>
      <c r="P38" s="82">
        <f>IF(parameters!$C$27="B",'price scenario B'!P37,IF(parameters!$C$27="C",'price scenario C'!P37,'price scenario A'!P37))</f>
        <v>29.672832792999262</v>
      </c>
      <c r="Q38" s="82">
        <f>IF(parameters!$C$27="B",'price scenario B'!Q37,IF(parameters!$C$27="C",'price scenario C'!Q37,'price scenario A'!Q37))</f>
        <v>30.72380498311238</v>
      </c>
      <c r="R38" s="82">
        <f>IF(parameters!$C$27="B",'price scenario B'!R37,IF(parameters!$C$27="C",'price scenario C'!R37,'price scenario A'!R37))</f>
        <v>32.229886400979453</v>
      </c>
      <c r="S38" s="82">
        <f>IF(parameters!$C$27="B",'price scenario B'!S37,IF(parameters!$C$27="C",'price scenario C'!S37,'price scenario A'!S37))</f>
        <v>33.845254343568733</v>
      </c>
      <c r="T38" s="82">
        <f>IF(parameters!$C$27="B",'price scenario B'!T37,IF(parameters!$C$27="C",'price scenario C'!T37,'price scenario A'!T37))</f>
        <v>35.741077355131701</v>
      </c>
      <c r="U38" s="82">
        <f>IF(parameters!$C$27="B",'price scenario B'!U37,IF(parameters!$C$27="C",'price scenario C'!U37,'price scenario A'!U37))</f>
        <v>36.441972222742741</v>
      </c>
      <c r="V38" s="82">
        <f>IF(parameters!$C$27="B",'price scenario B'!V37,IF(parameters!$C$27="C",'price scenario C'!V37,'price scenario A'!V37))</f>
        <v>37.622725435876561</v>
      </c>
      <c r="W38" s="82">
        <f>IF(parameters!$C$27="B",'price scenario B'!W37,IF(parameters!$C$27="C",'price scenario C'!W37,'price scenario A'!W37))</f>
        <v>38.74582246661673</v>
      </c>
      <c r="X38" s="82">
        <f>IF(parameters!$C$27="B",'price scenario B'!X37,IF(parameters!$C$27="C",'price scenario C'!X37,'price scenario A'!X37))</f>
        <v>39.044928488453209</v>
      </c>
      <c r="Y38" s="82">
        <f>IF(parameters!$C$27="B",'price scenario B'!Y37,IF(parameters!$C$27="C",'price scenario C'!Y37,'price scenario A'!Y37))</f>
        <v>39.248934724522904</v>
      </c>
      <c r="Z38" s="82">
        <f>IF(parameters!$C$27="B",'price scenario B'!Z37,IF(parameters!$C$27="C",'price scenario C'!Z37,'price scenario A'!Z37))</f>
        <v>39.406115054127312</v>
      </c>
      <c r="AA38" s="82">
        <f>IF(parameters!$C$27="B",'price scenario B'!AA37,IF(parameters!$C$27="C",'price scenario C'!AA37,'price scenario A'!AA37))</f>
        <v>39.671454969350506</v>
      </c>
      <c r="AB38" s="82">
        <f>IF(parameters!$C$27="B",'price scenario B'!AB37,IF(parameters!$C$27="C",'price scenario C'!AB37,'price scenario A'!AB37))</f>
        <v>39.999249598761971</v>
      </c>
      <c r="AC38" s="82">
        <f>IF(parameters!$C$27="B",'price scenario B'!AC37,IF(parameters!$C$27="C",'price scenario C'!AC37,'price scenario A'!AC37))</f>
        <v>40.098550129372647</v>
      </c>
      <c r="AD38" s="82">
        <f>IF(parameters!$C$27="B",'price scenario B'!AD37,IF(parameters!$C$27="C",'price scenario C'!AD37,'price scenario A'!AD37))</f>
        <v>40.067119819918702</v>
      </c>
      <c r="AE38" s="82">
        <f>IF(parameters!$C$27="B",'price scenario B'!AE37,IF(parameters!$C$27="C",'price scenario C'!AE37,'price scenario A'!AE37))</f>
        <v>40.023770671879205</v>
      </c>
      <c r="AF38" s="82">
        <f>IF(parameters!$C$27="B",'price scenario B'!AF37,IF(parameters!$C$27="C",'price scenario C'!AF37,'price scenario A'!AF37))</f>
        <v>39.923225120792132</v>
      </c>
      <c r="AG38" s="82">
        <f>IF(parameters!$C$27="B",'price scenario B'!AG37,IF(parameters!$C$27="C",'price scenario C'!AG37,'price scenario A'!AG37))</f>
        <v>39.763323015540443</v>
      </c>
      <c r="AH38" s="82">
        <f>IF(parameters!$C$27="B",'price scenario B'!AH37,IF(parameters!$C$27="C",'price scenario C'!AH37,'price scenario A'!AH37))</f>
        <v>39.609567045752563</v>
      </c>
      <c r="AI38" s="82">
        <f>IF(parameters!$C$27="B",'price scenario B'!AI37,IF(parameters!$C$27="C",'price scenario C'!AI37,'price scenario A'!AI37))</f>
        <v>39.385160776482763</v>
      </c>
      <c r="AJ38" s="82">
        <f>IF(parameters!$C$27="B",'price scenario B'!AJ37,IF(parameters!$C$27="C",'price scenario C'!AJ37,'price scenario A'!AJ37))</f>
        <v>39.104539655578307</v>
      </c>
      <c r="AK38" s="82">
        <f>IF(parameters!$C$27="B",'price scenario B'!AK37,IF(parameters!$C$27="C",'price scenario C'!AK37,'price scenario A'!AK37))</f>
        <v>38.802035104225645</v>
      </c>
      <c r="AL38" s="67">
        <v>4.0000000000000001E-3</v>
      </c>
      <c r="AM38" s="76"/>
      <c r="AN38" s="100">
        <v>29.129377365112301</v>
      </c>
      <c r="AO38" s="100">
        <v>27.626256942748999</v>
      </c>
    </row>
    <row r="39" spans="1:41">
      <c r="B39" s="82"/>
      <c r="C39" s="82"/>
      <c r="D39" s="82"/>
      <c r="E39" s="82"/>
      <c r="F39" s="82"/>
      <c r="G39" s="82"/>
      <c r="H39" s="82"/>
      <c r="I39" s="367"/>
      <c r="J39" s="82"/>
      <c r="K39" s="542"/>
      <c r="L39" s="541"/>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76"/>
      <c r="AM39" s="76"/>
      <c r="AN39" s="82"/>
      <c r="AO39" s="82"/>
    </row>
    <row r="40" spans="1:41">
      <c r="A40" s="57" t="str">
        <f>'Price Change'!A40</f>
        <v xml:space="preserve"> Electric Power 9/ - Electricity Step 3a (price change)</v>
      </c>
      <c r="B40" s="102" t="s">
        <v>630</v>
      </c>
      <c r="C40" s="102"/>
      <c r="D40" s="102"/>
      <c r="E40" s="102"/>
      <c r="F40" s="102"/>
      <c r="G40" s="102"/>
      <c r="H40" s="102"/>
      <c r="I40" s="370"/>
      <c r="J40" s="102"/>
      <c r="K40" s="559"/>
      <c r="L40" s="3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67">
        <v>0.7196660489360589</v>
      </c>
      <c r="AM40" s="76" t="s">
        <v>347</v>
      </c>
      <c r="AN40" s="76"/>
      <c r="AO40" s="76"/>
    </row>
    <row r="41" spans="1:41">
      <c r="A41" s="57" t="s">
        <v>25</v>
      </c>
      <c r="B41" s="82">
        <f>IF(parameters!$C$27="B",'price scenario B'!B40,IF(parameters!$C$27="C",'price scenario C'!B40,'price scenario A'!B40))</f>
        <v>16.854451104556041</v>
      </c>
      <c r="C41" s="82">
        <f>IF(parameters!$C$27="B",'price scenario B'!C40,IF(parameters!$C$27="C",'price scenario C'!C40,'price scenario A'!C40))</f>
        <v>17.804532962026791</v>
      </c>
      <c r="D41" s="82">
        <f>IF(parameters!$C$27="B",'price scenario B'!D40,IF(parameters!$C$27="C",'price scenario C'!D40,'price scenario A'!D40))</f>
        <v>19.128826766465245</v>
      </c>
      <c r="E41" s="82">
        <f>IF(parameters!$C$27="B",'price scenario B'!E40,IF(parameters!$C$27="C",'price scenario C'!E40,'price scenario A'!E40))</f>
        <v>22.761811953118713</v>
      </c>
      <c r="F41" s="82">
        <f>IF(parameters!$C$27="B",'price scenario B'!F40,IF(parameters!$C$27="C",'price scenario C'!F40,'price scenario A'!F40))</f>
        <v>16.737196498042987</v>
      </c>
      <c r="G41" s="82">
        <f>IF(parameters!$C$27="B",'price scenario B'!G40,IF(parameters!$C$27="C",'price scenario C'!G40,'price scenario A'!G40))</f>
        <v>20.931666121999999</v>
      </c>
      <c r="H41" s="82">
        <f>IF(parameters!$C$27="B",'price scenario B'!H40,IF(parameters!$C$27="C",'price scenario C'!H40,'price scenario A'!H40))</f>
        <v>24.660451953000003</v>
      </c>
      <c r="I41" s="367">
        <f>IF(parameters!$C$27="B",'price scenario B'!I40,IF(parameters!$C$27="C",'price scenario C'!I40,'price scenario A'!I40))</f>
        <v>24.550471399999999</v>
      </c>
      <c r="J41" s="82">
        <f>IF(parameters!$C$27="B",'price scenario B'!J40,IF(parameters!$C$27="C",'price scenario C'!J40,'price scenario A'!J40))</f>
        <v>24.4776396</v>
      </c>
      <c r="K41" s="542">
        <f>IF(parameters!$C$27="B",'price scenario B'!K40,IF(parameters!$C$27="C",'price scenario C'!K40,'price scenario A'!K40))</f>
        <v>23.618300999999999</v>
      </c>
      <c r="L41" s="541">
        <f>IF(parameters!$C$27="B",'price scenario B'!L40,IF(parameters!$C$27="C",'price scenario C'!L40,'price scenario A'!L40))</f>
        <v>15.726561</v>
      </c>
      <c r="M41" s="82">
        <f>IF(parameters!$C$27="B",'price scenario B'!M40,IF(parameters!$C$27="C",'price scenario C'!M40,'price scenario A'!M40))</f>
        <v>12.502862</v>
      </c>
      <c r="N41" s="82">
        <f>IF(parameters!$C$27="B",'price scenario B'!N40,IF(parameters!$C$27="C",'price scenario C'!N40,'price scenario A'!N40))</f>
        <v>14.564603999999999</v>
      </c>
      <c r="O41" s="82">
        <f>IF(parameters!$C$27="B",'price scenario B'!O40,IF(parameters!$C$27="C",'price scenario C'!O40,'price scenario A'!O40))</f>
        <v>15.113141000000001</v>
      </c>
      <c r="P41" s="82">
        <f>IF(parameters!$C$27="B",'price scenario B'!P40,IF(parameters!$C$27="C",'price scenario C'!P40,'price scenario A'!P40))</f>
        <v>15.982727000000001</v>
      </c>
      <c r="Q41" s="82">
        <f>IF(parameters!$C$27="B",'price scenario B'!Q40,IF(parameters!$C$27="C",'price scenario C'!Q40,'price scenario A'!Q40))</f>
        <v>19.193829999999998</v>
      </c>
      <c r="R41" s="82">
        <f>IF(parameters!$C$27="B",'price scenario B'!R40,IF(parameters!$C$27="C",'price scenario C'!R40,'price scenario A'!R40))</f>
        <v>20.671496999999999</v>
      </c>
      <c r="S41" s="82">
        <f>IF(parameters!$C$27="B",'price scenario B'!S40,IF(parameters!$C$27="C",'price scenario C'!S40,'price scenario A'!S40))</f>
        <v>21.221247000000002</v>
      </c>
      <c r="T41" s="82">
        <f>IF(parameters!$C$27="B",'price scenario B'!T40,IF(parameters!$C$27="C",'price scenario C'!T40,'price scenario A'!T40))</f>
        <v>21.614315000000001</v>
      </c>
      <c r="U41" s="82">
        <f>IF(parameters!$C$27="B",'price scenario B'!U40,IF(parameters!$C$27="C",'price scenario C'!U40,'price scenario A'!U40))</f>
        <v>21.809093000000001</v>
      </c>
      <c r="V41" s="82">
        <f>IF(parameters!$C$27="B",'price scenario B'!V40,IF(parameters!$C$27="C",'price scenario C'!V40,'price scenario A'!V40))</f>
        <v>21.921059</v>
      </c>
      <c r="W41" s="82">
        <f>IF(parameters!$C$27="B",'price scenario B'!W40,IF(parameters!$C$27="C",'price scenario C'!W40,'price scenario A'!W40))</f>
        <v>22.079042000000001</v>
      </c>
      <c r="X41" s="82">
        <f>IF(parameters!$C$27="B",'price scenario B'!X40,IF(parameters!$C$27="C",'price scenario C'!X40,'price scenario A'!X40))</f>
        <v>22.295024999999999</v>
      </c>
      <c r="Y41" s="82">
        <f>IF(parameters!$C$27="B",'price scenario B'!Y40,IF(parameters!$C$27="C",'price scenario C'!Y40,'price scenario A'!Y40))</f>
        <v>22.567457000000001</v>
      </c>
      <c r="Z41" s="82">
        <f>IF(parameters!$C$27="B",'price scenario B'!Z40,IF(parameters!$C$27="C",'price scenario C'!Z40,'price scenario A'!Z40))</f>
        <v>22.843793999999999</v>
      </c>
      <c r="AA41" s="82">
        <f>IF(parameters!$C$27="B",'price scenario B'!AA40,IF(parameters!$C$27="C",'price scenario C'!AA40,'price scenario A'!AA40))</f>
        <v>23.034313000000001</v>
      </c>
      <c r="AB41" s="82">
        <f>IF(parameters!$C$27="B",'price scenario B'!AB40,IF(parameters!$C$27="C",'price scenario C'!AB40,'price scenario A'!AB40))</f>
        <v>23.419415000000001</v>
      </c>
      <c r="AC41" s="82">
        <f>IF(parameters!$C$27="B",'price scenario B'!AC40,IF(parameters!$C$27="C",'price scenario C'!AC40,'price scenario A'!AC40))</f>
        <v>23.614208000000001</v>
      </c>
      <c r="AD41" s="82">
        <f>IF(parameters!$C$27="B",'price scenario B'!AD40,IF(parameters!$C$27="C",'price scenario C'!AD40,'price scenario A'!AD40))</f>
        <v>23.918925999999999</v>
      </c>
      <c r="AE41" s="82">
        <f>IF(parameters!$C$27="B",'price scenario B'!AE40,IF(parameters!$C$27="C",'price scenario C'!AE40,'price scenario A'!AE40))</f>
        <v>24.169363000000001</v>
      </c>
      <c r="AF41" s="82">
        <f>IF(parameters!$C$27="B",'price scenario B'!AF40,IF(parameters!$C$27="C",'price scenario C'!AF40,'price scenario A'!AF40))</f>
        <v>24.293665000000001</v>
      </c>
      <c r="AG41" s="82">
        <f>IF(parameters!$C$27="B",'price scenario B'!AG40,IF(parameters!$C$27="C",'price scenario C'!AG40,'price scenario A'!AG40))</f>
        <v>24.426276999999999</v>
      </c>
      <c r="AH41" s="82">
        <f>IF(parameters!$C$27="B",'price scenario B'!AH40,IF(parameters!$C$27="C",'price scenario C'!AH40,'price scenario A'!AH40))</f>
        <v>24.933948999999998</v>
      </c>
      <c r="AI41" s="82">
        <f>IF(parameters!$C$27="B",'price scenario B'!AI40,IF(parameters!$C$27="C",'price scenario C'!AI40,'price scenario A'!AI40))</f>
        <v>25.083275</v>
      </c>
      <c r="AJ41" s="82">
        <f>IF(parameters!$C$27="B",'price scenario B'!AJ40,IF(parameters!$C$27="C",'price scenario C'!AJ40,'price scenario A'!AJ40))</f>
        <v>25.313271</v>
      </c>
      <c r="AK41" s="82">
        <f>IF(parameters!$C$27="B",'price scenario B'!AK40,IF(parameters!$C$27="C",'price scenario C'!AK40,'price scenario A'!AK40))</f>
        <v>25.525286000000001</v>
      </c>
      <c r="AL41" s="67">
        <v>8.9999999999999993E-3</v>
      </c>
      <c r="AM41" s="76"/>
      <c r="AN41" s="100">
        <v>14.1242790222168</v>
      </c>
      <c r="AO41" s="100">
        <v>14.9204616546631</v>
      </c>
    </row>
    <row r="42" spans="1:41">
      <c r="A42" s="57" t="s">
        <v>31</v>
      </c>
      <c r="B42" s="82">
        <f>IF(parameters!$C$27="B",'price scenario B'!B41,IF(parameters!$C$27="C",'price scenario C'!B41,'price scenario A'!B41))</f>
        <v>10.260883605477513</v>
      </c>
      <c r="C42" s="82">
        <f>IF(parameters!$C$27="B",'price scenario B'!C41,IF(parameters!$C$27="C",'price scenario C'!C41,'price scenario A'!C41))</f>
        <v>11.514991020049854</v>
      </c>
      <c r="D42" s="82">
        <f>IF(parameters!$C$27="B",'price scenario B'!D41,IF(parameters!$C$27="C",'price scenario C'!D41,'price scenario A'!D41))</f>
        <v>12.429864774934828</v>
      </c>
      <c r="E42" s="82">
        <f>IF(parameters!$C$27="B",'price scenario B'!E41,IF(parameters!$C$27="C",'price scenario C'!E41,'price scenario A'!E41))</f>
        <v>19.642959947773459</v>
      </c>
      <c r="F42" s="82">
        <f>IF(parameters!$C$27="B",'price scenario B'!F41,IF(parameters!$C$27="C",'price scenario C'!F41,'price scenario A'!F41))</f>
        <v>12.010487536403307</v>
      </c>
      <c r="G42" s="82">
        <f>IF(parameters!$C$27="B",'price scenario B'!G41,IF(parameters!$C$27="C",'price scenario C'!G41,'price scenario A'!G41))</f>
        <v>15.579757000000001</v>
      </c>
      <c r="H42" s="82">
        <f>IF(parameters!$C$27="B",'price scenario B'!H41,IF(parameters!$C$27="C",'price scenario C'!H41,'price scenario A'!H41))</f>
        <v>22.408439552400001</v>
      </c>
      <c r="I42" s="367">
        <f>IF(parameters!$C$27="B",'price scenario B'!I41,IF(parameters!$C$27="C",'price scenario C'!I41,'price scenario A'!I41))</f>
        <v>25.975307600000001</v>
      </c>
      <c r="J42" s="82">
        <f>IF(parameters!$C$27="B",'price scenario B'!J41,IF(parameters!$C$27="C",'price scenario C'!J41,'price scenario A'!J41))</f>
        <v>24.002694200000001</v>
      </c>
      <c r="K42" s="542">
        <f>IF(parameters!$C$27="B",'price scenario B'!K41,IF(parameters!$C$27="C",'price scenario C'!K41,'price scenario A'!K41))</f>
        <v>19.642218</v>
      </c>
      <c r="L42" s="541">
        <f>IF(parameters!$C$27="B",'price scenario B'!L41,IF(parameters!$C$27="C",'price scenario C'!L41,'price scenario A'!L41))</f>
        <v>12.897640000000001</v>
      </c>
      <c r="M42" s="82">
        <f>IF(parameters!$C$27="B",'price scenario B'!M41,IF(parameters!$C$27="C",'price scenario C'!M41,'price scenario A'!M41))</f>
        <v>10.876165</v>
      </c>
      <c r="N42" s="82">
        <f>IF(parameters!$C$27="B",'price scenario B'!N41,IF(parameters!$C$27="C",'price scenario C'!N41,'price scenario A'!N41))</f>
        <v>12.881163000000001</v>
      </c>
      <c r="O42" s="82">
        <f>IF(parameters!$C$27="B",'price scenario B'!O41,IF(parameters!$C$27="C",'price scenario C'!O41,'price scenario A'!O41))</f>
        <v>12.578522</v>
      </c>
      <c r="P42" s="82">
        <f>IF(parameters!$C$27="B",'price scenario B'!P41,IF(parameters!$C$27="C",'price scenario C'!P41,'price scenario A'!P41))</f>
        <v>12.866784000000001</v>
      </c>
      <c r="Q42" s="82">
        <f>IF(parameters!$C$27="B",'price scenario B'!Q41,IF(parameters!$C$27="C",'price scenario C'!Q41,'price scenario A'!Q41))</f>
        <v>15.206141000000001</v>
      </c>
      <c r="R42" s="82">
        <f>IF(parameters!$C$27="B",'price scenario B'!R41,IF(parameters!$C$27="C",'price scenario C'!R41,'price scenario A'!R41))</f>
        <v>15.925367</v>
      </c>
      <c r="S42" s="82">
        <f>IF(parameters!$C$27="B",'price scenario B'!S41,IF(parameters!$C$27="C",'price scenario C'!S41,'price scenario A'!S41))</f>
        <v>15.960741000000001</v>
      </c>
      <c r="T42" s="82">
        <f>IF(parameters!$C$27="B",'price scenario B'!T41,IF(parameters!$C$27="C",'price scenario C'!T41,'price scenario A'!T41))</f>
        <v>15.875864999999999</v>
      </c>
      <c r="U42" s="82">
        <f>IF(parameters!$C$27="B",'price scenario B'!U41,IF(parameters!$C$27="C",'price scenario C'!U41,'price scenario A'!U41))</f>
        <v>15.959356</v>
      </c>
      <c r="V42" s="82">
        <f>IF(parameters!$C$27="B",'price scenario B'!V41,IF(parameters!$C$27="C",'price scenario C'!V41,'price scenario A'!V41))</f>
        <v>15.975072000000001</v>
      </c>
      <c r="W42" s="82">
        <f>IF(parameters!$C$27="B",'price scenario B'!W41,IF(parameters!$C$27="C",'price scenario C'!W41,'price scenario A'!W41))</f>
        <v>16.206047000000002</v>
      </c>
      <c r="X42" s="82">
        <f>IF(parameters!$C$27="B",'price scenario B'!X41,IF(parameters!$C$27="C",'price scenario C'!X41,'price scenario A'!X41))</f>
        <v>16.412282999999999</v>
      </c>
      <c r="Y42" s="82">
        <f>IF(parameters!$C$27="B",'price scenario B'!Y41,IF(parameters!$C$27="C",'price scenario C'!Y41,'price scenario A'!Y41))</f>
        <v>16.571037</v>
      </c>
      <c r="Z42" s="82">
        <f>IF(parameters!$C$27="B",'price scenario B'!Z41,IF(parameters!$C$27="C",'price scenario C'!Z41,'price scenario A'!Z41))</f>
        <v>16.871679</v>
      </c>
      <c r="AA42" s="82">
        <f>IF(parameters!$C$27="B",'price scenario B'!AA41,IF(parameters!$C$27="C",'price scenario C'!AA41,'price scenario A'!AA41))</f>
        <v>17.053331</v>
      </c>
      <c r="AB42" s="82">
        <f>IF(parameters!$C$27="B",'price scenario B'!AB41,IF(parameters!$C$27="C",'price scenario C'!AB41,'price scenario A'!AB41))</f>
        <v>17.329453000000001</v>
      </c>
      <c r="AC42" s="82">
        <f>IF(parameters!$C$27="B",'price scenario B'!AC41,IF(parameters!$C$27="C",'price scenario C'!AC41,'price scenario A'!AC41))</f>
        <v>17.468775000000001</v>
      </c>
      <c r="AD42" s="82">
        <f>IF(parameters!$C$27="B",'price scenario B'!AD41,IF(parameters!$C$27="C",'price scenario C'!AD41,'price scenario A'!AD41))</f>
        <v>17.668195999999998</v>
      </c>
      <c r="AE42" s="82">
        <f>IF(parameters!$C$27="B",'price scenario B'!AE41,IF(parameters!$C$27="C",'price scenario C'!AE41,'price scenario A'!AE41))</f>
        <v>17.836690999999998</v>
      </c>
      <c r="AF42" s="82">
        <f>IF(parameters!$C$27="B",'price scenario B'!AF41,IF(parameters!$C$27="C",'price scenario C'!AF41,'price scenario A'!AF41))</f>
        <v>18.031775</v>
      </c>
      <c r="AG42" s="82">
        <f>IF(parameters!$C$27="B",'price scenario B'!AG41,IF(parameters!$C$27="C",'price scenario C'!AG41,'price scenario A'!AG41))</f>
        <v>18.099253000000001</v>
      </c>
      <c r="AH42" s="82">
        <f>IF(parameters!$C$27="B",'price scenario B'!AH41,IF(parameters!$C$27="C",'price scenario C'!AH41,'price scenario A'!AH41))</f>
        <v>18.47315</v>
      </c>
      <c r="AI42" s="82">
        <f>IF(parameters!$C$27="B",'price scenario B'!AI41,IF(parameters!$C$27="C",'price scenario C'!AI41,'price scenario A'!AI41))</f>
        <v>18.612435999999999</v>
      </c>
      <c r="AJ42" s="82">
        <f>IF(parameters!$C$27="B",'price scenario B'!AJ41,IF(parameters!$C$27="C",'price scenario C'!AJ41,'price scenario A'!AJ41))</f>
        <v>18.800241</v>
      </c>
      <c r="AK42" s="82">
        <f>IF(parameters!$C$27="B",'price scenario B'!AK41,IF(parameters!$C$27="C",'price scenario C'!AK41,'price scenario A'!AK41))</f>
        <v>18.958786</v>
      </c>
      <c r="AL42" s="67">
        <v>-8.0000000000000002E-3</v>
      </c>
      <c r="AM42" s="76"/>
      <c r="AN42" s="100">
        <v>8.5987720489502006</v>
      </c>
      <c r="AO42" s="100">
        <v>9.6497325897216797</v>
      </c>
    </row>
    <row r="43" spans="1:41">
      <c r="A43" s="57" t="s">
        <v>26</v>
      </c>
      <c r="B43" s="82">
        <f>IF(parameters!$C$27="B",'price scenario B'!B42,IF(parameters!$C$27="C",'price scenario C'!B42,'price scenario A'!B42))</f>
        <v>8.8587806092391812</v>
      </c>
      <c r="C43" s="82">
        <f>IF(parameters!$C$27="B",'price scenario B'!C42,IF(parameters!$C$27="C",'price scenario C'!C42,'price scenario A'!C42))</f>
        <v>7.2187537219205105</v>
      </c>
      <c r="D43" s="82">
        <f>IF(parameters!$C$27="B",'price scenario B'!D42,IF(parameters!$C$27="C",'price scenario C'!D42,'price scenario A'!D42))</f>
        <v>7.365604152788511</v>
      </c>
      <c r="E43" s="82">
        <f>IF(parameters!$C$27="B",'price scenario B'!E42,IF(parameters!$C$27="C",'price scenario C'!E42,'price scenario A'!E42))</f>
        <v>8.8873175920093885</v>
      </c>
      <c r="F43" s="82">
        <f>IF(parameters!$C$27="B",'price scenario B'!F42,IF(parameters!$C$27="C",'price scenario C'!F42,'price scenario A'!F42))</f>
        <v>4.8130168071388626</v>
      </c>
      <c r="G43" s="82">
        <f>IF(parameters!$C$27="B",'price scenario B'!G42,IF(parameters!$C$27="C",'price scenario C'!G42,'price scenario A'!G42))</f>
        <v>4.9287729999999996</v>
      </c>
      <c r="H43" s="82">
        <f>IF(parameters!$C$27="B",'price scenario B'!H42,IF(parameters!$C$27="C",'price scenario C'!H42,'price scenario A'!H42))</f>
        <v>4.9588802021999996</v>
      </c>
      <c r="I43" s="367">
        <f>IF(parameters!$C$27="B",'price scenario B'!I42,IF(parameters!$C$27="C",'price scenario C'!I42,'price scenario A'!I42))</f>
        <v>3.7503248000000005</v>
      </c>
      <c r="J43" s="82">
        <f>IF(parameters!$C$27="B",'price scenario B'!J42,IF(parameters!$C$27="C",'price scenario C'!J42,'price scenario A'!J42))</f>
        <v>4.4909524000000003</v>
      </c>
      <c r="K43" s="542">
        <f>IF(parameters!$C$27="B",'price scenario B'!K42,IF(parameters!$C$27="C",'price scenario C'!K42,'price scenario A'!K42))</f>
        <v>4.9945050000000002</v>
      </c>
      <c r="L43" s="541">
        <f>IF(parameters!$C$27="B",'price scenario B'!L42,IF(parameters!$C$27="C",'price scenario C'!L42,'price scenario A'!L42))</f>
        <v>3.309901</v>
      </c>
      <c r="M43" s="82">
        <f>IF(parameters!$C$27="B",'price scenario B'!M42,IF(parameters!$C$27="C",'price scenario C'!M42,'price scenario A'!M42))</f>
        <v>2.869831</v>
      </c>
      <c r="N43" s="82">
        <f>IF(parameters!$C$27="B",'price scenario B'!N42,IF(parameters!$C$27="C",'price scenario C'!N42,'price scenario A'!N42))</f>
        <v>3.5221909999999998</v>
      </c>
      <c r="O43" s="82">
        <f>IF(parameters!$C$27="B",'price scenario B'!O42,IF(parameters!$C$27="C",'price scenario C'!O42,'price scenario A'!O42))</f>
        <v>3.6653660000000001</v>
      </c>
      <c r="P43" s="82">
        <f>IF(parameters!$C$27="B",'price scenario B'!P42,IF(parameters!$C$27="C",'price scenario C'!P42,'price scenario A'!P42))</f>
        <v>3.9935930000000002</v>
      </c>
      <c r="Q43" s="82">
        <f>IF(parameters!$C$27="B",'price scenario B'!Q42,IF(parameters!$C$27="C",'price scenario C'!Q42,'price scenario A'!Q42))</f>
        <v>4.1115579999999996</v>
      </c>
      <c r="R43" s="82">
        <f>IF(parameters!$C$27="B",'price scenario B'!R42,IF(parameters!$C$27="C",'price scenario C'!R42,'price scenario A'!R42))</f>
        <v>4.0973329999999999</v>
      </c>
      <c r="S43" s="82">
        <f>IF(parameters!$C$27="B",'price scenario B'!S42,IF(parameters!$C$27="C",'price scenario C'!S42,'price scenario A'!S42))</f>
        <v>4.0989449999999996</v>
      </c>
      <c r="T43" s="82">
        <f>IF(parameters!$C$27="B",'price scenario B'!T42,IF(parameters!$C$27="C",'price scenario C'!T42,'price scenario A'!T42))</f>
        <v>4.2030019999999997</v>
      </c>
      <c r="U43" s="82">
        <f>IF(parameters!$C$27="B",'price scenario B'!U42,IF(parameters!$C$27="C",'price scenario C'!U42,'price scenario A'!U42))</f>
        <v>4.3184279999999999</v>
      </c>
      <c r="V43" s="82">
        <f>IF(parameters!$C$27="B",'price scenario B'!V42,IF(parameters!$C$27="C",'price scenario C'!V42,'price scenario A'!V42))</f>
        <v>4.512079</v>
      </c>
      <c r="W43" s="82">
        <f>IF(parameters!$C$27="B",'price scenario B'!W42,IF(parameters!$C$27="C",'price scenario C'!W42,'price scenario A'!W42))</f>
        <v>4.587955</v>
      </c>
      <c r="X43" s="82">
        <f>IF(parameters!$C$27="B",'price scenario B'!X42,IF(parameters!$C$27="C",'price scenario C'!X42,'price scenario A'!X42))</f>
        <v>4.6374139999999997</v>
      </c>
      <c r="Y43" s="82">
        <f>IF(parameters!$C$27="B",'price scenario B'!Y42,IF(parameters!$C$27="C",'price scenario C'!Y42,'price scenario A'!Y42))</f>
        <v>4.637664</v>
      </c>
      <c r="Z43" s="82">
        <f>IF(parameters!$C$27="B",'price scenario B'!Z42,IF(parameters!$C$27="C",'price scenario C'!Z42,'price scenario A'!Z42))</f>
        <v>4.6823829999999997</v>
      </c>
      <c r="AA43" s="82">
        <f>IF(parameters!$C$27="B",'price scenario B'!AA42,IF(parameters!$C$27="C",'price scenario C'!AA42,'price scenario A'!AA42))</f>
        <v>4.6543890000000001</v>
      </c>
      <c r="AB43" s="82">
        <f>IF(parameters!$C$27="B",'price scenario B'!AB42,IF(parameters!$C$27="C",'price scenario C'!AB42,'price scenario A'!AB42))</f>
        <v>4.6178860000000004</v>
      </c>
      <c r="AC43" s="82">
        <f>IF(parameters!$C$27="B",'price scenario B'!AC42,IF(parameters!$C$27="C",'price scenario C'!AC42,'price scenario A'!AC42))</f>
        <v>4.6293600000000001</v>
      </c>
      <c r="AD43" s="82">
        <f>IF(parameters!$C$27="B",'price scenario B'!AD42,IF(parameters!$C$27="C",'price scenario C'!AD42,'price scenario A'!AD42))</f>
        <v>4.6212980000000003</v>
      </c>
      <c r="AE43" s="82">
        <f>IF(parameters!$C$27="B",'price scenario B'!AE42,IF(parameters!$C$27="C",'price scenario C'!AE42,'price scenario A'!AE42))</f>
        <v>4.6548020000000001</v>
      </c>
      <c r="AF43" s="82">
        <f>IF(parameters!$C$27="B",'price scenario B'!AF42,IF(parameters!$C$27="C",'price scenario C'!AF42,'price scenario A'!AF42))</f>
        <v>4.6575670000000002</v>
      </c>
      <c r="AG43" s="82">
        <f>IF(parameters!$C$27="B",'price scenario B'!AG42,IF(parameters!$C$27="C",'price scenario C'!AG42,'price scenario A'!AG42))</f>
        <v>4.7763970000000002</v>
      </c>
      <c r="AH43" s="82">
        <f>IF(parameters!$C$27="B",'price scenario B'!AH42,IF(parameters!$C$27="C",'price scenario C'!AH42,'price scenario A'!AH42))</f>
        <v>4.7860870000000002</v>
      </c>
      <c r="AI43" s="82">
        <f>IF(parameters!$C$27="B",'price scenario B'!AI42,IF(parameters!$C$27="C",'price scenario C'!AI42,'price scenario A'!AI42))</f>
        <v>4.8522790000000002</v>
      </c>
      <c r="AJ43" s="82">
        <f>IF(parameters!$C$27="B",'price scenario B'!AJ42,IF(parameters!$C$27="C",'price scenario C'!AJ42,'price scenario A'!AJ42))</f>
        <v>4.9156009999999997</v>
      </c>
      <c r="AK43" s="82">
        <f>IF(parameters!$C$27="B",'price scenario B'!AK42,IF(parameters!$C$27="C",'price scenario C'!AK42,'price scenario A'!AK42))</f>
        <v>4.9647699999999997</v>
      </c>
      <c r="AL43" s="67">
        <v>2.8000000000000001E-2</v>
      </c>
      <c r="AM43" s="76"/>
      <c r="AN43" s="100">
        <v>7.42378902435303</v>
      </c>
      <c r="AO43" s="100">
        <v>6.0494222640991202</v>
      </c>
    </row>
    <row r="44" spans="1:41">
      <c r="A44" s="57" t="s">
        <v>41</v>
      </c>
      <c r="B44" s="82">
        <f>IF(parameters!$C$27="B",'price scenario B'!B43,IF(parameters!$C$27="C",'price scenario C'!B43,'price scenario A'!B43))</f>
        <v>1.7320665011297836</v>
      </c>
      <c r="C44" s="82">
        <f>IF(parameters!$C$27="B",'price scenario B'!C43,IF(parameters!$C$27="C",'price scenario C'!C43,'price scenario A'!C43))</f>
        <v>1.9023175526905256</v>
      </c>
      <c r="D44" s="82">
        <f>IF(parameters!$C$27="B",'price scenario B'!D43,IF(parameters!$C$27="C",'price scenario C'!D43,'price scenario A'!D43))</f>
        <v>2.1303159268487466</v>
      </c>
      <c r="E44" s="82">
        <f>IF(parameters!$C$27="B",'price scenario B'!E43,IF(parameters!$C$27="C",'price scenario C'!E43,'price scenario A'!E43))</f>
        <v>2.6336036357309429</v>
      </c>
      <c r="F44" s="82">
        <f>IF(parameters!$C$27="B",'price scenario B'!F43,IF(parameters!$C$27="C",'price scenario C'!F43,'price scenario A'!F43))</f>
        <v>2.7189923274487202</v>
      </c>
      <c r="G44" s="82">
        <f>IF(parameters!$C$27="B",'price scenario B'!G43,IF(parameters!$C$27="C",'price scenario C'!G43,'price scenario A'!G43))</f>
        <v>1.8096479999999999</v>
      </c>
      <c r="H44" s="82">
        <f>IF(parameters!$C$27="B",'price scenario B'!H43,IF(parameters!$C$27="C",'price scenario C'!H43,'price scenario A'!H43))</f>
        <v>2.0108612675999997</v>
      </c>
      <c r="I44" s="367">
        <f>IF(parameters!$C$27="B",'price scenario B'!I43,IF(parameters!$C$27="C",'price scenario C'!I43,'price scenario A'!I43))</f>
        <v>1.9531232000000001</v>
      </c>
      <c r="J44" s="82">
        <f>IF(parameters!$C$27="B",'price scenario B'!J43,IF(parameters!$C$27="C",'price scenario C'!J43,'price scenario A'!J43))</f>
        <v>2.0813481999999999</v>
      </c>
      <c r="K44" s="542">
        <f>IF(parameters!$C$27="B",'price scenario B'!K43,IF(parameters!$C$27="C",'price scenario C'!K43,'price scenario A'!K43))</f>
        <v>2.1933699999999998</v>
      </c>
      <c r="L44" s="541">
        <f>IF(parameters!$C$27="B",'price scenario B'!L43,IF(parameters!$C$27="C",'price scenario C'!L43,'price scenario A'!L43))</f>
        <v>2.1289380000000002</v>
      </c>
      <c r="M44" s="82">
        <f>IF(parameters!$C$27="B",'price scenario B'!M43,IF(parameters!$C$27="C",'price scenario C'!M43,'price scenario A'!M43))</f>
        <v>1.982037</v>
      </c>
      <c r="N44" s="82">
        <f>IF(parameters!$C$27="B",'price scenario B'!N43,IF(parameters!$C$27="C",'price scenario C'!N43,'price scenario A'!N43))</f>
        <v>1.9679260000000001</v>
      </c>
      <c r="O44" s="82">
        <f>IF(parameters!$C$27="B",'price scenario B'!O43,IF(parameters!$C$27="C",'price scenario C'!O43,'price scenario A'!O43))</f>
        <v>2.0186760000000001</v>
      </c>
      <c r="P44" s="82">
        <f>IF(parameters!$C$27="B",'price scenario B'!P43,IF(parameters!$C$27="C",'price scenario C'!P43,'price scenario A'!P43))</f>
        <v>2.0662739999999999</v>
      </c>
      <c r="Q44" s="82">
        <f>IF(parameters!$C$27="B",'price scenario B'!Q43,IF(parameters!$C$27="C",'price scenario C'!Q43,'price scenario A'!Q43))</f>
        <v>2.0936949999999999</v>
      </c>
      <c r="R44" s="82">
        <f>IF(parameters!$C$27="B",'price scenario B'!R43,IF(parameters!$C$27="C",'price scenario C'!R43,'price scenario A'!R43))</f>
        <v>2.1236060000000001</v>
      </c>
      <c r="S44" s="82">
        <f>IF(parameters!$C$27="B",'price scenario B'!S43,IF(parameters!$C$27="C",'price scenario C'!S43,'price scenario A'!S43))</f>
        <v>2.144952</v>
      </c>
      <c r="T44" s="82">
        <f>IF(parameters!$C$27="B",'price scenario B'!T43,IF(parameters!$C$27="C",'price scenario C'!T43,'price scenario A'!T43))</f>
        <v>2.1558920000000001</v>
      </c>
      <c r="U44" s="82">
        <f>IF(parameters!$C$27="B",'price scenario B'!U43,IF(parameters!$C$27="C",'price scenario C'!U43,'price scenario A'!U43))</f>
        <v>2.1855159999999998</v>
      </c>
      <c r="V44" s="82">
        <f>IF(parameters!$C$27="B",'price scenario B'!V43,IF(parameters!$C$27="C",'price scenario C'!V43,'price scenario A'!V43))</f>
        <v>2.219379</v>
      </c>
      <c r="W44" s="82">
        <f>IF(parameters!$C$27="B",'price scenario B'!W43,IF(parameters!$C$27="C",'price scenario C'!W43,'price scenario A'!W43))</f>
        <v>2.232853</v>
      </c>
      <c r="X44" s="82">
        <f>IF(parameters!$C$27="B",'price scenario B'!X43,IF(parameters!$C$27="C",'price scenario C'!X43,'price scenario A'!X43))</f>
        <v>2.2487349999999999</v>
      </c>
      <c r="Y44" s="82">
        <f>IF(parameters!$C$27="B",'price scenario B'!Y43,IF(parameters!$C$27="C",'price scenario C'!Y43,'price scenario A'!Y43))</f>
        <v>2.2623799999999998</v>
      </c>
      <c r="Z44" s="82">
        <f>IF(parameters!$C$27="B",'price scenario B'!Z43,IF(parameters!$C$27="C",'price scenario C'!Z43,'price scenario A'!Z43))</f>
        <v>2.274702</v>
      </c>
      <c r="AA44" s="82">
        <f>IF(parameters!$C$27="B",'price scenario B'!AA43,IF(parameters!$C$27="C",'price scenario C'!AA43,'price scenario A'!AA43))</f>
        <v>2.2924349999999998</v>
      </c>
      <c r="AB44" s="82">
        <f>IF(parameters!$C$27="B",'price scenario B'!AB43,IF(parameters!$C$27="C",'price scenario C'!AB43,'price scenario A'!AB43))</f>
        <v>2.3110539999999999</v>
      </c>
      <c r="AC44" s="82">
        <f>IF(parameters!$C$27="B",'price scenario B'!AC43,IF(parameters!$C$27="C",'price scenario C'!AC43,'price scenario A'!AC43))</f>
        <v>2.318451</v>
      </c>
      <c r="AD44" s="82">
        <f>IF(parameters!$C$27="B",'price scenario B'!AD43,IF(parameters!$C$27="C",'price scenario C'!AD43,'price scenario A'!AD43))</f>
        <v>2.331572</v>
      </c>
      <c r="AE44" s="82">
        <f>IF(parameters!$C$27="B",'price scenario B'!AE43,IF(parameters!$C$27="C",'price scenario C'!AE43,'price scenario A'!AE43))</f>
        <v>2.361453</v>
      </c>
      <c r="AF44" s="82">
        <f>IF(parameters!$C$27="B",'price scenario B'!AF43,IF(parameters!$C$27="C",'price scenario C'!AF43,'price scenario A'!AF43))</f>
        <v>2.4003760000000001</v>
      </c>
      <c r="AG44" s="82">
        <f>IF(parameters!$C$27="B",'price scenario B'!AG43,IF(parameters!$C$27="C",'price scenario C'!AG43,'price scenario A'!AG43))</f>
        <v>2.43004</v>
      </c>
      <c r="AH44" s="82">
        <f>IF(parameters!$C$27="B",'price scenario B'!AH43,IF(parameters!$C$27="C",'price scenario C'!AH43,'price scenario A'!AH43))</f>
        <v>2.4708830000000002</v>
      </c>
      <c r="AI44" s="82">
        <f>IF(parameters!$C$27="B",'price scenario B'!AI43,IF(parameters!$C$27="C",'price scenario C'!AI43,'price scenario A'!AI43))</f>
        <v>2.4924710000000001</v>
      </c>
      <c r="AJ44" s="82">
        <f>IF(parameters!$C$27="B",'price scenario B'!AJ43,IF(parameters!$C$27="C",'price scenario C'!AJ43,'price scenario A'!AJ43))</f>
        <v>2.5183209999999998</v>
      </c>
      <c r="AK44" s="82">
        <f>IF(parameters!$C$27="B",'price scenario B'!AK43,IF(parameters!$C$27="C",'price scenario C'!AK43,'price scenario A'!AK43))</f>
        <v>2.5259299999999998</v>
      </c>
      <c r="AL44" s="67">
        <v>1.2999999999999999E-2</v>
      </c>
      <c r="AM44" s="76"/>
      <c r="AN44" s="100">
        <v>1.4514973163604701</v>
      </c>
      <c r="AO44" s="100">
        <v>1.5941702127456701</v>
      </c>
    </row>
    <row r="45" spans="1:41">
      <c r="A45" s="77" t="s">
        <v>1387</v>
      </c>
      <c r="B45" s="444">
        <f>B44/B43</f>
        <v>0.19551974222313862</v>
      </c>
      <c r="C45" s="444">
        <f t="shared" ref="C45:L45" si="0">C44/C43</f>
        <v>0.26352437359290104</v>
      </c>
      <c r="D45" s="444">
        <f t="shared" si="0"/>
        <v>0.28922487316159123</v>
      </c>
      <c r="E45" s="444">
        <f t="shared" si="0"/>
        <v>0.29633279203376539</v>
      </c>
      <c r="F45" s="444">
        <f t="shared" si="0"/>
        <v>0.56492475227092498</v>
      </c>
      <c r="G45" s="444">
        <f t="shared" si="0"/>
        <v>0.36715994021230031</v>
      </c>
      <c r="H45" s="444">
        <f t="shared" si="0"/>
        <v>0.40550712773982406</v>
      </c>
      <c r="I45" s="444">
        <f t="shared" si="0"/>
        <v>0.52078774617067825</v>
      </c>
      <c r="J45" s="444">
        <f t="shared" si="0"/>
        <v>0.46345363179534027</v>
      </c>
      <c r="K45" s="444">
        <f t="shared" si="0"/>
        <v>0.43915663313982062</v>
      </c>
      <c r="L45" s="541">
        <f t="shared" si="0"/>
        <v>0.64320292359197462</v>
      </c>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row>
    <row r="46" spans="1:41" s="671" customFormat="1">
      <c r="A46" s="156" t="s">
        <v>1332</v>
      </c>
      <c r="B46" s="444"/>
      <c r="C46" s="672">
        <f t="shared" ref="C46:L46" si="1">(C45-$B45)/$B45</f>
        <v>0.34781465337731238</v>
      </c>
      <c r="D46" s="672">
        <f t="shared" si="1"/>
        <v>0.4792617352753607</v>
      </c>
      <c r="E46" s="672">
        <f t="shared" si="1"/>
        <v>0.5156157054236139</v>
      </c>
      <c r="F46" s="672">
        <f t="shared" si="1"/>
        <v>1.88934890076829</v>
      </c>
      <c r="G46" s="672">
        <f t="shared" si="1"/>
        <v>0.87786632714192014</v>
      </c>
      <c r="H46" s="672">
        <f t="shared" si="1"/>
        <v>1.0739958181667175</v>
      </c>
      <c r="I46" s="672">
        <f t="shared" si="1"/>
        <v>1.6636069598349035</v>
      </c>
      <c r="J46" s="672">
        <f t="shared" si="1"/>
        <v>1.370367444871218</v>
      </c>
      <c r="K46" s="672">
        <f t="shared" si="1"/>
        <v>1.2460986708883304</v>
      </c>
      <c r="L46" s="673">
        <f t="shared" si="1"/>
        <v>2.2897083244816967</v>
      </c>
      <c r="M46" s="702">
        <f>AVERAGE(H46:L46)</f>
        <v>1.5287554436485733</v>
      </c>
      <c r="N46" s="278" t="s">
        <v>1318</v>
      </c>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row>
    <row r="47" spans="1:41">
      <c r="A47" s="77" t="s">
        <v>1333</v>
      </c>
      <c r="B47" s="76"/>
      <c r="C47" s="672">
        <f>(C45-B45)/B45</f>
        <v>0.34781465337731238</v>
      </c>
      <c r="D47" s="672">
        <f t="shared" ref="D47:L47" si="2">(D45-C45)/C45</f>
        <v>9.7526081623072025E-2</v>
      </c>
      <c r="E47" s="672">
        <f t="shared" si="2"/>
        <v>2.45757524049563E-2</v>
      </c>
      <c r="F47" s="672">
        <f t="shared" si="2"/>
        <v>0.90638622338683028</v>
      </c>
      <c r="G47" s="672">
        <f t="shared" si="2"/>
        <v>-0.35007283937132427</v>
      </c>
      <c r="H47" s="672">
        <f t="shared" si="2"/>
        <v>0.10444273279201029</v>
      </c>
      <c r="I47" s="672">
        <f t="shared" si="2"/>
        <v>0.28428752676529762</v>
      </c>
      <c r="J47" s="672">
        <f t="shared" si="2"/>
        <v>-0.11009113558625823</v>
      </c>
      <c r="K47" s="672">
        <f t="shared" si="2"/>
        <v>-5.242595372787829E-2</v>
      </c>
      <c r="L47" s="673">
        <f t="shared" si="2"/>
        <v>0.46463214956652799</v>
      </c>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row>
    <row r="48" spans="1:41" s="671" customFormat="1">
      <c r="B48" s="320"/>
      <c r="C48" s="320"/>
      <c r="D48" s="320"/>
      <c r="E48" s="320"/>
      <c r="F48" s="320"/>
      <c r="G48" s="320"/>
      <c r="H48" s="320"/>
      <c r="I48" s="320"/>
      <c r="J48" s="320"/>
      <c r="K48" s="320"/>
      <c r="L48" s="688"/>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row>
    <row r="49" spans="1:41" s="671" customFormat="1">
      <c r="A49" s="439" t="s">
        <v>1320</v>
      </c>
      <c r="B49" s="320"/>
      <c r="C49" s="320"/>
      <c r="D49" s="320"/>
      <c r="E49" s="320"/>
      <c r="F49" s="320"/>
      <c r="G49" s="320"/>
      <c r="H49" s="320"/>
      <c r="I49" s="320"/>
      <c r="J49" s="320"/>
      <c r="K49" s="320"/>
      <c r="L49" s="688"/>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c r="AM49" s="320"/>
      <c r="AN49" s="320"/>
      <c r="AO49" s="320"/>
    </row>
    <row r="50" spans="1:41">
      <c r="A50" s="77" t="s">
        <v>466</v>
      </c>
      <c r="B50" s="68">
        <f>B44*'Baseline Consumption'!B81/1000</f>
        <v>17.966725816219245</v>
      </c>
      <c r="C50" s="68">
        <f>C44*'Baseline Consumption'!C81/1000</f>
        <v>19.69088898789963</v>
      </c>
      <c r="D50" s="68">
        <f>D44*'Baseline Consumption'!D81/1000</f>
        <v>22.102027741055746</v>
      </c>
      <c r="E50" s="68">
        <f>E44*'Baseline Consumption'!E81/1000</f>
        <v>27.331538531615728</v>
      </c>
      <c r="F50" s="68">
        <f>F44*'Baseline Consumption'!F81/1000</f>
        <v>28.315586098050971</v>
      </c>
      <c r="G50" s="68">
        <f>G44*'Baseline Consumption'!G81/1000</f>
        <v>18.847483919999998</v>
      </c>
      <c r="H50" s="68">
        <f>H44*'Baseline Consumption'!H81/1000</f>
        <v>21.001435078814396</v>
      </c>
      <c r="I50" s="68">
        <f>I44*'Baseline Consumption'!I81/1000</f>
        <v>20.5038873536</v>
      </c>
      <c r="J50" s="68">
        <f>J44*'Baseline Consumption'!J81/1000</f>
        <v>21.768820823799999</v>
      </c>
      <c r="K50" s="68">
        <f>K44*'Baseline Consumption'!K81/1000</f>
        <v>22.872462359999997</v>
      </c>
      <c r="L50" s="438">
        <f>L44*'Baseline Consumption'!L81/1000</f>
        <v>22.287000346800003</v>
      </c>
      <c r="M50" s="68">
        <f>M44*'Baseline Consumption'!M81/1000</f>
        <v>20.752323797399999</v>
      </c>
      <c r="N50" s="68">
        <f>N44*'Baseline Consumption'!N81/1000</f>
        <v>20.589386416480004</v>
      </c>
      <c r="O50" s="68">
        <f>O44*'Baseline Consumption'!O81/1000</f>
        <v>21.103319651040003</v>
      </c>
      <c r="P50" s="68">
        <f>P44*'Baseline Consumption'!P81/1000</f>
        <v>21.623717201856007</v>
      </c>
      <c r="Q50" s="68">
        <f>Q44*'Baseline Consumption'!Q81/1000</f>
        <v>21.924053680542222</v>
      </c>
      <c r="R50" s="68">
        <f>R44*'Baseline Consumption'!R81/1000</f>
        <v>22.222181960832838</v>
      </c>
      <c r="S50" s="68">
        <f>S44*'Baseline Consumption'!S81/1000</f>
        <v>22.447961366385783</v>
      </c>
      <c r="T50" s="68">
        <f>T44*'Baseline Consumption'!T81/1000</f>
        <v>22.570153138231511</v>
      </c>
      <c r="U50" s="68">
        <f>U44*'Baseline Consumption'!U81/1000</f>
        <v>22.886359831292133</v>
      </c>
      <c r="V50" s="68">
        <f>V44*'Baseline Consumption'!V81/1000</f>
        <v>23.238334404698069</v>
      </c>
      <c r="W50" s="68">
        <f>W44*'Baseline Consumption'!W81/1000</f>
        <v>23.380198490872324</v>
      </c>
      <c r="X50" s="68">
        <f>X44*'Baseline Consumption'!X81/1000</f>
        <v>23.552968211659291</v>
      </c>
      <c r="Y50" s="68">
        <f>Y44*'Baseline Consumption'!Y81/1000</f>
        <v>23.698372954222833</v>
      </c>
      <c r="Z50" s="68">
        <f>Z44*'Baseline Consumption'!Z81/1000</f>
        <v>23.828649898508885</v>
      </c>
      <c r="AA50" s="68">
        <f>AA44*'Baseline Consumption'!AA81/1000</f>
        <v>24.016450057564718</v>
      </c>
      <c r="AB50" s="68">
        <f>AB44*'Baseline Consumption'!AB81/1000</f>
        <v>24.215377888636638</v>
      </c>
      <c r="AC50" s="68">
        <f>AC44*'Baseline Consumption'!AC81/1000</f>
        <v>24.295770032309655</v>
      </c>
      <c r="AD50" s="68">
        <f>AD44*'Baseline Consumption'!AD81/1000</f>
        <v>24.435082110117666</v>
      </c>
      <c r="AE50" s="68">
        <f>AE44*'Baseline Consumption'!AE81/1000</f>
        <v>24.750994837991641</v>
      </c>
      <c r="AF50" s="68">
        <f>AF44*'Baseline Consumption'!AF81/1000</f>
        <v>25.162052698245137</v>
      </c>
      <c r="AG50" s="68">
        <f>AG44*'Baseline Consumption'!AG81/1000</f>
        <v>25.475863609243678</v>
      </c>
      <c r="AH50" s="68">
        <f>AH44*'Baseline Consumption'!AH81/1000</f>
        <v>25.906582779019896</v>
      </c>
      <c r="AI50" s="68">
        <f>AI44*'Baseline Consumption'!AI81/1000</f>
        <v>26.135756620910563</v>
      </c>
      <c r="AJ50" s="68">
        <f>AJ44*'Baseline Consumption'!AJ81/1000</f>
        <v>26.409888034026437</v>
      </c>
      <c r="AK50" s="68">
        <f>AK44*'Baseline Consumption'!AK81/1000</f>
        <v>26.492547021605279</v>
      </c>
    </row>
    <row r="51" spans="1:41">
      <c r="A51" s="77" t="s">
        <v>513</v>
      </c>
      <c r="B51" s="68">
        <f>B43*'Baseline Consumption'!B82/1000</f>
        <v>75.75143298960424</v>
      </c>
      <c r="C51" s="68">
        <f>C43*'Baseline Consumption'!C82/1000</f>
        <v>61.150062778388644</v>
      </c>
      <c r="D51" s="68">
        <f>D43*'Baseline Consumption'!D82/1000</f>
        <v>61.893171695881861</v>
      </c>
      <c r="E51" s="68">
        <f>E43*'Baseline Consumption'!E82/1000</f>
        <v>73.809172601637968</v>
      </c>
      <c r="F51" s="68">
        <f>F43*'Baseline Consumption'!F82/1000</f>
        <v>39.269404129445981</v>
      </c>
      <c r="G51" s="68">
        <f>G43*'Baseline Consumption'!G82/1000</f>
        <v>40.342007004999999</v>
      </c>
      <c r="H51" s="68">
        <f>H43*'Baseline Consumption'!H82/1000</f>
        <v>40.424791408334393</v>
      </c>
      <c r="I51" s="68">
        <f>I43*'Baseline Consumption'!I82/1000</f>
        <v>30.148861067200002</v>
      </c>
      <c r="J51" s="68">
        <f>J43*'Baseline Consumption'!J82/1000</f>
        <v>35.694089675200004</v>
      </c>
      <c r="K51" s="68">
        <f>K43*'Baseline Consumption'!K82/1000</f>
        <v>39.491551035000001</v>
      </c>
      <c r="L51" s="438">
        <f>L43*'Baseline Consumption'!L82/1000</f>
        <v>26.119044432585998</v>
      </c>
      <c r="M51" s="68">
        <f>M43*'Baseline Consumption'!M82/1000</f>
        <v>22.601077469146869</v>
      </c>
      <c r="N51" s="68">
        <f>N43*'Baseline Consumption'!N82/1000</f>
        <v>27.683198428349129</v>
      </c>
      <c r="O51" s="68">
        <f>O43*'Baseline Consumption'!O82/1000</f>
        <v>28.750887212517235</v>
      </c>
      <c r="P51" s="68">
        <f>P43*'Baseline Consumption'!P82/1000</f>
        <v>31.26282702242203</v>
      </c>
      <c r="Q51" s="68">
        <f>Q43*'Baseline Consumption'!Q82/1000</f>
        <v>32.121913448256279</v>
      </c>
      <c r="R51" s="68">
        <f>R43*'Baseline Consumption'!R82/1000</f>
        <v>31.94675780876614</v>
      </c>
      <c r="S51" s="68">
        <f>S43*'Baseline Consumption'!S82/1000</f>
        <v>31.895407861670016</v>
      </c>
      <c r="T51" s="68">
        <f>T43*'Baseline Consumption'!T82/1000</f>
        <v>32.639703657245455</v>
      </c>
      <c r="U51" s="68">
        <f>U43*'Baseline Consumption'!U82/1000</f>
        <v>33.469007572392513</v>
      </c>
      <c r="V51" s="68">
        <f>V43*'Baseline Consumption'!V82/1000</f>
        <v>34.899916498734441</v>
      </c>
      <c r="W51" s="68">
        <f>W43*'Baseline Consumption'!W82/1000</f>
        <v>35.415826696995175</v>
      </c>
      <c r="X51" s="68">
        <f>X43*'Baseline Consumption'!X82/1000</f>
        <v>35.726020600709191</v>
      </c>
      <c r="Y51" s="68">
        <f>Y43*'Baseline Consumption'!Y82/1000</f>
        <v>35.656490674320011</v>
      </c>
      <c r="Z51" s="68">
        <f>Z43*'Baseline Consumption'!Z82/1000</f>
        <v>35.928310261706827</v>
      </c>
      <c r="AA51" s="68">
        <f>AA43*'Baseline Consumption'!AA82/1000</f>
        <v>35.642082974958278</v>
      </c>
      <c r="AB51" s="68">
        <f>AB43*'Baseline Consumption'!AB82/1000</f>
        <v>35.291827526435029</v>
      </c>
      <c r="AC51" s="68">
        <f>AC43*'Baseline Consumption'!AC82/1000</f>
        <v>35.30875762814884</v>
      </c>
      <c r="AD51" s="68">
        <f>AD43*'Baseline Consumption'!AD82/1000</f>
        <v>35.176773123591609</v>
      </c>
      <c r="AE51" s="68">
        <f>AE43*'Baseline Consumption'!AE82/1000</f>
        <v>35.360938000852137</v>
      </c>
      <c r="AF51" s="68">
        <f>AF43*'Baseline Consumption'!AF82/1000</f>
        <v>35.311178874197282</v>
      </c>
      <c r="AG51" s="68">
        <f>AG43*'Baseline Consumption'!AG82/1000</f>
        <v>36.139660132317353</v>
      </c>
      <c r="AH51" s="68">
        <f>AH43*'Baseline Consumption'!AH82/1000</f>
        <v>36.140551639366436</v>
      </c>
      <c r="AI51" s="68">
        <f>AI43*'Baseline Consumption'!AI82/1000</f>
        <v>36.567097858559016</v>
      </c>
      <c r="AJ51" s="68">
        <f>AJ43*'Baseline Consumption'!AJ82/1000</f>
        <v>36.970208076458341</v>
      </c>
      <c r="AK51" s="68">
        <f>AK43*'Baseline Consumption'!AK82/1000</f>
        <v>37.265327839231574</v>
      </c>
    </row>
    <row r="52" spans="1:41">
      <c r="A52" s="77" t="s">
        <v>1151</v>
      </c>
      <c r="B52" s="68">
        <f>B43*'Baseline Consumption'!B82/1000</f>
        <v>75.75143298960424</v>
      </c>
      <c r="C52" s="68">
        <f>C43*'Baseline Consumption'!C82/1000</f>
        <v>61.150062778388644</v>
      </c>
      <c r="D52" s="68">
        <f>D43*'Baseline Consumption'!D82/1000</f>
        <v>61.893171695881861</v>
      </c>
      <c r="E52" s="68">
        <f>E43*'Baseline Consumption'!E82/1000</f>
        <v>73.809172601637968</v>
      </c>
      <c r="F52" s="68">
        <f>F43*'Baseline Consumption'!F82/1000</f>
        <v>39.269404129445981</v>
      </c>
      <c r="G52" s="68">
        <f>G43*'Baseline Consumption'!G82/1000</f>
        <v>40.342007004999999</v>
      </c>
      <c r="H52" s="68">
        <f>H43*'Baseline Consumption'!H82/1000</f>
        <v>40.424791408334393</v>
      </c>
      <c r="I52" s="68">
        <f>I43*'Baseline Consumption'!I82/1000</f>
        <v>30.148861067200002</v>
      </c>
      <c r="J52" s="68">
        <f>J43*'Baseline Consumption'!J82/1000</f>
        <v>35.694089675200004</v>
      </c>
      <c r="K52" s="68">
        <f>K43*'Baseline Consumption'!K82/1000</f>
        <v>39.491551035000001</v>
      </c>
      <c r="L52" s="438">
        <f>L43*'Baseline Consumption'!L82/1000</f>
        <v>26.119044432585998</v>
      </c>
      <c r="M52" s="68">
        <f>M43*'Baseline Consumption'!M82/1000</f>
        <v>22.601077469146869</v>
      </c>
      <c r="N52" s="68">
        <f>N43*'Baseline Consumption'!N82/1000</f>
        <v>27.683198428349129</v>
      </c>
      <c r="O52" s="68">
        <f>O43*'Baseline Consumption'!O82/1000</f>
        <v>28.750887212517235</v>
      </c>
      <c r="P52" s="68">
        <f>P43*'Baseline Consumption'!P82/1000</f>
        <v>31.26282702242203</v>
      </c>
      <c r="Q52" s="68">
        <f>Q43*'Baseline Consumption'!Q82/1000</f>
        <v>32.121913448256279</v>
      </c>
      <c r="R52" s="68">
        <f>R43*'Baseline Consumption'!R82/1000</f>
        <v>31.94675780876614</v>
      </c>
      <c r="S52" s="68">
        <f>S43*'Baseline Consumption'!S82/1000</f>
        <v>31.895407861670016</v>
      </c>
      <c r="T52" s="68">
        <f>T43*'Baseline Consumption'!T82/1000</f>
        <v>32.639703657245455</v>
      </c>
      <c r="U52" s="68">
        <f>U43*'Baseline Consumption'!U82/1000</f>
        <v>33.469007572392513</v>
      </c>
      <c r="V52" s="68">
        <f>V43*'Baseline Consumption'!V82/1000</f>
        <v>34.899916498734441</v>
      </c>
      <c r="W52" s="68">
        <f>W43*'Baseline Consumption'!W82/1000</f>
        <v>35.415826696995175</v>
      </c>
      <c r="X52" s="68">
        <f>X43*'Baseline Consumption'!X82/1000</f>
        <v>35.726020600709191</v>
      </c>
      <c r="Y52" s="68">
        <f>Y43*'Baseline Consumption'!Y82/1000</f>
        <v>35.656490674320011</v>
      </c>
      <c r="Z52" s="68">
        <f>Z43*'Baseline Consumption'!Z82/1000</f>
        <v>35.928310261706827</v>
      </c>
      <c r="AA52" s="68">
        <f>AA43*'Baseline Consumption'!AA82/1000</f>
        <v>35.642082974958278</v>
      </c>
      <c r="AB52" s="68">
        <f>AB43*'Baseline Consumption'!AB82/1000</f>
        <v>35.291827526435029</v>
      </c>
      <c r="AC52" s="68">
        <f>AC43*'Baseline Consumption'!AC82/1000</f>
        <v>35.30875762814884</v>
      </c>
      <c r="AD52" s="68">
        <f>AD43*'Baseline Consumption'!AD82/1000</f>
        <v>35.176773123591609</v>
      </c>
      <c r="AE52" s="68">
        <f>AE43*'Baseline Consumption'!AE82/1000</f>
        <v>35.360938000852137</v>
      </c>
      <c r="AF52" s="68">
        <f>AF43*'Baseline Consumption'!AF82/1000</f>
        <v>35.311178874197282</v>
      </c>
      <c r="AG52" s="68">
        <f>AG43*'Baseline Consumption'!AG82/1000</f>
        <v>36.139660132317353</v>
      </c>
      <c r="AH52" s="68">
        <f>AH43*'Baseline Consumption'!AH82/1000</f>
        <v>36.140551639366436</v>
      </c>
      <c r="AI52" s="68">
        <f>AI43*'Baseline Consumption'!AI82/1000</f>
        <v>36.567097858559016</v>
      </c>
      <c r="AJ52" s="68">
        <f>AJ43*'Baseline Consumption'!AJ82/1000</f>
        <v>36.970208076458341</v>
      </c>
      <c r="AK52" s="68">
        <f>AK43*'Baseline Consumption'!AK82/1000</f>
        <v>37.265327839231574</v>
      </c>
    </row>
    <row r="53" spans="1:41">
      <c r="A53" s="77" t="s">
        <v>465</v>
      </c>
      <c r="B53" s="68">
        <f>B42*'Baseline Consumption'!B83/1000</f>
        <v>109.08345360983144</v>
      </c>
      <c r="C53" s="68">
        <f>C42*'Baseline Consumption'!C83/1000</f>
        <v>124.46553793571887</v>
      </c>
      <c r="D53" s="68">
        <f>D42*'Baseline Consumption'!D83/1000</f>
        <v>134.16796038064652</v>
      </c>
      <c r="E53" s="68">
        <f>E42*'Baseline Consumption'!E83/1000</f>
        <v>216.36720382472464</v>
      </c>
      <c r="F53" s="68">
        <f>F42*'Baseline Consumption'!F83/1000</f>
        <v>131.19055536013332</v>
      </c>
      <c r="G53" s="68">
        <f>G42*'Baseline Consumption'!G83/1000</f>
        <v>171.12805088799999</v>
      </c>
      <c r="H53" s="68">
        <f>H42*'Baseline Consumption'!H83/1000</f>
        <v>242.66099191293961</v>
      </c>
      <c r="I53" s="68">
        <f>I42*'Baseline Consumption'!I83/1000</f>
        <v>285.49460583160004</v>
      </c>
      <c r="J53" s="68">
        <f>J42*'Baseline Consumption'!J83/1000</f>
        <v>257.14086296459999</v>
      </c>
      <c r="K53" s="68">
        <f>K42*'Baseline Consumption'!K83/1000</f>
        <v>212.41094545199999</v>
      </c>
      <c r="L53" s="438">
        <f>L42*'Baseline Consumption'!L83/1000</f>
        <v>138.72787568266685</v>
      </c>
      <c r="M53" s="68">
        <f>M42*'Baseline Consumption'!M83/1000</f>
        <v>116.39212567144452</v>
      </c>
      <c r="N53" s="68">
        <f>N42*'Baseline Consumption'!N83/1000</f>
        <v>137.52809354524928</v>
      </c>
      <c r="O53" s="68">
        <f>O42*'Baseline Consumption'!O83/1000</f>
        <v>133.44565791870056</v>
      </c>
      <c r="P53" s="68">
        <f>P42*'Baseline Consumption'!P83/1000</f>
        <v>136.55625283609015</v>
      </c>
      <c r="Q53" s="68">
        <f>Q42*'Baseline Consumption'!Q83/1000</f>
        <v>160.39445319686592</v>
      </c>
      <c r="R53" s="68">
        <f>R42*'Baseline Consumption'!R83/1000</f>
        <v>167.42961251143521</v>
      </c>
      <c r="S53" s="68">
        <f>S42*'Baseline Consumption'!S83/1000</f>
        <v>167.23668242009555</v>
      </c>
      <c r="T53" s="68">
        <f>T42*'Baseline Consumption'!T83/1000</f>
        <v>165.72014527740194</v>
      </c>
      <c r="U53" s="68">
        <f>U42*'Baseline Consumption'!U83/1000</f>
        <v>166.04255228096977</v>
      </c>
      <c r="V53" s="68">
        <f>V42*'Baseline Consumption'!V83/1000</f>
        <v>165.47440355100142</v>
      </c>
      <c r="W53" s="68">
        <f>W42*'Baseline Consumption'!W83/1000</f>
        <v>167.32925070040275</v>
      </c>
      <c r="X53" s="68">
        <f>X42*'Baseline Consumption'!X83/1000</f>
        <v>168.81786796760727</v>
      </c>
      <c r="Y53" s="68">
        <f>Y42*'Baseline Consumption'!Y83/1000</f>
        <v>169.80530403533004</v>
      </c>
      <c r="Z53" s="68">
        <f>Z42*'Baseline Consumption'!Z83/1000</f>
        <v>172.23926043706987</v>
      </c>
      <c r="AA53" s="68">
        <f>AA42*'Baseline Consumption'!AA83/1000</f>
        <v>173.43233657684894</v>
      </c>
      <c r="AB53" s="68">
        <f>AB42*'Baseline Consumption'!AB83/1000</f>
        <v>175.59853311121714</v>
      </c>
      <c r="AC53" s="68">
        <f>AC42*'Baseline Consumption'!AC83/1000</f>
        <v>176.3228866615911</v>
      </c>
      <c r="AD53" s="68">
        <f>AD42*'Baseline Consumption'!AD83/1000</f>
        <v>177.66066647781005</v>
      </c>
      <c r="AE53" s="68">
        <f>AE42*'Baseline Consumption'!AE83/1000</f>
        <v>178.67351151585797</v>
      </c>
      <c r="AF53" s="68">
        <f>AF42*'Baseline Consumption'!AF83/1000</f>
        <v>179.93682320752896</v>
      </c>
      <c r="AG53" s="68">
        <f>AG42*'Baseline Consumption'!AG83/1000</f>
        <v>179.9166576250197</v>
      </c>
      <c r="AH53" s="68">
        <f>AH42*'Baseline Consumption'!AH83/1000</f>
        <v>182.9209748550025</v>
      </c>
      <c r="AI53" s="68">
        <f>AI42*'Baseline Consumption'!AI83/1000</f>
        <v>183.59021317616524</v>
      </c>
      <c r="AJ53" s="68">
        <f>AJ42*'Baseline Consumption'!AJ83/1000</f>
        <v>184.72134478431516</v>
      </c>
      <c r="AK53" s="68">
        <f>AK42*'Baseline Consumption'!AK83/1000</f>
        <v>185.55156977257406</v>
      </c>
    </row>
    <row r="54" spans="1:41">
      <c r="L54" s="18"/>
    </row>
    <row r="55" spans="1:41" s="671" customFormat="1">
      <c r="A55" s="703" t="s">
        <v>1334</v>
      </c>
      <c r="L55" s="18"/>
    </row>
    <row r="56" spans="1:41">
      <c r="A56" s="194" t="s">
        <v>1316</v>
      </c>
      <c r="L56" s="18"/>
    </row>
    <row r="57" spans="1:41">
      <c r="A57" s="77" t="s">
        <v>2</v>
      </c>
      <c r="B57" s="691">
        <f>'Baseline Consumption'!B87</f>
        <v>0.15323674843577739</v>
      </c>
      <c r="C57" s="691">
        <f>'Baseline Consumption'!C87</f>
        <v>0.14341761930637306</v>
      </c>
      <c r="D57" s="691">
        <f>'Baseline Consumption'!D87</f>
        <v>0.14978342218128701</v>
      </c>
      <c r="E57" s="691">
        <f>'Baseline Consumption'!E87</f>
        <v>0.15275388329517486</v>
      </c>
      <c r="F57" s="691">
        <f>'Baseline Consumption'!F87</f>
        <v>0.15509868952603495</v>
      </c>
      <c r="G57" s="691">
        <f>'Baseline Consumption'!G87</f>
        <v>0.16961811153519885</v>
      </c>
      <c r="H57" s="691">
        <f>'Baseline Consumption'!H87</f>
        <v>0.13860690109192772</v>
      </c>
      <c r="I57" s="691">
        <f>'Baseline Consumption'!I87</f>
        <v>0.12992463567074855</v>
      </c>
      <c r="J57" s="691">
        <f>'Baseline Consumption'!J87</f>
        <v>0.14658328575794188</v>
      </c>
      <c r="K57" s="691">
        <f>'Baseline Consumption'!K87</f>
        <v>0.1513329970238238</v>
      </c>
      <c r="L57" s="692">
        <f>'Baseline Consumption'!L87</f>
        <v>0.159607047247045</v>
      </c>
      <c r="M57"/>
      <c r="N57"/>
      <c r="O57"/>
      <c r="P57"/>
      <c r="Q57"/>
      <c r="R57"/>
    </row>
    <row r="58" spans="1:41">
      <c r="A58" s="77" t="s">
        <v>1315</v>
      </c>
      <c r="B58" s="691">
        <f>'Baseline Consumption'!B88</f>
        <v>4.5270417586423146E-2</v>
      </c>
      <c r="C58" s="691">
        <f>'Baseline Consumption'!C88</f>
        <v>3.751689960460472E-2</v>
      </c>
      <c r="D58" s="691">
        <f>'Baseline Consumption'!D88</f>
        <v>5.1428769686130124E-2</v>
      </c>
      <c r="E58" s="691">
        <f>'Baseline Consumption'!E88</f>
        <v>6.004991269431257E-2</v>
      </c>
      <c r="F58" s="691">
        <f>'Baseline Consumption'!F88</f>
        <v>8.2644014816488295E-2</v>
      </c>
      <c r="G58" s="691">
        <f>'Baseline Consumption'!G88</f>
        <v>8.7525863981302757E-2</v>
      </c>
      <c r="H58" s="691">
        <f>'Baseline Consumption'!H88</f>
        <v>4.766966901284813E-2</v>
      </c>
      <c r="I58" s="691">
        <f>'Baseline Consumption'!I88</f>
        <v>5.6937941789102192E-2</v>
      </c>
      <c r="J58" s="691">
        <f>'Baseline Consumption'!J88</f>
        <v>8.9174134658229445E-2</v>
      </c>
      <c r="K58" s="691">
        <f>'Baseline Consumption'!K88</f>
        <v>7.766859456875147E-2</v>
      </c>
      <c r="L58" s="692">
        <f>'Baseline Consumption'!L88</f>
        <v>9.1344304441403679E-2</v>
      </c>
      <c r="M58"/>
      <c r="N58"/>
      <c r="O58"/>
      <c r="P58"/>
      <c r="Q58"/>
      <c r="R58"/>
    </row>
    <row r="59" spans="1:41">
      <c r="A59" s="77" t="s">
        <v>1317</v>
      </c>
      <c r="B59" s="398">
        <f t="shared" ref="B59:L59" si="3">B58/B57</f>
        <v>0.29542794433148845</v>
      </c>
      <c r="C59" s="398">
        <f t="shared" si="3"/>
        <v>0.26159198420704488</v>
      </c>
      <c r="D59" s="398">
        <f t="shared" si="3"/>
        <v>0.34335421729037852</v>
      </c>
      <c r="E59" s="398">
        <f t="shared" si="3"/>
        <v>0.39311545735485343</v>
      </c>
      <c r="F59" s="398">
        <f t="shared" si="3"/>
        <v>0.53284792456364127</v>
      </c>
      <c r="G59" s="398">
        <f t="shared" si="3"/>
        <v>0.51601720588157562</v>
      </c>
      <c r="H59" s="398">
        <f t="shared" si="3"/>
        <v>0.34391988160266534</v>
      </c>
      <c r="I59" s="398">
        <f t="shared" si="3"/>
        <v>0.438238225530936</v>
      </c>
      <c r="J59" s="398">
        <f t="shared" si="3"/>
        <v>0.60835131507070883</v>
      </c>
      <c r="K59" s="398">
        <f t="shared" si="3"/>
        <v>0.51322973902726832</v>
      </c>
      <c r="L59" s="693">
        <f t="shared" si="3"/>
        <v>0.57230746396816667</v>
      </c>
      <c r="M59"/>
      <c r="N59"/>
      <c r="O59"/>
      <c r="P59"/>
      <c r="Q59"/>
      <c r="R59"/>
    </row>
    <row r="60" spans="1:41">
      <c r="A60" s="77" t="s">
        <v>1332</v>
      </c>
      <c r="B60" s="672"/>
      <c r="C60" s="672">
        <f t="shared" ref="C60:L60" si="4">(C59-$B59)/$B59</f>
        <v>-0.114532023031909</v>
      </c>
      <c r="D60" s="672">
        <f t="shared" si="4"/>
        <v>0.1622266067867765</v>
      </c>
      <c r="E60" s="672">
        <f t="shared" si="4"/>
        <v>0.33066443069364332</v>
      </c>
      <c r="F60" s="672">
        <f t="shared" si="4"/>
        <v>0.8036476737818441</v>
      </c>
      <c r="G60" s="672">
        <f t="shared" si="4"/>
        <v>0.7466770350694123</v>
      </c>
      <c r="H60" s="672">
        <f t="shared" si="4"/>
        <v>0.1641413353124305</v>
      </c>
      <c r="I60" s="672">
        <f t="shared" si="4"/>
        <v>0.48340139766604334</v>
      </c>
      <c r="J60" s="672">
        <f t="shared" si="4"/>
        <v>1.0592206212832087</v>
      </c>
      <c r="K60" s="672">
        <f t="shared" si="4"/>
        <v>0.73724168236229126</v>
      </c>
      <c r="L60" s="673">
        <f t="shared" si="4"/>
        <v>0.93721506360279261</v>
      </c>
      <c r="M60" s="698">
        <f>AVERAGE(H60:L60)</f>
        <v>0.67624402004535322</v>
      </c>
      <c r="N60" s="694" t="s">
        <v>1318</v>
      </c>
      <c r="O60" s="699">
        <f>M60/M46</f>
        <v>0.44234937828342846</v>
      </c>
      <c r="P60" s="689" t="s">
        <v>1319</v>
      </c>
      <c r="Q60"/>
      <c r="R60"/>
    </row>
    <row r="61" spans="1:41">
      <c r="A61" s="77" t="s">
        <v>1333</v>
      </c>
      <c r="B61" s="689"/>
      <c r="C61" s="690">
        <f>(C59-B59)/B59</f>
        <v>-0.114532023031909</v>
      </c>
      <c r="D61" s="690">
        <f>(D59-C59)/C59</f>
        <v>0.31255633971804136</v>
      </c>
      <c r="E61" s="690">
        <f t="shared" ref="E61:L61" si="5">(E59-D59)/D59</f>
        <v>0.14492683520002106</v>
      </c>
      <c r="F61" s="690">
        <f t="shared" si="5"/>
        <v>0.35544892624930691</v>
      </c>
      <c r="G61" s="690">
        <f t="shared" si="5"/>
        <v>-3.1586345571015646E-2</v>
      </c>
      <c r="H61" s="690">
        <f t="shared" si="5"/>
        <v>-0.33351082544795241</v>
      </c>
      <c r="I61" s="690">
        <f t="shared" si="5"/>
        <v>0.27424510467015611</v>
      </c>
      <c r="J61" s="690">
        <f t="shared" si="5"/>
        <v>0.38817492320227609</v>
      </c>
      <c r="K61" s="690">
        <f t="shared" si="5"/>
        <v>-0.15635961275498272</v>
      </c>
      <c r="L61" s="701">
        <f t="shared" si="5"/>
        <v>0.11510970711258708</v>
      </c>
    </row>
    <row r="62" spans="1:41">
      <c r="B62" s="689"/>
      <c r="C62" s="689"/>
      <c r="D62" s="689"/>
      <c r="E62" s="689"/>
      <c r="F62" s="689"/>
      <c r="G62" s="689"/>
      <c r="H62" s="689"/>
      <c r="I62" s="689"/>
      <c r="L62" s="18"/>
    </row>
    <row r="63" spans="1:41" ht="25.5">
      <c r="A63" s="524" t="s">
        <v>1321</v>
      </c>
      <c r="B63" s="689"/>
      <c r="C63" s="695">
        <f>C60/C46</f>
        <v>-0.32929039049905601</v>
      </c>
      <c r="D63" s="695">
        <f t="shared" ref="D63:L63" si="6">D60/D46</f>
        <v>0.33849271670639197</v>
      </c>
      <c r="E63" s="695">
        <f t="shared" si="6"/>
        <v>0.64130015283762476</v>
      </c>
      <c r="F63" s="695">
        <f t="shared" si="6"/>
        <v>0.42535694357725384</v>
      </c>
      <c r="G63" s="695">
        <f t="shared" si="6"/>
        <v>0.85055891994442667</v>
      </c>
      <c r="H63" s="695">
        <f t="shared" si="6"/>
        <v>0.15283237842826561</v>
      </c>
      <c r="I63" s="695">
        <f t="shared" si="6"/>
        <v>0.29057428186884726</v>
      </c>
      <c r="J63" s="695">
        <f t="shared" si="6"/>
        <v>0.77294642779750966</v>
      </c>
      <c r="K63" s="695">
        <f t="shared" si="6"/>
        <v>0.59163989143549889</v>
      </c>
      <c r="L63" s="696">
        <f t="shared" si="6"/>
        <v>0.40931635421945833</v>
      </c>
      <c r="M63" s="470">
        <f>AVERAGE(H63:L63)</f>
        <v>0.44346186674991595</v>
      </c>
      <c r="N63" s="694" t="s">
        <v>1318</v>
      </c>
      <c r="O63" s="697">
        <f>AVERAGE(C63:L63)</f>
        <v>0.41437276763162212</v>
      </c>
      <c r="P63" s="694" t="s">
        <v>1335</v>
      </c>
      <c r="Q63" s="700" t="s">
        <v>1319</v>
      </c>
      <c r="R63" s="689"/>
      <c r="S63" s="700" t="s">
        <v>1325</v>
      </c>
      <c r="T63" s="689" t="s">
        <v>1323</v>
      </c>
      <c r="U63" s="689"/>
    </row>
    <row r="64" spans="1:41" ht="25.5">
      <c r="A64" s="524" t="s">
        <v>1322</v>
      </c>
      <c r="B64" s="689"/>
      <c r="C64" s="695">
        <f>C61/C47</f>
        <v>-0.32929039049905601</v>
      </c>
      <c r="D64" s="695">
        <f>D61/D47</f>
        <v>3.2048487390894933</v>
      </c>
      <c r="E64" s="695">
        <f t="shared" ref="E64:L64" si="7">E61/E47</f>
        <v>5.8971474326374249</v>
      </c>
      <c r="F64" s="695">
        <f t="shared" si="7"/>
        <v>0.39216055703177577</v>
      </c>
      <c r="G64" s="695">
        <f t="shared" si="7"/>
        <v>9.0227924073572094E-2</v>
      </c>
      <c r="H64" s="695">
        <f t="shared" si="7"/>
        <v>-3.193241085639857</v>
      </c>
      <c r="I64" s="695">
        <f t="shared" si="7"/>
        <v>0.96467512236851549</v>
      </c>
      <c r="J64" s="695">
        <f t="shared" si="7"/>
        <v>-3.5259416767314078</v>
      </c>
      <c r="K64" s="695">
        <f t="shared" si="7"/>
        <v>2.9824848502820109</v>
      </c>
      <c r="L64" s="696">
        <f t="shared" si="7"/>
        <v>0.24774374140914929</v>
      </c>
      <c r="M64" s="470">
        <f>AVERAGE(H64:L64)</f>
        <v>-0.50485580966231791</v>
      </c>
      <c r="N64" s="694" t="s">
        <v>1318</v>
      </c>
      <c r="O64" s="697">
        <f>AVERAGE(C64:L64)</f>
        <v>0.67308152140216215</v>
      </c>
      <c r="P64" s="694" t="s">
        <v>1335</v>
      </c>
      <c r="Q64" s="700" t="s">
        <v>1319</v>
      </c>
      <c r="R64" s="689"/>
      <c r="S64" s="695">
        <f>STDEV(C64:L64)</f>
        <v>2.8539178403310781</v>
      </c>
      <c r="T64" s="695">
        <f>O64+(1.645*S64)/SQRT(10)</f>
        <v>2.1576743851087126</v>
      </c>
      <c r="U64" s="695">
        <f>O64-(1.645*S64)/SQRT(10)</f>
        <v>-0.81151134230438826</v>
      </c>
    </row>
    <row r="65" spans="1:21">
      <c r="A65" s="524" t="s">
        <v>1324</v>
      </c>
      <c r="B65" s="689"/>
      <c r="C65" s="689"/>
      <c r="D65" s="695">
        <f>D61/C47</f>
        <v>0.89862901600921774</v>
      </c>
      <c r="E65" s="695">
        <f t="shared" ref="E65:L65" si="8">E61/D47</f>
        <v>1.4860315598461951</v>
      </c>
      <c r="F65" s="695">
        <f>F61/E47</f>
        <v>14.463399548964448</v>
      </c>
      <c r="G65" s="695">
        <f t="shared" si="8"/>
        <v>-3.4848660268675696E-2</v>
      </c>
      <c r="H65" s="695">
        <f t="shared" si="8"/>
        <v>0.95268980606117681</v>
      </c>
      <c r="I65" s="695">
        <f t="shared" si="8"/>
        <v>2.6257940340980377</v>
      </c>
      <c r="J65" s="695">
        <f t="shared" si="8"/>
        <v>1.3654307229692351</v>
      </c>
      <c r="K65" s="695">
        <f t="shared" si="8"/>
        <v>1.4202743202014878</v>
      </c>
      <c r="L65" s="695">
        <f t="shared" si="8"/>
        <v>-2.1956626237087562</v>
      </c>
      <c r="O65" s="695">
        <f>AVERAGE(D65:L65)</f>
        <v>2.3313041915747075</v>
      </c>
      <c r="P65" s="694" t="s">
        <v>1336</v>
      </c>
      <c r="Q65" s="700" t="s">
        <v>1319</v>
      </c>
      <c r="R65" s="689"/>
      <c r="S65" s="695">
        <f>STDEV(D65:L65)</f>
        <v>4.7407420105081837</v>
      </c>
      <c r="T65" s="695">
        <f>O65+(1.645*S64)/SQRT(10)</f>
        <v>3.8158970552812579</v>
      </c>
      <c r="U65" s="695">
        <f>O65-(1.645*S64)/SQRT(10)</f>
        <v>0.84671132786815706</v>
      </c>
    </row>
    <row r="66" spans="1:21">
      <c r="R66" s="689"/>
      <c r="S66" s="689"/>
      <c r="T66" s="689"/>
      <c r="U66" s="689"/>
    </row>
  </sheetData>
  <phoneticPr fontId="22"/>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M121"/>
  <sheetViews>
    <sheetView topLeftCell="A48" zoomScaleNormal="100" workbookViewId="0">
      <pane xSplit="1" topLeftCell="C1" activePane="topRight" state="frozen"/>
      <selection pane="topRight" activeCell="N46" sqref="N46"/>
    </sheetView>
  </sheetViews>
  <sheetFormatPr defaultColWidth="9.140625" defaultRowHeight="12.75"/>
  <cols>
    <col min="1" max="1" width="30.85546875" style="57" customWidth="1"/>
    <col min="2" max="37" width="8.7109375" style="57" customWidth="1"/>
    <col min="38" max="38" width="11.7109375" style="57" customWidth="1"/>
    <col min="39" max="16384" width="9.140625" style="57"/>
  </cols>
  <sheetData>
    <row r="1" spans="1:38" ht="27">
      <c r="A1" s="56" t="s">
        <v>55</v>
      </c>
    </row>
    <row r="2" spans="1:38" ht="15.75">
      <c r="A2" s="64" t="s">
        <v>454</v>
      </c>
      <c r="C2" s="58" t="str">
        <f>IF(parameters!$C$27="B",'consumption scenario B'!C2,IF(parameters!$C$27="C",'consumption scenario C'!C2,'consumption scenario A'!C2))</f>
        <v>reference case: AEO 2018</v>
      </c>
    </row>
    <row r="3" spans="1:38" ht="15.75">
      <c r="A3" s="64" t="s">
        <v>383</v>
      </c>
      <c r="C3" s="65" t="s">
        <v>384</v>
      </c>
    </row>
    <row r="4" spans="1:38" ht="15.75">
      <c r="A4" s="64" t="s">
        <v>380</v>
      </c>
      <c r="C4" s="58" t="s">
        <v>326</v>
      </c>
      <c r="H4" s="2"/>
      <c r="I4" s="2"/>
    </row>
    <row r="5" spans="1:38">
      <c r="B5" s="57" t="s">
        <v>21</v>
      </c>
      <c r="C5" s="57" t="s">
        <v>21</v>
      </c>
      <c r="D5" s="57" t="s">
        <v>21</v>
      </c>
      <c r="E5" s="57" t="s">
        <v>21</v>
      </c>
      <c r="F5" s="57" t="s">
        <v>21</v>
      </c>
      <c r="G5" s="57" t="s">
        <v>21</v>
      </c>
      <c r="M5" s="18" t="s">
        <v>363</v>
      </c>
      <c r="N5" s="303" t="s">
        <v>364</v>
      </c>
    </row>
    <row r="6" spans="1:38" ht="13.5">
      <c r="A6" s="59" t="s">
        <v>22</v>
      </c>
      <c r="B6" s="59">
        <v>2005</v>
      </c>
      <c r="C6" s="59">
        <v>2006</v>
      </c>
      <c r="D6" s="59">
        <v>2007</v>
      </c>
      <c r="E6" s="59">
        <v>2008</v>
      </c>
      <c r="F6" s="59">
        <v>2009</v>
      </c>
      <c r="G6" s="59">
        <v>2010</v>
      </c>
      <c r="H6" s="59">
        <v>2011</v>
      </c>
      <c r="I6" s="59">
        <v>2012</v>
      </c>
      <c r="J6" s="59">
        <v>2013</v>
      </c>
      <c r="K6" s="466">
        <v>2014</v>
      </c>
      <c r="L6" s="472">
        <v>2015</v>
      </c>
      <c r="M6" s="318">
        <v>2016</v>
      </c>
      <c r="N6" s="59">
        <v>2017</v>
      </c>
      <c r="O6" s="59">
        <v>2018</v>
      </c>
      <c r="P6" s="59">
        <v>2019</v>
      </c>
      <c r="Q6" s="59">
        <v>2020</v>
      </c>
      <c r="R6" s="59">
        <v>2021</v>
      </c>
      <c r="S6" s="59">
        <v>2022</v>
      </c>
      <c r="T6" s="59">
        <v>2023</v>
      </c>
      <c r="U6" s="59">
        <v>2024</v>
      </c>
      <c r="V6" s="59">
        <v>2025</v>
      </c>
      <c r="W6" s="59">
        <v>2026</v>
      </c>
      <c r="X6" s="59">
        <v>2027</v>
      </c>
      <c r="Y6" s="59">
        <v>2028</v>
      </c>
      <c r="Z6" s="59">
        <v>2029</v>
      </c>
      <c r="AA6" s="59">
        <v>2030</v>
      </c>
      <c r="AB6" s="59">
        <v>2031</v>
      </c>
      <c r="AC6" s="59">
        <v>2032</v>
      </c>
      <c r="AD6" s="59">
        <v>2033</v>
      </c>
      <c r="AE6" s="59">
        <v>2034</v>
      </c>
      <c r="AF6" s="59">
        <v>2035</v>
      </c>
      <c r="AG6" s="59">
        <v>2036</v>
      </c>
      <c r="AH6" s="59">
        <v>2037</v>
      </c>
      <c r="AI6" s="59">
        <v>2038</v>
      </c>
      <c r="AJ6" s="59">
        <v>2039</v>
      </c>
      <c r="AK6" s="59">
        <v>2040</v>
      </c>
      <c r="AL6" s="59" t="s">
        <v>470</v>
      </c>
    </row>
    <row r="7" spans="1:38">
      <c r="A7" s="57" t="s">
        <v>23</v>
      </c>
      <c r="K7" s="355"/>
      <c r="L7" s="2"/>
      <c r="M7" s="750"/>
      <c r="AL7" s="57" t="s">
        <v>328</v>
      </c>
    </row>
    <row r="8" spans="1:38">
      <c r="A8" s="57" t="s">
        <v>24</v>
      </c>
      <c r="B8" s="115">
        <f>IF(parameters!$C$27="B",'consumption scenario B'!B7,IF(parameters!$C$27="C",'consumption scenario C'!B7,'consumption scenario A'!B7))</f>
        <v>5.8942762385447468E-3</v>
      </c>
      <c r="C8" s="115">
        <f>IF(parameters!$C$27="B",'consumption scenario B'!C7,IF(parameters!$C$27="C",'consumption scenario C'!C7,'consumption scenario A'!C7))</f>
        <v>6.2467946001240303E-3</v>
      </c>
      <c r="D8" s="115">
        <f>IF(parameters!$C$27="B",'consumption scenario B'!D7,IF(parameters!$C$27="C",'consumption scenario C'!D7,'consumption scenario A'!D7))</f>
        <v>7.438418335187668E-3</v>
      </c>
      <c r="E8" s="115">
        <f>IF(parameters!$C$27="B",'consumption scenario B'!E7,IF(parameters!$C$27="C",'consumption scenario C'!E7,'consumption scenario A'!E7))</f>
        <v>7.3868315449196285E-3</v>
      </c>
      <c r="F8" s="115">
        <f>IF(parameters!$C$27="B",'consumption scenario B'!F7,IF(parameters!$C$27="C",'consumption scenario C'!F7,'consumption scenario A'!F7))</f>
        <v>8.1507128623502095E-3</v>
      </c>
      <c r="G8" s="115">
        <f>IF(parameters!$C$27="B",'consumption scenario B'!G7,IF(parameters!$C$27="C",'consumption scenario C'!G7,'consumption scenario A'!G7))</f>
        <v>8.8649914968307545E-3</v>
      </c>
      <c r="H8" s="115">
        <f>IF(parameters!$C$27="B",'consumption scenario B'!H7,IF(parameters!$C$27="C",'consumption scenario C'!H7,'consumption scenario A'!H7))</f>
        <v>8.755865594340672E-3</v>
      </c>
      <c r="I8" s="115">
        <f>IF(parameters!$C$27="B",'consumption scenario B'!I7,IF(parameters!$C$27="C",'consumption scenario C'!I7,'consumption scenario A'!I7))</f>
        <v>6.7459648812051402E-3</v>
      </c>
      <c r="J8" s="115">
        <f>IF(parameters!$C$27="B",'consumption scenario B'!J7,IF(parameters!$C$27="C",'consumption scenario C'!J7,'consumption scenario A'!J7))</f>
        <v>5.5555004904042334E-3</v>
      </c>
      <c r="K8" s="560">
        <f>IF(parameters!$C$27="B",'consumption scenario B'!K7,IF(parameters!$C$27="C",'consumption scenario C'!K7,'consumption scenario A'!K7))</f>
        <v>6.0346624077015978E-3</v>
      </c>
      <c r="L8" s="560">
        <f>IF(parameters!$C$27="B",'consumption scenario B'!L7,IF(parameters!$C$27="C",'consumption scenario C'!L7,'consumption scenario A'!L7))</f>
        <v>6.9229472539708743E-3</v>
      </c>
      <c r="M8" s="374">
        <f>IF(parameters!$C$27="B",'consumption scenario B'!M7,IF(parameters!$C$27="C",'consumption scenario C'!M7,'consumption scenario A'!M7))</f>
        <v>6.9436813729269577E-3</v>
      </c>
      <c r="N8" s="115">
        <f>IF(parameters!$C$27="B",'consumption scenario B'!N7,IF(parameters!$C$27="C",'consumption scenario C'!N7,'consumption scenario A'!N7))</f>
        <v>7.8830858530304741E-3</v>
      </c>
      <c r="O8" s="115">
        <f>IF(parameters!$C$27="B",'consumption scenario B'!O7,IF(parameters!$C$27="C",'consumption scenario C'!O7,'consumption scenario A'!O7))</f>
        <v>7.2990994032712505E-3</v>
      </c>
      <c r="P8" s="115">
        <f>IF(parameters!$C$27="B",'consumption scenario B'!P7,IF(parameters!$C$27="C",'consumption scenario C'!P7,'consumption scenario A'!P7))</f>
        <v>7.0793962345302823E-3</v>
      </c>
      <c r="Q8" s="115">
        <f>IF(parameters!$C$27="B",'consumption scenario B'!Q7,IF(parameters!$C$27="C",'consumption scenario C'!Q7,'consumption scenario A'!Q7))</f>
        <v>6.9979067417425128E-3</v>
      </c>
      <c r="R8" s="115">
        <f>IF(parameters!$C$27="B",'consumption scenario B'!R7,IF(parameters!$C$27="C",'consumption scenario C'!R7,'consumption scenario A'!R7))</f>
        <v>6.9105101093971831E-3</v>
      </c>
      <c r="S8" s="115">
        <f>IF(parameters!$C$27="B",'consumption scenario B'!S7,IF(parameters!$C$27="C",'consumption scenario C'!S7,'consumption scenario A'!S7))</f>
        <v>6.831312222061672E-3</v>
      </c>
      <c r="T8" s="115">
        <f>IF(parameters!$C$27="B",'consumption scenario B'!T7,IF(parameters!$C$27="C",'consumption scenario C'!T7,'consumption scenario A'!T7))</f>
        <v>6.7670717530839064E-3</v>
      </c>
      <c r="U8" s="115">
        <f>IF(parameters!$C$27="B",'consumption scenario B'!U7,IF(parameters!$C$27="C",'consumption scenario C'!U7,'consumption scenario A'!U7))</f>
        <v>6.7071470211492812E-3</v>
      </c>
      <c r="V8" s="115">
        <f>IF(parameters!$C$27="B",'consumption scenario B'!V7,IF(parameters!$C$27="C",'consumption scenario C'!V7,'consumption scenario A'!V7))</f>
        <v>6.6536933821358911E-3</v>
      </c>
      <c r="W8" s="115">
        <f>IF(parameters!$C$27="B",'consumption scenario B'!W7,IF(parameters!$C$27="C",'consumption scenario C'!W7,'consumption scenario A'!W7))</f>
        <v>6.605414726831107E-3</v>
      </c>
      <c r="X8" s="115">
        <f>IF(parameters!$C$27="B",'consumption scenario B'!X7,IF(parameters!$C$27="C",'consumption scenario C'!X7,'consumption scenario A'!X7))</f>
        <v>6.5619681610023257E-3</v>
      </c>
      <c r="Y8" s="115">
        <f>IF(parameters!$C$27="B",'consumption scenario B'!Y7,IF(parameters!$C$27="C",'consumption scenario C'!Y7,'consumption scenario A'!Y7))</f>
        <v>6.5173036023832972E-3</v>
      </c>
      <c r="Z8" s="115">
        <f>IF(parameters!$C$27="B",'consumption scenario B'!Z7,IF(parameters!$C$27="C",'consumption scenario C'!Z7,'consumption scenario A'!Z7))</f>
        <v>6.4693568771254113E-3</v>
      </c>
      <c r="AA8" s="115">
        <f>IF(parameters!$C$27="B",'consumption scenario B'!AA7,IF(parameters!$C$27="C",'consumption scenario C'!AA7,'consumption scenario A'!AA7))</f>
        <v>6.4238419051614402E-3</v>
      </c>
      <c r="AB8" s="115">
        <f>IF(parameters!$C$27="B",'consumption scenario B'!AB7,IF(parameters!$C$27="C",'consumption scenario C'!AB7,'consumption scenario A'!AB7))</f>
        <v>6.3771559221797412E-3</v>
      </c>
      <c r="AC8" s="115">
        <f>IF(parameters!$C$27="B",'consumption scenario B'!AC7,IF(parameters!$C$27="C",'consumption scenario C'!AC7,'consumption scenario A'!AC7))</f>
        <v>6.3266970881771479E-3</v>
      </c>
      <c r="AD8" s="115">
        <f>IF(parameters!$C$27="B",'consumption scenario B'!AD7,IF(parameters!$C$27="C",'consumption scenario C'!AD7,'consumption scenario A'!AD7))</f>
        <v>6.2766567855252016E-3</v>
      </c>
      <c r="AE8" s="115">
        <f>IF(parameters!$C$27="B",'consumption scenario B'!AE7,IF(parameters!$C$27="C",'consumption scenario C'!AE7,'consumption scenario A'!AE7))</f>
        <v>6.2298419389458688E-3</v>
      </c>
      <c r="AF8" s="115">
        <f>IF(parameters!$C$27="B",'consumption scenario B'!AF7,IF(parameters!$C$27="C",'consumption scenario C'!AF7,'consumption scenario A'!AF7))</f>
        <v>6.1870349899196464E-3</v>
      </c>
      <c r="AG8" s="115">
        <f>IF(parameters!$C$27="B",'consumption scenario B'!AG7,IF(parameters!$C$27="C",'consumption scenario C'!AG7,'consumption scenario A'!AG7))</f>
        <v>6.1429703449010055E-3</v>
      </c>
      <c r="AH8" s="115">
        <f>IF(parameters!$C$27="B",'consumption scenario B'!AH7,IF(parameters!$C$27="C",'consumption scenario C'!AH7,'consumption scenario A'!AH7))</f>
        <v>6.1031932758062362E-3</v>
      </c>
      <c r="AI8" s="115">
        <f>IF(parameters!$C$27="B",'consumption scenario B'!AI7,IF(parameters!$C$27="C",'consumption scenario C'!AI7,'consumption scenario A'!AI7))</f>
        <v>6.0596179123288147E-3</v>
      </c>
      <c r="AJ8" s="115">
        <f>IF(parameters!$C$27="B",'consumption scenario B'!AJ7,IF(parameters!$C$27="C",'consumption scenario C'!AJ7,'consumption scenario A'!AJ7))</f>
        <v>6.0196625983172979E-3</v>
      </c>
      <c r="AK8" s="115">
        <f>IF(parameters!$C$27="B",'consumption scenario B'!AK7,IF(parameters!$C$27="C",'consumption scenario C'!AK7,'consumption scenario A'!AK7))</f>
        <v>5.9846438757390312E-3</v>
      </c>
      <c r="AL8" s="60">
        <v>7.0010816542621611E-3</v>
      </c>
    </row>
    <row r="9" spans="1:38">
      <c r="A9" s="57" t="s">
        <v>56</v>
      </c>
      <c r="B9" s="115">
        <f>IF(parameters!$C$27="B",'consumption scenario B'!B8,IF(parameters!$C$27="C",'consumption scenario C'!B8,'consumption scenario A'!B8))</f>
        <v>5.8034862224497956E-4</v>
      </c>
      <c r="C9" s="115">
        <f>IF(parameters!$C$27="B",'consumption scenario B'!C8,IF(parameters!$C$27="C",'consumption scenario C'!C8,'consumption scenario A'!C8))</f>
        <v>6.231536076880495E-4</v>
      </c>
      <c r="D9" s="115">
        <f>IF(parameters!$C$27="B",'consumption scenario B'!D8,IF(parameters!$C$27="C",'consumption scenario C'!D8,'consumption scenario A'!D8))</f>
        <v>3.5001391495894139E-4</v>
      </c>
      <c r="E9" s="115">
        <f>IF(parameters!$C$27="B",'consumption scenario B'!E8,IF(parameters!$C$27="C",'consumption scenario C'!E8,'consumption scenario A'!E8))</f>
        <v>2.6297341758819938E-4</v>
      </c>
      <c r="F9" s="115">
        <f>IF(parameters!$C$27="B",'consumption scenario B'!F8,IF(parameters!$C$27="C",'consumption scenario C'!F8,'consumption scenario A'!F8))</f>
        <v>2.7778882139598525E-4</v>
      </c>
      <c r="G9" s="115">
        <f>IF(parameters!$C$27="B",'consumption scenario B'!G8,IF(parameters!$C$27="C",'consumption scenario C'!G8,'consumption scenario A'!G8))</f>
        <v>2.5186186473235997E-4</v>
      </c>
      <c r="H9" s="115">
        <f>IF(parameters!$C$27="B",'consumption scenario B'!H8,IF(parameters!$C$27="C",'consumption scenario C'!H8,'consumption scenario A'!H8))</f>
        <v>2.2037913164081496E-4</v>
      </c>
      <c r="I9" s="115">
        <f>IF(parameters!$C$27="B",'consumption scenario B'!I8,IF(parameters!$C$27="C",'consumption scenario C'!I8,'consumption scenario A'!I8))</f>
        <v>1.8519254759732348E-4</v>
      </c>
      <c r="J9" s="115">
        <f>IF(parameters!$C$27="B",'consumption scenario B'!J8,IF(parameters!$C$27="C",'consumption scenario C'!J8,'consumption scenario A'!J8))</f>
        <v>0</v>
      </c>
      <c r="K9" s="560">
        <f>IF(parameters!$C$27="B",'consumption scenario B'!K8,IF(parameters!$C$27="C",'consumption scenario C'!K8,'consumption scenario A'!K8))</f>
        <v>5.5187379184002392E-5</v>
      </c>
      <c r="L9" s="560">
        <f>IF(parameters!$C$27="B",'consumption scenario B'!L8,IF(parameters!$C$27="C",'consumption scenario C'!L8,'consumption scenario A'!L8))</f>
        <v>7.1113938277372215E-5</v>
      </c>
      <c r="M9" s="374">
        <f>IF(parameters!$C$27="B",'consumption scenario B'!M8,IF(parameters!$C$27="C",'consumption scenario C'!M8,'consumption scenario A'!M8))</f>
        <v>3.0731504072374513E-5</v>
      </c>
      <c r="N9" s="115">
        <f>IF(parameters!$C$27="B",'consumption scenario B'!N8,IF(parameters!$C$27="C",'consumption scenario C'!N8,'consumption scenario A'!N8))</f>
        <v>3.4907011298912025E-5</v>
      </c>
      <c r="O9" s="115">
        <f>IF(parameters!$C$27="B",'consumption scenario B'!O8,IF(parameters!$C$27="C",'consumption scenario C'!O8,'consumption scenario A'!O8))</f>
        <v>2.9646378925431336E-5</v>
      </c>
      <c r="P9" s="115">
        <f>IF(parameters!$C$27="B",'consumption scenario B'!P8,IF(parameters!$C$27="C",'consumption scenario C'!P8,'consumption scenario A'!P8))</f>
        <v>2.7647205489539099E-5</v>
      </c>
      <c r="Q9" s="115">
        <f>IF(parameters!$C$27="B",'consumption scenario B'!Q8,IF(parameters!$C$27="C",'consumption scenario C'!Q8,'consumption scenario A'!Q8))</f>
        <v>2.6822887366579727E-5</v>
      </c>
      <c r="R9" s="115">
        <f>IF(parameters!$C$27="B",'consumption scenario B'!R8,IF(parameters!$C$27="C",'consumption scenario C'!R8,'consumption scenario A'!R8))</f>
        <v>2.5826512738924252E-5</v>
      </c>
      <c r="S9" s="115">
        <f>IF(parameters!$C$27="B",'consumption scenario B'!S8,IF(parameters!$C$27="C",'consumption scenario C'!S8,'consumption scenario A'!S8))</f>
        <v>2.4952795806252996E-5</v>
      </c>
      <c r="T9" s="115">
        <f>IF(parameters!$C$27="B",'consumption scenario B'!T8,IF(parameters!$C$27="C",'consumption scenario C'!T8,'consumption scenario A'!T8))</f>
        <v>2.4335467601580781E-5</v>
      </c>
      <c r="U9" s="115">
        <f>IF(parameters!$C$27="B",'consumption scenario B'!U8,IF(parameters!$C$27="C",'consumption scenario C'!U8,'consumption scenario A'!U8))</f>
        <v>2.3786270592477169E-5</v>
      </c>
      <c r="V9" s="115">
        <f>IF(parameters!$C$27="B",'consumption scenario B'!V8,IF(parameters!$C$27="C",'consumption scenario C'!V8,'consumption scenario A'!V8))</f>
        <v>2.3284316957968829E-5</v>
      </c>
      <c r="W9" s="115">
        <f>IF(parameters!$C$27="B",'consumption scenario B'!W8,IF(parameters!$C$27="C",'consumption scenario C'!W8,'consumption scenario A'!W8))</f>
        <v>2.2817106559677611E-5</v>
      </c>
      <c r="X9" s="115">
        <f>IF(parameters!$C$27="B",'consumption scenario B'!X8,IF(parameters!$C$27="C",'consumption scenario C'!X8,'consumption scenario A'!X8))</f>
        <v>2.2361616227370321E-5</v>
      </c>
      <c r="Y9" s="115">
        <f>IF(parameters!$C$27="B",'consumption scenario B'!Y8,IF(parameters!$C$27="C",'consumption scenario C'!Y8,'consumption scenario A'!Y8))</f>
        <v>2.1902854972253539E-5</v>
      </c>
      <c r="Z9" s="115">
        <f>IF(parameters!$C$27="B",'consumption scenario B'!Z8,IF(parameters!$C$27="C",'consumption scenario C'!Z8,'consumption scenario A'!Z8))</f>
        <v>2.1437727164427374E-5</v>
      </c>
      <c r="AA9" s="115">
        <f>IF(parameters!$C$27="B",'consumption scenario B'!AA8,IF(parameters!$C$27="C",'consumption scenario C'!AA8,'consumption scenario A'!AA8))</f>
        <v>2.0991230305639996E-5</v>
      </c>
      <c r="AB9" s="115">
        <f>IF(parameters!$C$27="B",'consumption scenario B'!AB8,IF(parameters!$C$27="C",'consumption scenario C'!AB8,'consumption scenario A'!AB8))</f>
        <v>2.053985958367691E-5</v>
      </c>
      <c r="AC9" s="115">
        <f>IF(parameters!$C$27="B",'consumption scenario B'!AC8,IF(parameters!$C$27="C",'consumption scenario C'!AC8,'consumption scenario A'!AC8))</f>
        <v>2.0098818532389736E-5</v>
      </c>
      <c r="AD9" s="115">
        <f>IF(parameters!$C$27="B",'consumption scenario B'!AD8,IF(parameters!$C$27="C",'consumption scenario C'!AD8,'consumption scenario A'!AD8))</f>
        <v>1.9678075861826732E-5</v>
      </c>
      <c r="AE9" s="115">
        <f>IF(parameters!$C$27="B",'consumption scenario B'!AE8,IF(parameters!$C$27="C",'consumption scenario C'!AE8,'consumption scenario A'!AE8))</f>
        <v>1.9271139450288121E-5</v>
      </c>
      <c r="AF9" s="115">
        <f>IF(parameters!$C$27="B",'consumption scenario B'!AF8,IF(parameters!$C$27="C",'consumption scenario C'!AF8,'consumption scenario A'!AF8))</f>
        <v>1.8887971760538706E-5</v>
      </c>
      <c r="AG9" s="115">
        <f>IF(parameters!$C$27="B",'consumption scenario B'!AG8,IF(parameters!$C$27="C",'consumption scenario C'!AG8,'consumption scenario A'!AG8))</f>
        <v>1.8515224763749369E-5</v>
      </c>
      <c r="AH9" s="115">
        <f>IF(parameters!$C$27="B",'consumption scenario B'!AH8,IF(parameters!$C$27="C",'consumption scenario C'!AH8,'consumption scenario A'!AH8))</f>
        <v>1.8119648897423527E-5</v>
      </c>
      <c r="AI9" s="115">
        <f>IF(parameters!$C$27="B",'consumption scenario B'!AI8,IF(parameters!$C$27="C",'consumption scenario C'!AI8,'consumption scenario A'!AI8))</f>
        <v>1.7739434755977977E-5</v>
      </c>
      <c r="AJ9" s="115">
        <f>IF(parameters!$C$27="B",'consumption scenario B'!AJ8,IF(parameters!$C$27="C",'consumption scenario C'!AJ8,'consumption scenario A'!AJ8))</f>
        <v>1.73812023797757E-5</v>
      </c>
      <c r="AK9" s="115">
        <f>IF(parameters!$C$27="B",'consumption scenario B'!AK8,IF(parameters!$C$27="C",'consumption scenario C'!AK8,'consumption scenario A'!AK8))</f>
        <v>1.7039957700635295E-5</v>
      </c>
      <c r="AL9" s="60">
        <v>2.4976885753623123E-5</v>
      </c>
    </row>
    <row r="10" spans="1:38">
      <c r="A10" s="57" t="s">
        <v>25</v>
      </c>
      <c r="B10" s="115">
        <f>IF(parameters!$C$27="B",'consumption scenario B'!B9,IF(parameters!$C$27="C",'consumption scenario C'!B9,'consumption scenario A'!B9))</f>
        <v>6.8304536086320998E-3</v>
      </c>
      <c r="C10" s="115">
        <f>IF(parameters!$C$27="B",'consumption scenario B'!C9,IF(parameters!$C$27="C",'consumption scenario C'!C9,'consumption scenario A'!C9))</f>
        <v>7.422900146842013E-3</v>
      </c>
      <c r="D10" s="115">
        <f>IF(parameters!$C$27="B",'consumption scenario B'!D9,IF(parameters!$C$27="C",'consumption scenario C'!D9,'consumption scenario A'!D9))</f>
        <v>5.5950143999999999E-3</v>
      </c>
      <c r="E10" s="115">
        <f>IF(parameters!$C$27="B",'consumption scenario B'!E9,IF(parameters!$C$27="C",'consumption scenario C'!E9,'consumption scenario A'!E9))</f>
        <v>5.7114527999999999E-3</v>
      </c>
      <c r="F10" s="115">
        <f>IF(parameters!$C$27="B",'consumption scenario B'!F9,IF(parameters!$C$27="C",'consumption scenario C'!F9,'consumption scenario A'!F9))</f>
        <v>6.0786816E-3</v>
      </c>
      <c r="G10" s="115">
        <f>IF(parameters!$C$27="B",'consumption scenario B'!G9,IF(parameters!$C$27="C",'consumption scenario C'!G9,'consumption scenario A'!G9))</f>
        <v>5.4427488000000001E-3</v>
      </c>
      <c r="H10" s="115">
        <f>IF(parameters!$C$27="B",'consumption scenario B'!H9,IF(parameters!$C$27="C",'consumption scenario C'!H9,'consumption scenario A'!H9))</f>
        <v>4.8157727999999997E-3</v>
      </c>
      <c r="I10" s="115">
        <f>IF(parameters!$C$27="B",'consumption scenario B'!I9,IF(parameters!$C$27="C",'consumption scenario C'!I9,'consumption scenario A'!I9))</f>
        <v>4.1798399999999998E-3</v>
      </c>
      <c r="J10" s="115">
        <f>IF(parameters!$C$27="B",'consumption scenario B'!J9,IF(parameters!$C$27="C",'consumption scenario C'!J9,'consumption scenario A'!J9))</f>
        <v>3.2841599999999995E-3</v>
      </c>
      <c r="K10" s="560">
        <f>IF(parameters!$C$27="B",'consumption scenario B'!K9,IF(parameters!$C$27="C",'consumption scenario C'!K9,'consumption scenario A'!K9))</f>
        <v>3.5397273600000002E-3</v>
      </c>
      <c r="L10" s="560">
        <f>IF(parameters!$C$27="B",'consumption scenario B'!L9,IF(parameters!$C$27="C",'consumption scenario C'!L9,'consumption scenario A'!L9))</f>
        <v>3.75409344E-3</v>
      </c>
      <c r="M10" s="374">
        <f>IF(parameters!$C$27="B",'consumption scenario B'!M9,IF(parameters!$C$27="C",'consumption scenario C'!M9,'consumption scenario A'!M9))</f>
        <v>3.4485312173642047E-3</v>
      </c>
      <c r="N10" s="115">
        <f>IF(parameters!$C$27="B",'consumption scenario B'!N9,IF(parameters!$C$27="C",'consumption scenario C'!N9,'consumption scenario A'!N9))</f>
        <v>3.7721319206290398E-3</v>
      </c>
      <c r="O10" s="115">
        <f>IF(parameters!$C$27="B",'consumption scenario B'!O9,IF(parameters!$C$27="C",'consumption scenario C'!O9,'consumption scenario A'!O9))</f>
        <v>4.085070983887126E-3</v>
      </c>
      <c r="P10" s="115">
        <f>IF(parameters!$C$27="B",'consumption scenario B'!P9,IF(parameters!$C$27="C",'consumption scenario C'!P9,'consumption scenario A'!P9))</f>
        <v>3.7832362048257975E-3</v>
      </c>
      <c r="Q10" s="115">
        <f>IF(parameters!$C$27="B",'consumption scenario B'!Q9,IF(parameters!$C$27="C",'consumption scenario C'!Q9,'consumption scenario A'!Q9))</f>
        <v>3.6621040549065431E-3</v>
      </c>
      <c r="R10" s="115">
        <f>IF(parameters!$C$27="B",'consumption scenario B'!R9,IF(parameters!$C$27="C",'consumption scenario C'!R9,'consumption scenario A'!R9))</f>
        <v>3.5377143710242443E-3</v>
      </c>
      <c r="S10" s="115">
        <f>IF(parameters!$C$27="B",'consumption scenario B'!S9,IF(parameters!$C$27="C",'consumption scenario C'!S9,'consumption scenario A'!S9))</f>
        <v>3.4373625672923184E-3</v>
      </c>
      <c r="T10" s="115">
        <f>IF(parameters!$C$27="B",'consumption scenario B'!T9,IF(parameters!$C$27="C",'consumption scenario C'!T9,'consumption scenario A'!T9))</f>
        <v>3.358631391621846E-3</v>
      </c>
      <c r="U10" s="115">
        <f>IF(parameters!$C$27="B",'consumption scenario B'!U9,IF(parameters!$C$27="C",'consumption scenario C'!U9,'consumption scenario A'!U9))</f>
        <v>3.2916380471790328E-3</v>
      </c>
      <c r="V10" s="115">
        <f>IF(parameters!$C$27="B",'consumption scenario B'!V9,IF(parameters!$C$27="C",'consumption scenario C'!V9,'consumption scenario A'!V9))</f>
        <v>3.2293962318493191E-3</v>
      </c>
      <c r="W10" s="115">
        <f>IF(parameters!$C$27="B",'consumption scenario B'!W9,IF(parameters!$C$27="C",'consumption scenario C'!W9,'consumption scenario A'!W9))</f>
        <v>3.1709927462578828E-3</v>
      </c>
      <c r="X10" s="115">
        <f>IF(parameters!$C$27="B",'consumption scenario B'!X9,IF(parameters!$C$27="C",'consumption scenario C'!X9,'consumption scenario A'!X9))</f>
        <v>3.1122373810134499E-3</v>
      </c>
      <c r="Y10" s="115">
        <f>IF(parameters!$C$27="B",'consumption scenario B'!Y9,IF(parameters!$C$27="C",'consumption scenario C'!Y9,'consumption scenario A'!Y9))</f>
        <v>3.0532985191880223E-3</v>
      </c>
      <c r="Z10" s="115">
        <f>IF(parameters!$C$27="B",'consumption scenario B'!Z9,IF(parameters!$C$27="C",'consumption scenario C'!Z9,'consumption scenario A'!Z9))</f>
        <v>2.9938200089154095E-3</v>
      </c>
      <c r="AA10" s="115">
        <f>IF(parameters!$C$27="B",'consumption scenario B'!AA9,IF(parameters!$C$27="C",'consumption scenario C'!AA9,'consumption scenario A'!AA9))</f>
        <v>2.9360306533115998E-3</v>
      </c>
      <c r="AB10" s="115">
        <f>IF(parameters!$C$27="B",'consumption scenario B'!AB9,IF(parameters!$C$27="C",'consumption scenario C'!AB9,'consumption scenario A'!AB9))</f>
        <v>2.8801586583511382E-3</v>
      </c>
      <c r="AC10" s="115">
        <f>IF(parameters!$C$27="B",'consumption scenario B'!AC9,IF(parameters!$C$27="C",'consumption scenario C'!AC9,'consumption scenario A'!AC9))</f>
        <v>2.8264148864847421E-3</v>
      </c>
      <c r="AD10" s="115">
        <f>IF(parameters!$C$27="B",'consumption scenario B'!AD9,IF(parameters!$C$27="C",'consumption scenario C'!AD9,'consumption scenario A'!AD9))</f>
        <v>2.7747462920475496E-3</v>
      </c>
      <c r="AE10" s="115">
        <f>IF(parameters!$C$27="B",'consumption scenario B'!AE9,IF(parameters!$C$27="C",'consumption scenario C'!AE9,'consumption scenario A'!AE9))</f>
        <v>2.7249286112653957E-3</v>
      </c>
      <c r="AF10" s="115">
        <f>IF(parameters!$C$27="B",'consumption scenario B'!AF9,IF(parameters!$C$27="C",'consumption scenario C'!AF9,'consumption scenario A'!AF9))</f>
        <v>2.677669590372648E-3</v>
      </c>
      <c r="AG10" s="115">
        <f>IF(parameters!$C$27="B",'consumption scenario B'!AG9,IF(parameters!$C$27="C",'consumption scenario C'!AG9,'consumption scenario A'!AG9))</f>
        <v>2.6322373614181011E-3</v>
      </c>
      <c r="AH10" s="115">
        <f>IF(parameters!$C$27="B",'consumption scenario B'!AH9,IF(parameters!$C$27="C",'consumption scenario C'!AH9,'consumption scenario A'!AH9))</f>
        <v>2.5855459218339788E-3</v>
      </c>
      <c r="AI10" s="115">
        <f>IF(parameters!$C$27="B",'consumption scenario B'!AI9,IF(parameters!$C$27="C",'consumption scenario C'!AI9,'consumption scenario A'!AI9))</f>
        <v>2.5416482389197729E-3</v>
      </c>
      <c r="AJ10" s="115">
        <f>IF(parameters!$C$27="B",'consumption scenario B'!AJ9,IF(parameters!$C$27="C",'consumption scenario C'!AJ9,'consumption scenario A'!AJ9))</f>
        <v>2.4995796744412204E-3</v>
      </c>
      <c r="AK10" s="115">
        <f>IF(parameters!$C$27="B",'consumption scenario B'!AK9,IF(parameters!$C$27="C",'consumption scenario C'!AK9,'consumption scenario A'!AK9))</f>
        <v>2.4596051514647376E-3</v>
      </c>
      <c r="AL10" s="60">
        <v>2.1511397178275039E-3</v>
      </c>
    </row>
    <row r="11" spans="1:38">
      <c r="A11" s="57" t="s">
        <v>26</v>
      </c>
      <c r="B11" s="115">
        <f>IF(parameters!$C$27="B",'consumption scenario B'!B10,IF(parameters!$C$27="C",'consumption scenario C'!B10,'consumption scenario A'!B10))</f>
        <v>8.4166511630701268E-2</v>
      </c>
      <c r="C11" s="341">
        <f>IF(parameters!$C$27="B",'consumption scenario B'!C10,IF(parameters!$C$27="C",'consumption scenario C'!C10,'consumption scenario A'!C10))</f>
        <v>8.5692120231936994E-2</v>
      </c>
      <c r="D11" s="341">
        <f>IF(parameters!$C$27="B",'consumption scenario B'!D10,IF(parameters!$C$27="C",'consumption scenario C'!D10,'consumption scenario A'!D10))</f>
        <v>8.5412684212981829E-2</v>
      </c>
      <c r="E11" s="341">
        <f>IF(parameters!$C$27="B",'consumption scenario B'!E10,IF(parameters!$C$27="C",'consumption scenario C'!E10,'consumption scenario A'!E10))</f>
        <v>8.7322338930097929E-2</v>
      </c>
      <c r="F11" s="341">
        <f>IF(parameters!$C$27="B",'consumption scenario B'!F10,IF(parameters!$C$27="C",'consumption scenario C'!F10,'consumption scenario A'!F10))</f>
        <v>8.5662978763283465E-2</v>
      </c>
      <c r="G11" s="341">
        <f>IF(parameters!$C$27="B",'consumption scenario B'!G10,IF(parameters!$C$27="C",'consumption scenario C'!G10,'consumption scenario A'!G10))</f>
        <v>8.5290847712305912E-2</v>
      </c>
      <c r="H11" s="341">
        <f>IF(parameters!$C$27="B",'consumption scenario B'!H10,IF(parameters!$C$27="C",'consumption scenario C'!H10,'consumption scenario A'!H10))</f>
        <v>8.9915337498831169E-2</v>
      </c>
      <c r="I11" s="341">
        <f>IF(parameters!$C$27="B",'consumption scenario B'!I10,IF(parameters!$C$27="C",'consumption scenario C'!I10,'consumption scenario A'!I10))</f>
        <v>8.4226102641181549E-2</v>
      </c>
      <c r="J11" s="341">
        <f>IF(parameters!$C$27="B",'consumption scenario B'!J10,IF(parameters!$C$27="C",'consumption scenario C'!J10,'consumption scenario A'!J10))</f>
        <v>8.0120742292318914E-2</v>
      </c>
      <c r="K11" s="560">
        <f>IF(parameters!$C$27="B",'consumption scenario B'!K10,IF(parameters!$C$27="C",'consumption scenario C'!K10,'consumption scenario A'!K10))</f>
        <v>7.3219101821964866E-2</v>
      </c>
      <c r="L11" s="560">
        <f>IF(parameters!$C$27="B",'consumption scenario B'!L10,IF(parameters!$C$27="C",'consumption scenario C'!L10,'consumption scenario A'!L10))</f>
        <v>7.2795057827221066E-2</v>
      </c>
      <c r="M11" s="374">
        <f>IF(parameters!$C$27="B",'consumption scenario B'!M10,IF(parameters!$C$27="C",'consumption scenario C'!M10,'consumption scenario A'!M10))</f>
        <v>7.7892026853169621E-2</v>
      </c>
      <c r="N11" s="341">
        <f>IF(parameters!$C$27="B",'consumption scenario B'!N10,IF(parameters!$C$27="C",'consumption scenario C'!N10,'consumption scenario A'!N10))</f>
        <v>7.8884465846582999E-2</v>
      </c>
      <c r="O11" s="341">
        <f>IF(parameters!$C$27="B",'consumption scenario B'!O10,IF(parameters!$C$27="C",'consumption scenario C'!O10,'consumption scenario A'!O10))</f>
        <v>8.5670720206551074E-2</v>
      </c>
      <c r="P11" s="341">
        <f>IF(parameters!$C$27="B",'consumption scenario B'!P10,IF(parameters!$C$27="C",'consumption scenario C'!P10,'consumption scenario A'!P10))</f>
        <v>8.3695308384332701E-2</v>
      </c>
      <c r="Q11" s="341">
        <f>IF(parameters!$C$27="B",'consumption scenario B'!Q10,IF(parameters!$C$27="C",'consumption scenario C'!Q10,'consumption scenario A'!Q10))</f>
        <v>8.3692092396285639E-2</v>
      </c>
      <c r="R11" s="341">
        <f>IF(parameters!$C$27="B",'consumption scenario B'!R10,IF(parameters!$C$27="C",'consumption scenario C'!R10,'consumption scenario A'!R10))</f>
        <v>8.3731991902284544E-2</v>
      </c>
      <c r="S11" s="341">
        <f>IF(parameters!$C$27="B",'consumption scenario B'!S10,IF(parameters!$C$27="C",'consumption scenario C'!S10,'consumption scenario A'!S10))</f>
        <v>8.3912644719406057E-2</v>
      </c>
      <c r="T11" s="341">
        <f>IF(parameters!$C$27="B",'consumption scenario B'!T10,IF(parameters!$C$27="C",'consumption scenario C'!T10,'consumption scenario A'!T10))</f>
        <v>8.4076447646455776E-2</v>
      </c>
      <c r="U11" s="341">
        <f>IF(parameters!$C$27="B",'consumption scenario B'!U10,IF(parameters!$C$27="C",'consumption scenario C'!U10,'consumption scenario A'!U10))</f>
        <v>8.4157254819535357E-2</v>
      </c>
      <c r="V11" s="341">
        <f>IF(parameters!$C$27="B",'consumption scenario B'!V10,IF(parameters!$C$27="C",'consumption scenario C'!V10,'consumption scenario A'!V10))</f>
        <v>8.4243482282983215E-2</v>
      </c>
      <c r="W11" s="341">
        <f>IF(parameters!$C$27="B",'consumption scenario B'!W10,IF(parameters!$C$27="C",'consumption scenario C'!W10,'consumption scenario A'!W10))</f>
        <v>8.4423274308865009E-2</v>
      </c>
      <c r="X11" s="341">
        <f>IF(parameters!$C$27="B",'consumption scenario B'!X10,IF(parameters!$C$27="C",'consumption scenario C'!X10,'consumption scenario A'!X10))</f>
        <v>8.4637439884773208E-2</v>
      </c>
      <c r="Y11" s="341">
        <f>IF(parameters!$C$27="B",'consumption scenario B'!Y10,IF(parameters!$C$27="C",'consumption scenario C'!Y10,'consumption scenario A'!Y10))</f>
        <v>8.4862042283900832E-2</v>
      </c>
      <c r="Z11" s="341">
        <f>IF(parameters!$C$27="B",'consumption scenario B'!Z10,IF(parameters!$C$27="C",'consumption scenario C'!Z10,'consumption scenario A'!Z10))</f>
        <v>8.5026526924903631E-2</v>
      </c>
      <c r="AA11" s="341">
        <f>IF(parameters!$C$27="B",'consumption scenario B'!AA10,IF(parameters!$C$27="C",'consumption scenario C'!AA10,'consumption scenario A'!AA10))</f>
        <v>8.5219790651326385E-2</v>
      </c>
      <c r="AB11" s="341">
        <f>IF(parameters!$C$27="B",'consumption scenario B'!AB10,IF(parameters!$C$27="C",'consumption scenario C'!AB10,'consumption scenario A'!AB10))</f>
        <v>8.5401743788318177E-2</v>
      </c>
      <c r="AC11" s="341">
        <f>IF(parameters!$C$27="B",'consumption scenario B'!AC10,IF(parameters!$C$27="C",'consumption scenario C'!AC10,'consumption scenario A'!AC10))</f>
        <v>8.5537189770688832E-2</v>
      </c>
      <c r="AD11" s="341">
        <f>IF(parameters!$C$27="B",'consumption scenario B'!AD10,IF(parameters!$C$27="C",'consumption scenario C'!AD10,'consumption scenario A'!AD10))</f>
        <v>8.5651131624441074E-2</v>
      </c>
      <c r="AE11" s="341">
        <f>IF(parameters!$C$27="B",'consumption scenario B'!AE10,IF(parameters!$C$27="C",'consumption scenario C'!AE10,'consumption scenario A'!AE10))</f>
        <v>8.5748320539465142E-2</v>
      </c>
      <c r="AF11" s="341">
        <f>IF(parameters!$C$27="B",'consumption scenario B'!AF10,IF(parameters!$C$27="C",'consumption scenario C'!AF10,'consumption scenario A'!AF10))</f>
        <v>8.5861736628901106E-2</v>
      </c>
      <c r="AG11" s="341">
        <f>IF(parameters!$C$27="B",'consumption scenario B'!AG10,IF(parameters!$C$27="C",'consumption scenario C'!AG10,'consumption scenario A'!AG10))</f>
        <v>8.5911694597958138E-2</v>
      </c>
      <c r="AH11" s="341">
        <f>IF(parameters!$C$27="B",'consumption scenario B'!AH10,IF(parameters!$C$27="C",'consumption scenario C'!AH10,'consumption scenario A'!AH10))</f>
        <v>8.5949926371758259E-2</v>
      </c>
      <c r="AI11" s="341">
        <f>IF(parameters!$C$27="B",'consumption scenario B'!AI10,IF(parameters!$C$27="C",'consumption scenario C'!AI10,'consumption scenario A'!AI10))</f>
        <v>8.5993181118063852E-2</v>
      </c>
      <c r="AJ11" s="341">
        <f>IF(parameters!$C$27="B",'consumption scenario B'!AJ10,IF(parameters!$C$27="C",'consumption scenario C'!AJ10,'consumption scenario A'!AJ10))</f>
        <v>8.6075512304539123E-2</v>
      </c>
      <c r="AK11" s="341">
        <f>IF(parameters!$C$27="B",'consumption scenario B'!AK10,IF(parameters!$C$27="C",'consumption scenario C'!AK10,'consumption scenario A'!AK10))</f>
        <v>8.6202712287141242E-2</v>
      </c>
      <c r="AL11" s="60">
        <v>5.935575686312184E-2</v>
      </c>
    </row>
    <row r="12" spans="1:38">
      <c r="A12" s="57" t="s">
        <v>58</v>
      </c>
      <c r="B12" s="115">
        <f>IF(parameters!$C$27="B",'consumption scenario B'!B11,IF(parameters!$C$27="C",'consumption scenario C'!B11,'consumption scenario A'!B11))</f>
        <v>2.5619835112737261E-2</v>
      </c>
      <c r="C12" s="115">
        <f>IF(parameters!$C$27="B",'consumption scenario B'!C11,IF(parameters!$C$27="C",'consumption scenario C'!C11,'consumption scenario A'!C11))</f>
        <v>2.864199903128303E-2</v>
      </c>
      <c r="D12" s="115">
        <f>IF(parameters!$C$27="B",'consumption scenario B'!D11,IF(parameters!$C$27="C",'consumption scenario C'!D11,'consumption scenario A'!D11))</f>
        <v>2.4351163685010991E-2</v>
      </c>
      <c r="E12" s="115">
        <f>IF(parameters!$C$27="B",'consumption scenario B'!E11,IF(parameters!$C$27="C",'consumption scenario C'!E11,'consumption scenario A'!E11))</f>
        <v>2.5910547916754244E-2</v>
      </c>
      <c r="F12" s="115">
        <f>IF(parameters!$C$27="B",'consumption scenario B'!F11,IF(parameters!$C$27="C",'consumption scenario C'!F11,'consumption scenario A'!F11))</f>
        <v>2.4137076390130387E-2</v>
      </c>
      <c r="G12" s="115">
        <f>IF(parameters!$C$27="B",'consumption scenario B'!G11,IF(parameters!$C$27="C",'consumption scenario C'!G11,'consumption scenario A'!G11))</f>
        <v>2.4553740910274364E-2</v>
      </c>
      <c r="H12" s="115">
        <f>IF(parameters!$C$27="B",'consumption scenario B'!H11,IF(parameters!$C$27="C",'consumption scenario C'!H11,'consumption scenario A'!H11))</f>
        <v>4.2340021288398137E-2</v>
      </c>
      <c r="I12" s="115">
        <f>IF(parameters!$C$27="B",'consumption scenario B'!I11,IF(parameters!$C$27="C",'consumption scenario C'!I11,'consumption scenario A'!I11))</f>
        <v>3.4990611636400056E-2</v>
      </c>
      <c r="J12" s="115">
        <f>IF(parameters!$C$27="B",'consumption scenario B'!J11,IF(parameters!$C$27="C",'consumption scenario C'!J11,'consumption scenario A'!J11))</f>
        <v>3.4530208851710584E-2</v>
      </c>
      <c r="K12" s="560">
        <f>IF(parameters!$C$27="B",'consumption scenario B'!K11,IF(parameters!$C$27="C",'consumption scenario C'!K11,'consumption scenario A'!K11))</f>
        <v>2.4050060263824075E-2</v>
      </c>
      <c r="L12" s="560">
        <f>IF(parameters!$C$27="B",'consumption scenario B'!L11,IF(parameters!$C$27="C",'consumption scenario C'!L11,'consumption scenario A'!L11))</f>
        <v>2.2825849259334761E-2</v>
      </c>
      <c r="M12" s="374">
        <f>IF(parameters!$C$27="B",'consumption scenario B'!M11,IF(parameters!$C$27="C",'consumption scenario C'!M11,'consumption scenario A'!M11))</f>
        <v>1.2050038567881257E-2</v>
      </c>
      <c r="N12" s="115">
        <f>IF(parameters!$C$27="B",'consumption scenario B'!N11,IF(parameters!$C$27="C",'consumption scenario C'!N11,'consumption scenario A'!N11))</f>
        <v>1.1588094149661709E-2</v>
      </c>
      <c r="O12" s="115">
        <f>IF(parameters!$C$27="B",'consumption scenario B'!O11,IF(parameters!$C$27="C",'consumption scenario C'!O11,'consumption scenario A'!O11))</f>
        <v>1.3398416428017661E-2</v>
      </c>
      <c r="P12" s="115">
        <f>IF(parameters!$C$27="B",'consumption scenario B'!P11,IF(parameters!$C$27="C",'consumption scenario C'!P11,'consumption scenario A'!P11))</f>
        <v>1.2985638050515865E-2</v>
      </c>
      <c r="Q12" s="115">
        <f>IF(parameters!$C$27="B",'consumption scenario B'!Q11,IF(parameters!$C$27="C",'consumption scenario C'!Q11,'consumption scenario A'!Q11))</f>
        <v>1.3352816594056155E-2</v>
      </c>
      <c r="R12" s="115">
        <f>IF(parameters!$C$27="B",'consumption scenario B'!R11,IF(parameters!$C$27="C",'consumption scenario C'!R11,'consumption scenario A'!R11))</f>
        <v>1.3677431797412881E-2</v>
      </c>
      <c r="S12" s="115">
        <f>IF(parameters!$C$27="B",'consumption scenario B'!S11,IF(parameters!$C$27="C",'consumption scenario C'!S11,'consumption scenario A'!S11))</f>
        <v>1.3766788952679083E-2</v>
      </c>
      <c r="T12" s="115">
        <f>IF(parameters!$C$27="B",'consumption scenario B'!T11,IF(parameters!$C$27="C",'consumption scenario C'!T11,'consumption scenario A'!T11))</f>
        <v>1.3635867038036077E-2</v>
      </c>
      <c r="U12" s="115">
        <f>IF(parameters!$C$27="B",'consumption scenario B'!U11,IF(parameters!$C$27="C",'consumption scenario C'!U11,'consumption scenario A'!U11))</f>
        <v>1.3460214044222962E-2</v>
      </c>
      <c r="V12" s="115">
        <f>IF(parameters!$C$27="B",'consumption scenario B'!V11,IF(parameters!$C$27="C",'consumption scenario C'!V11,'consumption scenario A'!V11))</f>
        <v>1.3274947829166599E-2</v>
      </c>
      <c r="W12" s="115">
        <f>IF(parameters!$C$27="B",'consumption scenario B'!W11,IF(parameters!$C$27="C",'consumption scenario C'!W11,'consumption scenario A'!W11))</f>
        <v>1.307571247786145E-2</v>
      </c>
      <c r="X12" s="115">
        <f>IF(parameters!$C$27="B",'consumption scenario B'!X11,IF(parameters!$C$27="C",'consumption scenario C'!X11,'consumption scenario A'!X11))</f>
        <v>1.2888941982639346E-2</v>
      </c>
      <c r="Y12" s="115">
        <f>IF(parameters!$C$27="B",'consumption scenario B'!Y11,IF(parameters!$C$27="C",'consumption scenario C'!Y11,'consumption scenario A'!Y11))</f>
        <v>1.2717684300974572E-2</v>
      </c>
      <c r="Z12" s="115">
        <f>IF(parameters!$C$27="B",'consumption scenario B'!Z11,IF(parameters!$C$27="C",'consumption scenario C'!Z11,'consumption scenario A'!Z11))</f>
        <v>1.2569816400172597E-2</v>
      </c>
      <c r="AA12" s="115">
        <f>IF(parameters!$C$27="B",'consumption scenario B'!AA11,IF(parameters!$C$27="C",'consumption scenario C'!AA11,'consumption scenario A'!AA11))</f>
        <v>1.2400512102429337E-2</v>
      </c>
      <c r="AB12" s="115">
        <f>IF(parameters!$C$27="B",'consumption scenario B'!AB11,IF(parameters!$C$27="C",'consumption scenario C'!AB11,'consumption scenario A'!AB11))</f>
        <v>1.2247181164061986E-2</v>
      </c>
      <c r="AC12" s="115">
        <f>IF(parameters!$C$27="B",'consumption scenario B'!AC11,IF(parameters!$C$27="C",'consumption scenario C'!AC11,'consumption scenario A'!AC11))</f>
        <v>1.2092317400129742E-2</v>
      </c>
      <c r="AD12" s="115">
        <f>IF(parameters!$C$27="B",'consumption scenario B'!AD11,IF(parameters!$C$27="C",'consumption scenario C'!AD11,'consumption scenario A'!AD11))</f>
        <v>1.1946230288600018E-2</v>
      </c>
      <c r="AE12" s="115">
        <f>IF(parameters!$C$27="B",'consumption scenario B'!AE11,IF(parameters!$C$27="C",'consumption scenario C'!AE11,'consumption scenario A'!AE11))</f>
        <v>1.1806716533160698E-2</v>
      </c>
      <c r="AF12" s="115">
        <f>IF(parameters!$C$27="B",'consumption scenario B'!AF11,IF(parameters!$C$27="C",'consumption scenario C'!AF11,'consumption scenario A'!AF11))</f>
        <v>1.1672214410881915E-2</v>
      </c>
      <c r="AG12" s="115">
        <f>IF(parameters!$C$27="B",'consumption scenario B'!AG11,IF(parameters!$C$27="C",'consumption scenario C'!AG11,'consumption scenario A'!AG11))</f>
        <v>1.1534635276977704E-2</v>
      </c>
      <c r="AH12" s="115">
        <f>IF(parameters!$C$27="B",'consumption scenario B'!AH11,IF(parameters!$C$27="C",'consumption scenario C'!AH11,'consumption scenario A'!AH11))</f>
        <v>1.1444218647104673E-2</v>
      </c>
      <c r="AI12" s="115">
        <f>IF(parameters!$C$27="B",'consumption scenario B'!AI11,IF(parameters!$C$27="C",'consumption scenario C'!AI11,'consumption scenario A'!AI11))</f>
        <v>1.1351743534269272E-2</v>
      </c>
      <c r="AJ12" s="115">
        <f>IF(parameters!$C$27="B",'consumption scenario B'!AJ11,IF(parameters!$C$27="C",'consumption scenario C'!AJ11,'consumption scenario A'!AJ11))</f>
        <v>1.1265936471791809E-2</v>
      </c>
      <c r="AK12" s="115">
        <f>IF(parameters!$C$27="B",'consumption scenario B'!AK11,IF(parameters!$C$27="C",'consumption scenario C'!AK11,'consumption scenario A'!AK11))</f>
        <v>1.1179680800631753E-2</v>
      </c>
      <c r="AL12" s="60">
        <v>2.5051406180376285E-2</v>
      </c>
    </row>
    <row r="13" spans="1:38">
      <c r="A13" s="57" t="s">
        <v>27</v>
      </c>
      <c r="B13" s="115">
        <f>IF(parameters!$C$27="B",'consumption scenario B'!B12,IF(parameters!$C$27="C",'consumption scenario C'!B12,'consumption scenario A'!B12))</f>
        <v>0.11340058728126334</v>
      </c>
      <c r="C13" s="115">
        <f>IF(parameters!$C$27="B",'consumption scenario B'!C12,IF(parameters!$C$27="C",'consumption scenario C'!C12,'consumption scenario A'!C12))</f>
        <v>0.11758793000426805</v>
      </c>
      <c r="D13" s="115">
        <f>IF(parameters!$C$27="B",'consumption scenario B'!D12,IF(parameters!$C$27="C",'consumption scenario C'!D12,'consumption scenario A'!D12))</f>
        <v>0.12083236534357662</v>
      </c>
      <c r="E13" s="115">
        <f>IF(parameters!$C$27="B",'consumption scenario B'!E12,IF(parameters!$C$27="C",'consumption scenario C'!E12,'consumption scenario A'!E12))</f>
        <v>0.12406605889884764</v>
      </c>
      <c r="F13" s="115">
        <f>IF(parameters!$C$27="B",'consumption scenario B'!F12,IF(parameters!$C$27="C",'consumption scenario C'!F12,'consumption scenario A'!F12))</f>
        <v>0.12554224157063595</v>
      </c>
      <c r="G13" s="115">
        <f>IF(parameters!$C$27="B",'consumption scenario B'!G12,IF(parameters!$C$27="C",'consumption scenario C'!G12,'consumption scenario A'!G12))</f>
        <v>0.11918711395646608</v>
      </c>
      <c r="H13" s="115">
        <f>IF(parameters!$C$27="B",'consumption scenario B'!H12,IF(parameters!$C$27="C",'consumption scenario C'!H12,'consumption scenario A'!H12))</f>
        <v>0.12420364660691421</v>
      </c>
      <c r="I13" s="115">
        <f>IF(parameters!$C$27="B",'consumption scenario B'!I12,IF(parameters!$C$27="C",'consumption scenario C'!I12,'consumption scenario A'!I12))</f>
        <v>0.12124954673495521</v>
      </c>
      <c r="J13" s="115">
        <f>IF(parameters!$C$27="B",'consumption scenario B'!J12,IF(parameters!$C$27="C",'consumption scenario C'!J12,'consumption scenario A'!J12))</f>
        <v>0.12136216645326504</v>
      </c>
      <c r="K13" s="560">
        <f>IF(parameters!$C$27="B",'consumption scenario B'!K12,IF(parameters!$C$27="C",'consumption scenario C'!K12,'consumption scenario A'!K12))</f>
        <v>0.11726217328211695</v>
      </c>
      <c r="L13" s="560">
        <f>IF(parameters!$C$27="B",'consumption scenario B'!L12,IF(parameters!$C$27="C",'consumption scenario C'!L12,'consumption scenario A'!L12))</f>
        <v>0.11633632095603927</v>
      </c>
      <c r="M13" s="374">
        <f>IF(parameters!$C$27="B",'consumption scenario B'!M12,IF(parameters!$C$27="C",'consumption scenario C'!M12,'consumption scenario A'!M12))</f>
        <v>0.11699780619243867</v>
      </c>
      <c r="N13" s="115">
        <f>IF(parameters!$C$27="B",'consumption scenario B'!N12,IF(parameters!$C$27="C",'consumption scenario C'!N12,'consumption scenario A'!N12))</f>
        <v>0.12149176269739652</v>
      </c>
      <c r="O13" s="115">
        <f>IF(parameters!$C$27="B",'consumption scenario B'!O12,IF(parameters!$C$27="C",'consumption scenario C'!O12,'consumption scenario A'!O12))</f>
        <v>0.12028793512590696</v>
      </c>
      <c r="P13" s="115">
        <f>IF(parameters!$C$27="B",'consumption scenario B'!P12,IF(parameters!$C$27="C",'consumption scenario C'!P12,'consumption scenario A'!P12))</f>
        <v>0.11862723687580025</v>
      </c>
      <c r="Q13" s="115">
        <f>IF(parameters!$C$27="B",'consumption scenario B'!Q12,IF(parameters!$C$27="C",'consumption scenario C'!Q12,'consumption scenario A'!Q12))</f>
        <v>0.11684761416986772</v>
      </c>
      <c r="R13" s="115">
        <f>IF(parameters!$C$27="B",'consumption scenario B'!R12,IF(parameters!$C$27="C",'consumption scenario C'!R12,'consumption scenario A'!R12))</f>
        <v>0.11521526589842083</v>
      </c>
      <c r="S13" s="115">
        <f>IF(parameters!$C$27="B",'consumption scenario B'!S12,IF(parameters!$C$27="C",'consumption scenario C'!S12,'consumption scenario A'!S12))</f>
        <v>0.11355577635510031</v>
      </c>
      <c r="T13" s="115">
        <f>IF(parameters!$C$27="B",'consumption scenario B'!T12,IF(parameters!$C$27="C",'consumption scenario C'!T12,'consumption scenario A'!T12))</f>
        <v>0.11187522321809647</v>
      </c>
      <c r="U13" s="115">
        <f>IF(parameters!$C$27="B",'consumption scenario B'!U12,IF(parameters!$C$27="C",'consumption scenario C'!U12,'consumption scenario A'!U12))</f>
        <v>0.11009632437046522</v>
      </c>
      <c r="V13" s="115">
        <f>IF(parameters!$C$27="B",'consumption scenario B'!V12,IF(parameters!$C$27="C",'consumption scenario C'!V12,'consumption scenario A'!V12))</f>
        <v>0.10833609901835253</v>
      </c>
      <c r="W13" s="115">
        <f>IF(parameters!$C$27="B",'consumption scenario B'!W12,IF(parameters!$C$27="C",'consumption scenario C'!W12,'consumption scenario A'!W12))</f>
        <v>0.10663235510029878</v>
      </c>
      <c r="X13" s="115">
        <f>IF(parameters!$C$27="B",'consumption scenario B'!X12,IF(parameters!$C$27="C",'consumption scenario C'!X12,'consumption scenario A'!X12))</f>
        <v>0.10476178915919761</v>
      </c>
      <c r="Y13" s="115">
        <f>IF(parameters!$C$27="B",'consumption scenario B'!Y12,IF(parameters!$C$27="C",'consumption scenario C'!Y12,'consumption scenario A'!Y12))</f>
        <v>0.10292075800256084</v>
      </c>
      <c r="Z13" s="115">
        <f>IF(parameters!$C$27="B",'consumption scenario B'!Z12,IF(parameters!$C$27="C",'consumption scenario C'!Z12,'consumption scenario A'!Z12))</f>
        <v>0.1018107383696116</v>
      </c>
      <c r="AA13" s="115">
        <f>IF(parameters!$C$27="B",'consumption scenario B'!AA12,IF(parameters!$C$27="C",'consumption scenario C'!AA12,'consumption scenario A'!AA12))</f>
        <v>0.1015605360648741</v>
      </c>
      <c r="AB13" s="115">
        <f>IF(parameters!$C$27="B",'consumption scenario B'!AB12,IF(parameters!$C$27="C",'consumption scenario C'!AB12,'consumption scenario A'!AB12))</f>
        <v>0.10167605292360224</v>
      </c>
      <c r="AC13" s="115">
        <f>IF(parameters!$C$27="B",'consumption scenario B'!AC12,IF(parameters!$C$27="C",'consumption scenario C'!AC12,'consumption scenario A'!AC12))</f>
        <v>0.10186643790012807</v>
      </c>
      <c r="AD13" s="115">
        <f>IF(parameters!$C$27="B",'consumption scenario B'!AD12,IF(parameters!$C$27="C",'consumption scenario C'!AD12,'consumption scenario A'!AD12))</f>
        <v>0.10217900469483568</v>
      </c>
      <c r="AE13" s="115">
        <f>IF(parameters!$C$27="B",'consumption scenario B'!AE12,IF(parameters!$C$27="C",'consumption scenario C'!AE12,'consumption scenario A'!AE12))</f>
        <v>0.10262277080665815</v>
      </c>
      <c r="AF13" s="115">
        <f>IF(parameters!$C$27="B",'consumption scenario B'!AF12,IF(parameters!$C$27="C",'consumption scenario C'!AF12,'consumption scenario A'!AF12))</f>
        <v>0.1031030712761417</v>
      </c>
      <c r="AG13" s="115">
        <f>IF(parameters!$C$27="B",'consumption scenario B'!AG12,IF(parameters!$C$27="C",'consumption scenario C'!AG12,'consumption scenario A'!AG12))</f>
        <v>0.10337257840375587</v>
      </c>
      <c r="AH13" s="115">
        <f>IF(parameters!$C$27="B",'consumption scenario B'!AH12,IF(parameters!$C$27="C",'consumption scenario C'!AH12,'consumption scenario A'!AH12))</f>
        <v>0.10373361536491674</v>
      </c>
      <c r="AI13" s="115">
        <f>IF(parameters!$C$27="B",'consumption scenario B'!AI12,IF(parameters!$C$27="C",'consumption scenario C'!AI12,'consumption scenario A'!AI12))</f>
        <v>0.1040946523260777</v>
      </c>
      <c r="AJ13" s="115">
        <f>IF(parameters!$C$27="B",'consumption scenario B'!AJ12,IF(parameters!$C$27="C",'consumption scenario C'!AJ12,'consumption scenario A'!AJ12))</f>
        <v>0.10445568928723856</v>
      </c>
      <c r="AK13" s="115">
        <f>IF(parameters!$C$27="B",'consumption scenario B'!AK12,IF(parameters!$C$27="C",'consumption scenario C'!AK12,'consumption scenario A'!AK12))</f>
        <v>0.10481672624839952</v>
      </c>
      <c r="AL13" s="60">
        <v>0.39820753717168728</v>
      </c>
    </row>
    <row r="14" spans="1:38">
      <c r="A14" s="57" t="s">
        <v>28</v>
      </c>
      <c r="B14" s="85">
        <f t="shared" ref="B14:AK14" si="0">SUM(B8:B13)</f>
        <v>0.23649201249412372</v>
      </c>
      <c r="C14" s="85">
        <f t="shared" si="0"/>
        <v>0.24621489762214216</v>
      </c>
      <c r="D14" s="85">
        <f t="shared" si="0"/>
        <v>0.24397965989171605</v>
      </c>
      <c r="E14" s="85">
        <f t="shared" si="0"/>
        <v>0.25066020350820761</v>
      </c>
      <c r="F14" s="85">
        <f t="shared" si="0"/>
        <v>0.249849480007796</v>
      </c>
      <c r="G14" s="85">
        <f t="shared" si="0"/>
        <v>0.24359130474060947</v>
      </c>
      <c r="H14" s="85">
        <f t="shared" si="0"/>
        <v>0.27025102292012504</v>
      </c>
      <c r="I14" s="85">
        <f t="shared" si="0"/>
        <v>0.25157725844133927</v>
      </c>
      <c r="J14" s="85">
        <f t="shared" si="0"/>
        <v>0.24485277808769879</v>
      </c>
      <c r="K14" s="85">
        <f t="shared" si="0"/>
        <v>0.22416091251479148</v>
      </c>
      <c r="L14" s="85">
        <f t="shared" si="0"/>
        <v>0.22270538267484336</v>
      </c>
      <c r="M14" s="375">
        <f t="shared" si="0"/>
        <v>0.2173628157078531</v>
      </c>
      <c r="N14" s="85">
        <f t="shared" si="0"/>
        <v>0.22365444747859964</v>
      </c>
      <c r="O14" s="85">
        <f t="shared" si="0"/>
        <v>0.23077088852655953</v>
      </c>
      <c r="P14" s="85">
        <f t="shared" si="0"/>
        <v>0.22619846295549445</v>
      </c>
      <c r="Q14" s="85">
        <f t="shared" si="0"/>
        <v>0.22457935684422514</v>
      </c>
      <c r="R14" s="85">
        <f t="shared" si="0"/>
        <v>0.2230987405912786</v>
      </c>
      <c r="S14" s="85">
        <f t="shared" si="0"/>
        <v>0.22152883761234568</v>
      </c>
      <c r="T14" s="85">
        <f t="shared" si="0"/>
        <v>0.21973757651489567</v>
      </c>
      <c r="U14" s="85">
        <f t="shared" si="0"/>
        <v>0.21773636457314433</v>
      </c>
      <c r="V14" s="85">
        <f t="shared" si="0"/>
        <v>0.21576090306144552</v>
      </c>
      <c r="W14" s="85">
        <f t="shared" si="0"/>
        <v>0.21393056646667391</v>
      </c>
      <c r="X14" s="85">
        <f t="shared" si="0"/>
        <v>0.21198473818485331</v>
      </c>
      <c r="Y14" s="85">
        <f t="shared" si="0"/>
        <v>0.21009298956397982</v>
      </c>
      <c r="Z14" s="85">
        <f t="shared" si="0"/>
        <v>0.20889169630789309</v>
      </c>
      <c r="AA14" s="85">
        <f t="shared" si="0"/>
        <v>0.2085617026074085</v>
      </c>
      <c r="AB14" s="85">
        <f t="shared" si="0"/>
        <v>0.20860283231609694</v>
      </c>
      <c r="AC14" s="85">
        <f t="shared" si="0"/>
        <v>0.20866915586414092</v>
      </c>
      <c r="AD14" s="85">
        <f t="shared" si="0"/>
        <v>0.20884744776131137</v>
      </c>
      <c r="AE14" s="85">
        <f t="shared" si="0"/>
        <v>0.20915184956894556</v>
      </c>
      <c r="AF14" s="85">
        <f t="shared" si="0"/>
        <v>0.20952061486797754</v>
      </c>
      <c r="AG14" s="85">
        <f t="shared" si="0"/>
        <v>0.20961263120977458</v>
      </c>
      <c r="AH14" s="85">
        <f t="shared" si="0"/>
        <v>0.20983461923031732</v>
      </c>
      <c r="AI14" s="85">
        <f t="shared" si="0"/>
        <v>0.2100585825644154</v>
      </c>
      <c r="AJ14" s="85">
        <f t="shared" si="0"/>
        <v>0.21033376153870778</v>
      </c>
      <c r="AK14" s="85">
        <f t="shared" si="0"/>
        <v>0.21066040832107691</v>
      </c>
      <c r="AL14" s="60">
        <v>0.49179189847302868</v>
      </c>
    </row>
    <row r="15" spans="1:38">
      <c r="A15" s="579" t="s">
        <v>1111</v>
      </c>
      <c r="B15" s="371">
        <v>7.5800000000000006E-2</v>
      </c>
      <c r="C15" s="371">
        <v>7.7799999999999994E-2</v>
      </c>
      <c r="D15" s="371">
        <v>8.2199999999999995E-2</v>
      </c>
      <c r="E15" s="371">
        <v>8.7099999999999997E-2</v>
      </c>
      <c r="F15" s="371">
        <v>8.6699999999999999E-2</v>
      </c>
      <c r="G15" s="371">
        <v>7.8E-2</v>
      </c>
      <c r="H15" s="371">
        <v>8.7900000000000006E-2</v>
      </c>
      <c r="I15" s="371">
        <v>8.2199999999999995E-2</v>
      </c>
      <c r="J15" s="371">
        <v>8.6129999999999998E-2</v>
      </c>
      <c r="K15" s="371">
        <v>8.2250000000000004E-2</v>
      </c>
      <c r="L15" s="371">
        <v>7.6520000000000005E-2</v>
      </c>
      <c r="M15" s="751"/>
      <c r="N15" s="60"/>
      <c r="O15" s="60"/>
      <c r="P15" s="60"/>
      <c r="Q15" s="60"/>
      <c r="R15" s="60"/>
      <c r="S15" s="60"/>
      <c r="T15" s="60"/>
      <c r="U15" s="60"/>
      <c r="V15" s="60"/>
      <c r="W15" s="60"/>
      <c r="X15" s="60"/>
      <c r="Y15" s="60"/>
      <c r="Z15" s="60"/>
      <c r="AA15" s="60"/>
      <c r="AB15" s="60"/>
      <c r="AC15" s="60"/>
      <c r="AD15" s="60"/>
      <c r="AE15" s="60"/>
      <c r="AF15" s="60"/>
    </row>
    <row r="16" spans="1:38">
      <c r="A16" s="57" t="s">
        <v>29</v>
      </c>
      <c r="K16" s="2"/>
      <c r="L16" s="2"/>
      <c r="M16" s="18"/>
    </row>
    <row r="17" spans="1:38">
      <c r="A17" s="57" t="s">
        <v>24</v>
      </c>
      <c r="B17" s="115">
        <f>IF(parameters!$C$27="B",'consumption scenario B'!B15,IF(parameters!$C$27="C",'consumption scenario C'!B15,'consumption scenario A'!B15))</f>
        <v>1.2587159951896001E-3</v>
      </c>
      <c r="C17" s="66">
        <f>IF(parameters!$C$27="B",'consumption scenario B'!C15,IF(parameters!$C$27="C",'consumption scenario C'!C15,'consumption scenario A'!C15))</f>
        <v>1.0560701573511305E-3</v>
      </c>
      <c r="D17" s="66">
        <f>IF(parameters!$C$27="B",'consumption scenario B'!D15,IF(parameters!$C$27="C",'consumption scenario C'!D15,'consumption scenario A'!D15))</f>
        <v>1.3134790445170008E-3</v>
      </c>
      <c r="E17" s="66">
        <f>IF(parameters!$C$27="B",'consumption scenario B'!E15,IF(parameters!$C$27="C",'consumption scenario C'!E15,'consumption scenario A'!E15))</f>
        <v>1.2928443284097851E-3</v>
      </c>
      <c r="F17" s="66">
        <f>IF(parameters!$C$27="B",'consumption scenario B'!F15,IF(parameters!$C$27="C",'consumption scenario C'!F15,'consumption scenario A'!F15))</f>
        <v>2.7083064890720638E-3</v>
      </c>
      <c r="G17" s="66">
        <f>IF(parameters!$C$27="B",'consumption scenario B'!G15,IF(parameters!$C$27="C",'consumption scenario C'!G15,'consumption scenario A'!G15))</f>
        <v>3.0475888404503221E-3</v>
      </c>
      <c r="H17" s="66">
        <f>IF(parameters!$C$27="B",'consumption scenario B'!H15,IF(parameters!$C$27="C",'consumption scenario C'!H15,'consumption scenario A'!H15))</f>
        <v>3.1586988502584068E-3</v>
      </c>
      <c r="I17" s="66">
        <f>IF(parameters!$C$27="B",'consumption scenario B'!I15,IF(parameters!$C$27="C",'consumption scenario C'!I15,'consumption scenario A'!I15))</f>
        <v>3.3729824406025701E-3</v>
      </c>
      <c r="J17" s="66">
        <f>IF(parameters!$C$27="B",'consumption scenario B'!J15,IF(parameters!$C$27="C",'consumption scenario C'!J15,'consumption scenario A'!J15))</f>
        <v>3.571393172402721E-3</v>
      </c>
      <c r="K17" s="538">
        <f>IF(parameters!$C$27="B",'consumption scenario B'!K15,IF(parameters!$C$27="C",'consumption scenario C'!K15,'consumption scenario A'!K15))</f>
        <v>3.140841884396393E-3</v>
      </c>
      <c r="L17" s="538">
        <f>IF(parameters!$C$27="B",'consumption scenario B'!L15,IF(parameters!$C$27="C",'consumption scenario C'!L15,'consumption scenario A'!L15))</f>
        <v>3.0670330921667367E-3</v>
      </c>
      <c r="M17" s="449">
        <f>IF(parameters!$C$27="B",'consumption scenario B'!M15,IF(parameters!$C$27="C",'consumption scenario C'!M15,'consumption scenario A'!M15))</f>
        <v>3.1091878810090394E-3</v>
      </c>
      <c r="N17" s="66">
        <f>IF(parameters!$C$27="B",'consumption scenario B'!N15,IF(parameters!$C$27="C",'consumption scenario C'!N15,'consumption scenario A'!N15))</f>
        <v>3.2197627327273286E-3</v>
      </c>
      <c r="O17" s="66">
        <f>IF(parameters!$C$27="B",'consumption scenario B'!O15,IF(parameters!$C$27="C",'consumption scenario C'!O15,'consumption scenario A'!O15))</f>
        <v>3.1557086388614357E-3</v>
      </c>
      <c r="P17" s="66">
        <f>IF(parameters!$C$27="B",'consumption scenario B'!P15,IF(parameters!$C$27="C",'consumption scenario C'!P15,'consumption scenario A'!P15))</f>
        <v>3.3451249856314789E-3</v>
      </c>
      <c r="Q17" s="66">
        <f>IF(parameters!$C$27="B",'consumption scenario B'!Q15,IF(parameters!$C$27="C",'consumption scenario C'!Q15,'consumption scenario A'!Q15))</f>
        <v>3.4686466356089857E-3</v>
      </c>
      <c r="R17" s="66">
        <f>IF(parameters!$C$27="B",'consumption scenario B'!R15,IF(parameters!$C$27="C",'consumption scenario C'!R15,'consumption scenario A'!R15))</f>
        <v>3.6397486407614547E-3</v>
      </c>
      <c r="S17" s="66">
        <f>IF(parameters!$C$27="B",'consumption scenario B'!S15,IF(parameters!$C$27="C",'consumption scenario C'!S15,'consumption scenario A'!S15))</f>
        <v>3.8137196764535396E-3</v>
      </c>
      <c r="T17" s="66">
        <f>IF(parameters!$C$27="B",'consumption scenario B'!T15,IF(parameters!$C$27="C",'consumption scenario C'!T15,'consumption scenario A'!T15))</f>
        <v>3.8614131381808888E-3</v>
      </c>
      <c r="U17" s="66">
        <f>IF(parameters!$C$27="B",'consumption scenario B'!U15,IF(parameters!$C$27="C",'consumption scenario C'!U15,'consumption scenario A'!U15))</f>
        <v>3.9055805430786975E-3</v>
      </c>
      <c r="V17" s="66">
        <f>IF(parameters!$C$27="B",'consumption scenario B'!V15,IF(parameters!$C$27="C",'consumption scenario C'!V15,'consumption scenario A'!V15))</f>
        <v>3.9660288788183305E-3</v>
      </c>
      <c r="W17" s="66">
        <f>IF(parameters!$C$27="B",'consumption scenario B'!W15,IF(parameters!$C$27="C",'consumption scenario C'!W15,'consumption scenario A'!W15))</f>
        <v>4.0276598456244787E-3</v>
      </c>
      <c r="X17" s="66">
        <f>IF(parameters!$C$27="B",'consumption scenario B'!X15,IF(parameters!$C$27="C",'consumption scenario C'!X15,'consumption scenario A'!X15))</f>
        <v>4.0920833208361578E-3</v>
      </c>
      <c r="Y17" s="66">
        <f>IF(parameters!$C$27="B",'consumption scenario B'!Y15,IF(parameters!$C$27="C",'consumption scenario C'!Y15,'consumption scenario A'!Y15))</f>
        <v>4.153015270723045E-3</v>
      </c>
      <c r="Z17" s="66">
        <f>IF(parameters!$C$27="B",'consumption scenario B'!Z15,IF(parameters!$C$27="C",'consumption scenario C'!Z15,'consumption scenario A'!Z15))</f>
        <v>4.1988430620330704E-3</v>
      </c>
      <c r="AA17" s="66">
        <f>IF(parameters!$C$27="B",'consumption scenario B'!AA15,IF(parameters!$C$27="C",'consumption scenario C'!AA15,'consumption scenario A'!AA15))</f>
        <v>4.2602697207904808E-3</v>
      </c>
      <c r="AB17" s="66">
        <f>IF(parameters!$C$27="B",'consumption scenario B'!AB15,IF(parameters!$C$27="C",'consumption scenario C'!AB15,'consumption scenario A'!AB15))</f>
        <v>4.3121399157615356E-3</v>
      </c>
      <c r="AC17" s="66">
        <f>IF(parameters!$C$27="B",'consumption scenario B'!AC15,IF(parameters!$C$27="C",'consumption scenario C'!AC15,'consumption scenario A'!AC15))</f>
        <v>4.3581033454497915E-3</v>
      </c>
      <c r="AD17" s="66">
        <f>IF(parameters!$C$27="B",'consumption scenario B'!AD15,IF(parameters!$C$27="C",'consumption scenario C'!AD15,'consumption scenario A'!AD15))</f>
        <v>4.4065806281197023E-3</v>
      </c>
      <c r="AE17" s="66">
        <f>IF(parameters!$C$27="B",'consumption scenario B'!AE15,IF(parameters!$C$27="C",'consumption scenario C'!AE15,'consumption scenario A'!AE15))</f>
        <v>4.4595233404313948E-3</v>
      </c>
      <c r="AF17" s="66">
        <f>IF(parameters!$C$27="B",'consumption scenario B'!AF15,IF(parameters!$C$27="C",'consumption scenario C'!AF15,'consumption scenario A'!AF15))</f>
        <v>4.5070408764107135E-3</v>
      </c>
      <c r="AG17" s="66">
        <f>IF(parameters!$C$27="B",'consumption scenario B'!AG15,IF(parameters!$C$27="C",'consumption scenario C'!AG15,'consumption scenario A'!AG15))</f>
        <v>4.5526162620606568E-3</v>
      </c>
      <c r="AH17" s="66">
        <f>IF(parameters!$C$27="B",'consumption scenario B'!AH15,IF(parameters!$C$27="C",'consumption scenario C'!AH15,'consumption scenario A'!AH15))</f>
        <v>4.6107330525162298E-3</v>
      </c>
      <c r="AI17" s="66">
        <f>IF(parameters!$C$27="B",'consumption scenario B'!AI15,IF(parameters!$C$27="C",'consumption scenario C'!AI15,'consumption scenario A'!AI15))</f>
        <v>4.6443225234889113E-3</v>
      </c>
      <c r="AJ17" s="66">
        <f>IF(parameters!$C$27="B",'consumption scenario B'!AJ15,IF(parameters!$C$27="C",'consumption scenario C'!AJ15,'consumption scenario A'!AJ15))</f>
        <v>4.6972481940391747E-3</v>
      </c>
      <c r="AK17" s="66">
        <f>IF(parameters!$C$27="B",'consumption scenario B'!AK15,IF(parameters!$C$27="C",'consumption scenario C'!AK15,'consumption scenario A'!AK15))</f>
        <v>4.7533054724300796E-3</v>
      </c>
      <c r="AL17" s="60">
        <v>3.4585364640087033E-3</v>
      </c>
    </row>
    <row r="18" spans="1:38">
      <c r="A18" s="57" t="s">
        <v>30</v>
      </c>
      <c r="B18" s="66">
        <f>IF(parameters!$C$27="B",'consumption scenario B'!B16,IF(parameters!$C$27="C",'consumption scenario C'!B16,'consumption scenario A'!B16))</f>
        <v>3.6985840507473735E-4</v>
      </c>
      <c r="C18" s="66">
        <f>IF(parameters!$C$27="B",'consumption scenario B'!C16,IF(parameters!$C$27="C",'consumption scenario C'!C16,'consumption scenario A'!C16))</f>
        <v>3.5468746916060654E-4</v>
      </c>
      <c r="D18" s="66">
        <f>IF(parameters!$C$27="B",'consumption scenario B'!D16,IF(parameters!$C$27="C",'consumption scenario C'!D16,'consumption scenario A'!D16))</f>
        <v>4.7044319165203357E-4</v>
      </c>
      <c r="E18" s="66">
        <f>IF(parameters!$C$27="B",'consumption scenario B'!E16,IF(parameters!$C$27="C",'consumption scenario C'!E16,'consumption scenario A'!E16))</f>
        <v>3.9724816211992637E-4</v>
      </c>
      <c r="F18" s="66">
        <f>IF(parameters!$C$27="B",'consumption scenario B'!F16,IF(parameters!$C$27="C",'consumption scenario C'!F16,'consumption scenario A'!F16))</f>
        <v>3.6395318551876526E-4</v>
      </c>
      <c r="G18" s="66">
        <f>IF(parameters!$C$27="B",'consumption scenario B'!G16,IF(parameters!$C$27="C",'consumption scenario C'!G16,'consumption scenario A'!G16))</f>
        <v>3.9630457978709989E-4</v>
      </c>
      <c r="H18" s="66">
        <f>IF(parameters!$C$27="B",'consumption scenario B'!H16,IF(parameters!$C$27="C",'consumption scenario C'!H16,'consumption scenario A'!H16))</f>
        <v>3.7608495836939074E-4</v>
      </c>
      <c r="I18" s="66">
        <f>IF(parameters!$C$27="B",'consumption scenario B'!I16,IF(parameters!$C$27="C",'consumption scenario C'!I16,'consumption scenario A'!I16))</f>
        <v>4.0439242835418361E-4</v>
      </c>
      <c r="J18" s="66">
        <f>IF(parameters!$C$27="B",'consumption scenario B'!J16,IF(parameters!$C$27="C",'consumption scenario C'!J16,'consumption scenario A'!J16))</f>
        <v>4.0439242835418361E-4</v>
      </c>
      <c r="K18" s="538">
        <f>IF(parameters!$C$27="B",'consumption scenario B'!K16,IF(parameters!$C$27="C",'consumption scenario C'!K16,'consumption scenario A'!K16))</f>
        <v>3.8956470598119691E-4</v>
      </c>
      <c r="L18" s="538">
        <f>IF(parameters!$C$27="B",'consumption scenario B'!L16,IF(parameters!$C$27="C",'consumption scenario C'!L16,'consumption scenario A'!L16))</f>
        <v>5.4660376565873812E-4</v>
      </c>
      <c r="M18" s="449">
        <f>IF(parameters!$C$27="B",'consumption scenario B'!M16,IF(parameters!$C$27="C",'consumption scenario C'!M16,'consumption scenario A'!M16))</f>
        <v>6.7621632881525217E-3</v>
      </c>
      <c r="N18" s="66">
        <f>IF(parameters!$C$27="B",'consumption scenario B'!N16,IF(parameters!$C$27="C",'consumption scenario C'!N16,'consumption scenario A'!N16))</f>
        <v>6.9345121636364034E-3</v>
      </c>
      <c r="O18" s="66">
        <f>IF(parameters!$C$27="B",'consumption scenario B'!O16,IF(parameters!$C$27="C",'consumption scenario C'!O16,'consumption scenario A'!O16))</f>
        <v>7.6695612100626514E-3</v>
      </c>
      <c r="P18" s="66">
        <f>IF(parameters!$C$27="B",'consumption scenario B'!P16,IF(parameters!$C$27="C",'consumption scenario C'!P16,'consumption scenario A'!P16))</f>
        <v>7.160923971750251E-3</v>
      </c>
      <c r="Q18" s="66">
        <f>IF(parameters!$C$27="B",'consumption scenario B'!Q16,IF(parameters!$C$27="C",'consumption scenario C'!Q16,'consumption scenario A'!Q16))</f>
        <v>6.3209605563927414E-3</v>
      </c>
      <c r="R18" s="66">
        <f>IF(parameters!$C$27="B",'consumption scenario B'!R16,IF(parameters!$C$27="C",'consumption scenario C'!R16,'consumption scenario A'!R16))</f>
        <v>5.7364904550920434E-3</v>
      </c>
      <c r="S18" s="66">
        <f>IF(parameters!$C$27="B",'consumption scenario B'!S16,IF(parameters!$C$27="C",'consumption scenario C'!S16,'consumption scenario A'!S16))</f>
        <v>5.2566773536107617E-3</v>
      </c>
      <c r="T18" s="66">
        <f>IF(parameters!$C$27="B",'consumption scenario B'!T16,IF(parameters!$C$27="C",'consumption scenario C'!T16,'consumption scenario A'!T16))</f>
        <v>5.2167987474042105E-3</v>
      </c>
      <c r="U18" s="66">
        <f>IF(parameters!$C$27="B",'consumption scenario B'!U16,IF(parameters!$C$27="C",'consumption scenario C'!U16,'consumption scenario A'!U16))</f>
        <v>5.1674263155605544E-3</v>
      </c>
      <c r="V18" s="66">
        <f>IF(parameters!$C$27="B",'consumption scenario B'!V16,IF(parameters!$C$27="C",'consumption scenario C'!V16,'consumption scenario A'!V16))</f>
        <v>5.1960054990050327E-3</v>
      </c>
      <c r="W18" s="66">
        <f>IF(parameters!$C$27="B",'consumption scenario B'!W16,IF(parameters!$C$27="C",'consumption scenario C'!W16,'consumption scenario A'!W16))</f>
        <v>5.224187430199834E-3</v>
      </c>
      <c r="X18" s="66">
        <f>IF(parameters!$C$27="B",'consumption scenario B'!X16,IF(parameters!$C$27="C",'consumption scenario C'!X16,'consumption scenario A'!X16))</f>
        <v>5.2353134955039973E-3</v>
      </c>
      <c r="Y18" s="66">
        <f>IF(parameters!$C$27="B",'consumption scenario B'!Y16,IF(parameters!$C$27="C",'consumption scenario C'!Y16,'consumption scenario A'!Y16))</f>
        <v>5.2400173289278663E-3</v>
      </c>
      <c r="Z18" s="66">
        <f>IF(parameters!$C$27="B",'consumption scenario B'!Z16,IF(parameters!$C$27="C",'consumption scenario C'!Z16,'consumption scenario A'!Z16))</f>
        <v>5.2329302649177312E-3</v>
      </c>
      <c r="AA18" s="66">
        <f>IF(parameters!$C$27="B",'consumption scenario B'!AA16,IF(parameters!$C$27="C",'consumption scenario C'!AA16,'consumption scenario A'!AA16))</f>
        <v>5.252062956724363E-3</v>
      </c>
      <c r="AB18" s="66">
        <f>IF(parameters!$C$27="B",'consumption scenario B'!AB16,IF(parameters!$C$27="C",'consumption scenario C'!AB16,'consumption scenario A'!AB16))</f>
        <v>5.2496697130988493E-3</v>
      </c>
      <c r="AC18" s="66">
        <f>IF(parameters!$C$27="B",'consumption scenario B'!AC16,IF(parameters!$C$27="C",'consumption scenario C'!AC16,'consumption scenario A'!AC16))</f>
        <v>5.2653033700193492E-3</v>
      </c>
      <c r="AD18" s="66">
        <f>IF(parameters!$C$27="B",'consumption scenario B'!AD16,IF(parameters!$C$27="C",'consumption scenario C'!AD16,'consumption scenario A'!AD16))</f>
        <v>5.2798164259887361E-3</v>
      </c>
      <c r="AE18" s="66">
        <f>IF(parameters!$C$27="B",'consumption scenario B'!AE16,IF(parameters!$C$27="C",'consumption scenario C'!AE16,'consumption scenario A'!AE16))</f>
        <v>5.2855812657718595E-3</v>
      </c>
      <c r="AF18" s="66">
        <f>IF(parameters!$C$27="B",'consumption scenario B'!AF16,IF(parameters!$C$27="C",'consumption scenario C'!AF16,'consumption scenario A'!AF16))</f>
        <v>5.3026376769543205E-3</v>
      </c>
      <c r="AG18" s="66">
        <f>IF(parameters!$C$27="B",'consumption scenario B'!AG16,IF(parameters!$C$27="C",'consumption scenario C'!AG16,'consumption scenario A'!AG16))</f>
        <v>5.3231105169795536E-3</v>
      </c>
      <c r="AH18" s="66">
        <f>IF(parameters!$C$27="B",'consumption scenario B'!AH16,IF(parameters!$C$27="C",'consumption scenario C'!AH16,'consumption scenario A'!AH16))</f>
        <v>5.3123598026560918E-3</v>
      </c>
      <c r="AI18" s="66">
        <f>IF(parameters!$C$27="B",'consumption scenario B'!AI16,IF(parameters!$C$27="C",'consumption scenario C'!AI16,'consumption scenario A'!AI16))</f>
        <v>5.3299748888119385E-3</v>
      </c>
      <c r="AJ18" s="66">
        <f>IF(parameters!$C$27="B",'consumption scenario B'!AJ16,IF(parameters!$C$27="C",'consumption scenario C'!AJ16,'consumption scenario A'!AJ16))</f>
        <v>5.3415348336232618E-3</v>
      </c>
      <c r="AK18" s="66">
        <f>IF(parameters!$C$27="B",'consumption scenario B'!AK16,IF(parameters!$C$27="C",'consumption scenario C'!AK16,'consumption scenario A'!AK16))</f>
        <v>5.3507361259885313E-3</v>
      </c>
      <c r="AL18" s="60">
        <v>4.9089806729779898E-4</v>
      </c>
    </row>
    <row r="19" spans="1:38">
      <c r="A19" s="57" t="s">
        <v>56</v>
      </c>
      <c r="B19" s="66">
        <f>IF(parameters!$C$27="B",'consumption scenario B'!B17,IF(parameters!$C$27="C",'consumption scenario C'!B17,'consumption scenario A'!B17))</f>
        <v>1.592482195869598E-4</v>
      </c>
      <c r="C19" s="66">
        <f>IF(parameters!$C$27="B",'consumption scenario B'!C17,IF(parameters!$C$27="C",'consumption scenario C'!C17,'consumption scenario A'!C17))</f>
        <v>1.317943040934273E-4</v>
      </c>
      <c r="D19" s="66">
        <f>IF(parameters!$C$27="B",'consumption scenario B'!D17,IF(parameters!$C$27="C",'consumption scenario C'!D17,'consumption scenario A'!D17))</f>
        <v>1.6852521831356437E-4</v>
      </c>
      <c r="E19" s="66">
        <f>IF(parameters!$C$27="B",'consumption scenario B'!E17,IF(parameters!$C$27="C",'consumption scenario C'!E17,'consumption scenario A'!E17))</f>
        <v>1.979708333815388E-4</v>
      </c>
      <c r="F19" s="66">
        <f>IF(parameters!$C$27="B",'consumption scenario B'!F17,IF(parameters!$C$27="C",'consumption scenario C'!F17,'consumption scenario A'!F17))</f>
        <v>5.7409689755170276E-5</v>
      </c>
      <c r="G19" s="66">
        <f>IF(parameters!$C$27="B",'consumption scenario B'!G17,IF(parameters!$C$27="C",'consumption scenario C'!G17,'consumption scenario A'!G17))</f>
        <v>6.2965466183089992E-5</v>
      </c>
      <c r="H19" s="66">
        <f>IF(parameters!$C$27="B",'consumption scenario B'!H17,IF(parameters!$C$27="C",'consumption scenario C'!H17,'consumption scenario A'!H17))</f>
        <v>6.1113540707116745E-5</v>
      </c>
      <c r="I19" s="66">
        <f>IF(parameters!$C$27="B",'consumption scenario B'!I17,IF(parameters!$C$27="C",'consumption scenario C'!I17,'consumption scenario A'!I17))</f>
        <v>0</v>
      </c>
      <c r="J19" s="66">
        <f>IF(parameters!$C$27="B",'consumption scenario B'!J17,IF(parameters!$C$27="C",'consumption scenario C'!J17,'consumption scenario A'!J17))</f>
        <v>0</v>
      </c>
      <c r="K19" s="538">
        <f>IF(parameters!$C$27="B",'consumption scenario B'!K17,IF(parameters!$C$27="C",'consumption scenario C'!K17,'consumption scenario A'!K17))</f>
        <v>2.7408497044403875E-5</v>
      </c>
      <c r="L19" s="538">
        <f>IF(parameters!$C$27="B",'consumption scenario B'!L17,IF(parameters!$C$27="C",'consumption scenario C'!L17,'consumption scenario A'!L17))</f>
        <v>1.4259826164993908E-5</v>
      </c>
      <c r="M19" s="449">
        <f>IF(parameters!$C$27="B",'consumption scenario B'!M17,IF(parameters!$C$27="C",'consumption scenario C'!M17,'consumption scenario A'!M17))</f>
        <v>1.075781593719602E-5</v>
      </c>
      <c r="N19" s="66">
        <f>IF(parameters!$C$27="B",'consumption scenario B'!N17,IF(parameters!$C$27="C",'consumption scenario C'!N17,'consumption scenario A'!N17))</f>
        <v>1.6577597396817836E-5</v>
      </c>
      <c r="O19" s="66">
        <f>IF(parameters!$C$27="B",'consumption scenario B'!O17,IF(parameters!$C$27="C",'consumption scenario C'!O17,'consumption scenario A'!O17))</f>
        <v>2.6538112887644378E-5</v>
      </c>
      <c r="P19" s="66">
        <f>IF(parameters!$C$27="B",'consumption scenario B'!P17,IF(parameters!$C$27="C",'consumption scenario C'!P17,'consumption scenario A'!P17))</f>
        <v>2.5772322995382739E-5</v>
      </c>
      <c r="Q19" s="66">
        <f>IF(parameters!$C$27="B",'consumption scenario B'!Q17,IF(parameters!$C$27="C",'consumption scenario C'!Q17,'consumption scenario A'!Q17))</f>
        <v>2.2331475837557802E-5</v>
      </c>
      <c r="R19" s="66">
        <f>IF(parameters!$C$27="B",'consumption scenario B'!R17,IF(parameters!$C$27="C",'consumption scenario C'!R17,'consumption scenario A'!R17))</f>
        <v>2.0982831106608146E-5</v>
      </c>
      <c r="S19" s="66">
        <f>IF(parameters!$C$27="B",'consumption scenario B'!S17,IF(parameters!$C$27="C",'consumption scenario C'!S17,'consumption scenario A'!S17))</f>
        <v>2.0103337269761124E-5</v>
      </c>
      <c r="T19" s="66">
        <f>IF(parameters!$C$27="B",'consumption scenario B'!T17,IF(parameters!$C$27="C",'consumption scenario C'!T17,'consumption scenario A'!T17))</f>
        <v>2.1361286204252285E-5</v>
      </c>
      <c r="U19" s="66">
        <f>IF(parameters!$C$27="B",'consumption scenario B'!U17,IF(parameters!$C$27="C",'consumption scenario C'!U17,'consumption scenario A'!U17))</f>
        <v>2.2434159380757245E-5</v>
      </c>
      <c r="V19" s="66">
        <f>IF(parameters!$C$27="B",'consumption scenario B'!V17,IF(parameters!$C$27="C",'consumption scenario C'!V17,'consumption scenario A'!V17))</f>
        <v>2.3760544163983476E-5</v>
      </c>
      <c r="W19" s="66">
        <f>IF(parameters!$C$27="B",'consumption scenario B'!W17,IF(parameters!$C$27="C",'consumption scenario C'!W17,'consumption scenario A'!W17))</f>
        <v>2.5134862685092752E-5</v>
      </c>
      <c r="X19" s="66">
        <f>IF(parameters!$C$27="B",'consumption scenario B'!X17,IF(parameters!$C$27="C",'consumption scenario C'!X17,'consumption scenario A'!X17))</f>
        <v>2.6402674358124052E-5</v>
      </c>
      <c r="Y19" s="66">
        <f>IF(parameters!$C$27="B",'consumption scenario B'!Y17,IF(parameters!$C$27="C",'consumption scenario C'!Y17,'consumption scenario A'!Y17))</f>
        <v>2.7661414333277074E-5</v>
      </c>
      <c r="Z19" s="66">
        <f>IF(parameters!$C$27="B",'consumption scenario B'!Z17,IF(parameters!$C$27="C",'consumption scenario C'!Z17,'consumption scenario A'!Z17))</f>
        <v>2.87598204897423E-5</v>
      </c>
      <c r="AA19" s="66">
        <f>IF(parameters!$C$27="B",'consumption scenario B'!AA17,IF(parameters!$C$27="C",'consumption scenario C'!AA17,'consumption scenario A'!AA17))</f>
        <v>3.0038795553071526E-5</v>
      </c>
      <c r="AB19" s="66">
        <f>IF(parameters!$C$27="B",'consumption scenario B'!AB17,IF(parameters!$C$27="C",'consumption scenario C'!AB17,'consumption scenario A'!AB17))</f>
        <v>3.1204578255360704E-5</v>
      </c>
      <c r="AC19" s="66">
        <f>IF(parameters!$C$27="B",'consumption scenario B'!AC17,IF(parameters!$C$27="C",'consumption scenario C'!AC17,'consumption scenario A'!AC17))</f>
        <v>3.2454813488182095E-5</v>
      </c>
      <c r="AD19" s="66">
        <f>IF(parameters!$C$27="B",'consumption scenario B'!AD17,IF(parameters!$C$27="C",'consumption scenario C'!AD17,'consumption scenario A'!AD17))</f>
        <v>3.3688114517329193E-5</v>
      </c>
      <c r="AE19" s="66">
        <f>IF(parameters!$C$27="B",'consumption scenario B'!AE17,IF(parameters!$C$27="C",'consumption scenario C'!AE17,'consumption scenario A'!AE17))</f>
        <v>3.4911402666187094E-5</v>
      </c>
      <c r="AF19" s="66">
        <f>IF(parameters!$C$27="B",'consumption scenario B'!AF17,IF(parameters!$C$27="C",'consumption scenario C'!AF17,'consumption scenario A'!AF17))</f>
        <v>3.6204586056441448E-5</v>
      </c>
      <c r="AG19" s="66">
        <f>IF(parameters!$C$27="B",'consumption scenario B'!AG17,IF(parameters!$C$27="C",'consumption scenario C'!AG17,'consumption scenario A'!AG17))</f>
        <v>3.7472238347140896E-5</v>
      </c>
      <c r="AH19" s="66">
        <f>IF(parameters!$C$27="B",'consumption scenario B'!AH17,IF(parameters!$C$27="C",'consumption scenario C'!AH17,'consumption scenario A'!AH17))</f>
        <v>3.833954409619653E-5</v>
      </c>
      <c r="AI19" s="66">
        <f>IF(parameters!$C$27="B",'consumption scenario B'!AI17,IF(parameters!$C$27="C",'consumption scenario C'!AI17,'consumption scenario A'!AI17))</f>
        <v>3.9571927621364119E-5</v>
      </c>
      <c r="AJ19" s="66">
        <f>IF(parameters!$C$27="B",'consumption scenario B'!AJ17,IF(parameters!$C$27="C",'consumption scenario C'!AJ17,'consumption scenario A'!AJ17))</f>
        <v>4.0729341529165316E-5</v>
      </c>
      <c r="AK19" s="66">
        <f>IF(parameters!$C$27="B",'consumption scenario B'!AK17,IF(parameters!$C$27="C",'consumption scenario C'!AK17,'consumption scenario A'!AK17))</f>
        <v>4.1910390822653459E-5</v>
      </c>
      <c r="AL19" s="60">
        <v>7.0827311744202709E-5</v>
      </c>
    </row>
    <row r="20" spans="1:38">
      <c r="A20" s="57" t="s">
        <v>25</v>
      </c>
      <c r="B20" s="66">
        <f>IF(parameters!$C$27="B",'consumption scenario B'!B18,IF(parameters!$C$27="C",'consumption scenario C'!B18,'consumption scenario A'!B18))</f>
        <v>4.6543384913355045E-3</v>
      </c>
      <c r="C20" s="66">
        <f>IF(parameters!$C$27="B",'consumption scenario B'!C18,IF(parameters!$C$27="C",'consumption scenario C'!C18,'consumption scenario A'!C18))</f>
        <v>4.6359459206461858E-3</v>
      </c>
      <c r="D20" s="66">
        <f>IF(parameters!$C$27="B",'consumption scenario B'!D18,IF(parameters!$C$27="C",'consumption scenario C'!D18,'consumption scenario A'!D18))</f>
        <v>4.55793E-3</v>
      </c>
      <c r="E20" s="66">
        <f>IF(parameters!$C$27="B",'consumption scenario B'!E18,IF(parameters!$C$27="C",'consumption scenario C'!E18,'consumption scenario A'!E18))</f>
        <v>4.3696793999999997E-3</v>
      </c>
      <c r="F20" s="66">
        <f>IF(parameters!$C$27="B",'consumption scenario B'!F18,IF(parameters!$C$27="C",'consumption scenario C'!F18,'consumption scenario A'!F18))</f>
        <v>7.4005679999999997E-3</v>
      </c>
      <c r="G20" s="66">
        <f>IF(parameters!$C$27="B",'consumption scenario B'!G18,IF(parameters!$C$27="C",'consumption scenario C'!G18,'consumption scenario A'!G18))</f>
        <v>9.3495999999999996E-3</v>
      </c>
      <c r="H20" s="66">
        <f>IF(parameters!$C$27="B",'consumption scenario B'!H18,IF(parameters!$C$27="C",'consumption scenario C'!H18,'consumption scenario A'!H18))</f>
        <v>1.2508686E-2</v>
      </c>
      <c r="I20" s="66">
        <f>IF(parameters!$C$27="B",'consumption scenario B'!I18,IF(parameters!$C$27="C",'consumption scenario C'!I18,'consumption scenario A'!I18))</f>
        <v>7.3717999999999995E-3</v>
      </c>
      <c r="J20" s="66">
        <f>IF(parameters!$C$27="B",'consumption scenario B'!J18,IF(parameters!$C$27="C",'consumption scenario C'!J18,'consumption scenario A'!J18))</f>
        <v>7.0121999999999997E-3</v>
      </c>
      <c r="K20" s="538">
        <f>IF(parameters!$C$27="B",'consumption scenario B'!K18,IF(parameters!$C$27="C",'consumption scenario C'!K18,'consumption scenario A'!K18))</f>
        <v>6.7119340000000001E-3</v>
      </c>
      <c r="L20" s="538">
        <f>IF(parameters!$C$27="B",'consumption scenario B'!L18,IF(parameters!$C$27="C",'consumption scenario C'!L18,'consumption scenario A'!L18))</f>
        <v>6.6919761999999997E-3</v>
      </c>
      <c r="M20" s="449">
        <f>IF(parameters!$C$27="B",'consumption scenario B'!M18,IF(parameters!$C$27="C",'consumption scenario C'!M18,'consumption scenario A'!M18))</f>
        <v>7.2311261095989393E-3</v>
      </c>
      <c r="N20" s="66">
        <f>IF(parameters!$C$27="B",'consumption scenario B'!N18,IF(parameters!$C$27="C",'consumption scenario C'!N18,'consumption scenario A'!N18))</f>
        <v>7.6295562555537015E-3</v>
      </c>
      <c r="O20" s="66">
        <f>IF(parameters!$C$27="B",'consumption scenario B'!O18,IF(parameters!$C$27="C",'consumption scenario C'!O18,'consumption scenario A'!O18))</f>
        <v>8.329312317719802E-3</v>
      </c>
      <c r="P20" s="66">
        <f>IF(parameters!$C$27="B",'consumption scenario B'!P18,IF(parameters!$C$27="C",'consumption scenario C'!P18,'consumption scenario A'!P18))</f>
        <v>8.1139666884162357E-3</v>
      </c>
      <c r="Q20" s="66">
        <f>IF(parameters!$C$27="B",'consumption scenario B'!Q18,IF(parameters!$C$27="C",'consumption scenario C'!Q18,'consumption scenario A'!Q18))</f>
        <v>7.9730830509603563E-3</v>
      </c>
      <c r="R20" s="66">
        <f>IF(parameters!$C$27="B",'consumption scenario B'!R18,IF(parameters!$C$27="C",'consumption scenario C'!R18,'consumption scenario A'!R18))</f>
        <v>7.843675258446826E-3</v>
      </c>
      <c r="S20" s="66">
        <f>IF(parameters!$C$27="B",'consumption scenario B'!S18,IF(parameters!$C$27="C",'consumption scenario C'!S18,'consumption scenario A'!S18))</f>
        <v>7.7845022223930194E-3</v>
      </c>
      <c r="T20" s="66">
        <f>IF(parameters!$C$27="B",'consumption scenario B'!T18,IF(parameters!$C$27="C",'consumption scenario C'!T18,'consumption scenario A'!T18))</f>
        <v>7.734911303828809E-3</v>
      </c>
      <c r="U20" s="66">
        <f>IF(parameters!$C$27="B",'consumption scenario B'!U18,IF(parameters!$C$27="C",'consumption scenario C'!U18,'consumption scenario A'!U18))</f>
        <v>7.6845896864681882E-3</v>
      </c>
      <c r="V20" s="66">
        <f>IF(parameters!$C$27="B",'consumption scenario B'!V18,IF(parameters!$C$27="C",'consumption scenario C'!V18,'consumption scenario A'!V18))</f>
        <v>7.6402615495816378E-3</v>
      </c>
      <c r="W20" s="66">
        <f>IF(parameters!$C$27="B",'consumption scenario B'!W18,IF(parameters!$C$27="C",'consumption scenario C'!W18,'consumption scenario A'!W18))</f>
        <v>7.6087071573177718E-3</v>
      </c>
      <c r="X20" s="66">
        <f>IF(parameters!$C$27="B",'consumption scenario B'!X18,IF(parameters!$C$27="C",'consumption scenario C'!X18,'consumption scenario A'!X18))</f>
        <v>7.5777988754324862E-3</v>
      </c>
      <c r="Y20" s="66">
        <f>IF(parameters!$C$27="B",'consumption scenario B'!Y18,IF(parameters!$C$27="C",'consumption scenario C'!Y18,'consumption scenario A'!Y18))</f>
        <v>7.5440203998584417E-3</v>
      </c>
      <c r="Z20" s="66">
        <f>IF(parameters!$C$27="B",'consumption scenario B'!Z18,IF(parameters!$C$27="C",'consumption scenario C'!Z18,'consumption scenario A'!Z18))</f>
        <v>7.5028929369296655E-3</v>
      </c>
      <c r="AA20" s="66">
        <f>IF(parameters!$C$27="B",'consumption scenario B'!AA18,IF(parameters!$C$27="C",'consumption scenario C'!AA18,'consumption scenario A'!AA18))</f>
        <v>7.4680842467479058E-3</v>
      </c>
      <c r="AB20" s="66">
        <f>IF(parameters!$C$27="B",'consumption scenario B'!AB18,IF(parameters!$C$27="C",'consumption scenario C'!AB18,'consumption scenario A'!AB18))</f>
        <v>7.4335780600116776E-3</v>
      </c>
      <c r="AC20" s="66">
        <f>IF(parameters!$C$27="B",'consumption scenario B'!AC18,IF(parameters!$C$27="C",'consumption scenario C'!AC18,'consumption scenario A'!AC18))</f>
        <v>7.4025446898702872E-3</v>
      </c>
      <c r="AD20" s="66">
        <f>IF(parameters!$C$27="B",'consumption scenario B'!AD18,IF(parameters!$C$27="C",'consumption scenario C'!AD18,'consumption scenario A'!AD18))</f>
        <v>7.3736567323889881E-3</v>
      </c>
      <c r="AE20" s="66">
        <f>IF(parameters!$C$27="B",'consumption scenario B'!AE18,IF(parameters!$C$27="C",'consumption scenario C'!AE18,'consumption scenario A'!AE18))</f>
        <v>7.3438355695992124E-3</v>
      </c>
      <c r="AF20" s="66">
        <f>IF(parameters!$C$27="B",'consumption scenario B'!AF18,IF(parameters!$C$27="C",'consumption scenario C'!AF18,'consumption scenario A'!AF18))</f>
        <v>7.3167153478780837E-3</v>
      </c>
      <c r="AG20" s="66">
        <f>IF(parameters!$C$27="B",'consumption scenario B'!AG18,IF(parameters!$C$27="C",'consumption scenario C'!AG18,'consumption scenario A'!AG18))</f>
        <v>7.2944268451250929E-3</v>
      </c>
      <c r="AH20" s="66">
        <f>IF(parameters!$C$27="B",'consumption scenario B'!AH18,IF(parameters!$C$27="C",'consumption scenario C'!AH18,'consumption scenario A'!AH18))</f>
        <v>7.2613769440807554E-3</v>
      </c>
      <c r="AI20" s="66">
        <f>IF(parameters!$C$27="B",'consumption scenario B'!AI18,IF(parameters!$C$27="C",'consumption scenario C'!AI18,'consumption scenario A'!AI18))</f>
        <v>7.2336988348349462E-3</v>
      </c>
      <c r="AJ20" s="66">
        <f>IF(parameters!$C$27="B",'consumption scenario B'!AJ18,IF(parameters!$C$27="C",'consumption scenario C'!AJ18,'consumption scenario A'!AJ18))</f>
        <v>7.2083475145929173E-3</v>
      </c>
      <c r="AK20" s="66">
        <f>IF(parameters!$C$27="B",'consumption scenario B'!AK18,IF(parameters!$C$27="C",'consumption scenario C'!AK18,'consumption scenario A'!AK18))</f>
        <v>7.1868696027400517E-3</v>
      </c>
      <c r="AL20" s="60">
        <v>1.0711933845613412E-2</v>
      </c>
    </row>
    <row r="21" spans="1:38">
      <c r="A21" s="57" t="s">
        <v>31</v>
      </c>
      <c r="B21" s="66">
        <f>IF(parameters!$C$27="B",'consumption scenario B'!B19,IF(parameters!$C$27="C",'consumption scenario C'!B19,'consumption scenario A'!B19))</f>
        <v>0</v>
      </c>
      <c r="C21" s="66">
        <f>IF(parameters!$C$27="B",'consumption scenario B'!C19,IF(parameters!$C$27="C",'consumption scenario C'!C19,'consumption scenario A'!C19))</f>
        <v>0</v>
      </c>
      <c r="D21" s="66">
        <f>IF(parameters!$C$27="B",'consumption scenario B'!D19,IF(parameters!$C$27="C",'consumption scenario C'!D19,'consumption scenario A'!D19))</f>
        <v>3.7438924259351497E-5</v>
      </c>
      <c r="E21" s="66">
        <f>IF(parameters!$C$27="B",'consumption scenario B'!E19,IF(parameters!$C$27="C",'consumption scenario C'!E19,'consumption scenario A'!E19))</f>
        <v>2.0502268046787723E-5</v>
      </c>
      <c r="F21" s="66">
        <f>IF(parameters!$C$27="B",'consumption scenario B'!F19,IF(parameters!$C$27="C",'consumption scenario C'!F19,'consumption scenario A'!F19))</f>
        <v>3.5834398933950719E-4</v>
      </c>
      <c r="G21" s="66">
        <f>IF(parameters!$C$27="B",'consumption scenario B'!G19,IF(parameters!$C$27="C",'consumption scenario C'!G19,'consumption scenario A'!G19))</f>
        <v>3.9400010768174669E-4</v>
      </c>
      <c r="H21" s="66">
        <f>IF(parameters!$C$27="B",'consumption scenario B'!H19,IF(parameters!$C$27="C",'consumption scenario C'!H19,'consumption scenario A'!H19))</f>
        <v>3.3873312425127543E-5</v>
      </c>
      <c r="I21" s="66">
        <f>IF(parameters!$C$27="B",'consumption scenario B'!I19,IF(parameters!$C$27="C",'consumption scenario C'!I19,'consumption scenario A'!I19))</f>
        <v>0</v>
      </c>
      <c r="J21" s="66">
        <f>IF(parameters!$C$27="B",'consumption scenario B'!J19,IF(parameters!$C$27="C",'consumption scenario C'!J19,'consumption scenario A'!J19))</f>
        <v>0</v>
      </c>
      <c r="K21" s="538">
        <f>IF(parameters!$C$27="B",'consumption scenario B'!K19,IF(parameters!$C$27="C",'consumption scenario C'!K19,'consumption scenario A'!K19))</f>
        <v>1.0518554910960657E-5</v>
      </c>
      <c r="L21" s="538">
        <f>IF(parameters!$C$27="B",'consumption scenario B'!L19,IF(parameters!$C$27="C",'consumption scenario C'!L19,'consumption scenario A'!L19))</f>
        <v>2.1393671005343709E-6</v>
      </c>
      <c r="M21" s="449">
        <f>IF(parameters!$C$27="B",'consumption scenario B'!M19,IF(parameters!$C$27="C",'consumption scenario C'!M19,'consumption scenario A'!M19))</f>
        <v>0</v>
      </c>
      <c r="N21" s="66">
        <f>IF(parameters!$C$27="B",'consumption scenario B'!N19,IF(parameters!$C$27="C",'consumption scenario C'!N19,'consumption scenario A'!N19))</f>
        <v>0</v>
      </c>
      <c r="O21" s="66">
        <f>IF(parameters!$C$27="B",'consumption scenario B'!O19,IF(parameters!$C$27="C",'consumption scenario C'!O19,'consumption scenario A'!O19))</f>
        <v>0</v>
      </c>
      <c r="P21" s="66">
        <f>IF(parameters!$C$27="B",'consumption scenario B'!P19,IF(parameters!$C$27="C",'consumption scenario C'!P19,'consumption scenario A'!P19))</f>
        <v>0</v>
      </c>
      <c r="Q21" s="66">
        <f>IF(parameters!$C$27="B",'consumption scenario B'!Q19,IF(parameters!$C$27="C",'consumption scenario C'!Q19,'consumption scenario A'!Q19))</f>
        <v>0</v>
      </c>
      <c r="R21" s="66">
        <f>IF(parameters!$C$27="B",'consumption scenario B'!R19,IF(parameters!$C$27="C",'consumption scenario C'!R19,'consumption scenario A'!R19))</f>
        <v>0</v>
      </c>
      <c r="S21" s="66">
        <f>IF(parameters!$C$27="B",'consumption scenario B'!S19,IF(parameters!$C$27="C",'consumption scenario C'!S19,'consumption scenario A'!S19))</f>
        <v>0</v>
      </c>
      <c r="T21" s="66">
        <f>IF(parameters!$C$27="B",'consumption scenario B'!T19,IF(parameters!$C$27="C",'consumption scenario C'!T19,'consumption scenario A'!T19))</f>
        <v>0</v>
      </c>
      <c r="U21" s="66">
        <f>IF(parameters!$C$27="B",'consumption scenario B'!U19,IF(parameters!$C$27="C",'consumption scenario C'!U19,'consumption scenario A'!U19))</f>
        <v>0</v>
      </c>
      <c r="V21" s="66">
        <f>IF(parameters!$C$27="B",'consumption scenario B'!V19,IF(parameters!$C$27="C",'consumption scenario C'!V19,'consumption scenario A'!V19))</f>
        <v>0</v>
      </c>
      <c r="W21" s="66">
        <f>IF(parameters!$C$27="B",'consumption scenario B'!W19,IF(parameters!$C$27="C",'consumption scenario C'!W19,'consumption scenario A'!W19))</f>
        <v>0</v>
      </c>
      <c r="X21" s="66">
        <f>IF(parameters!$C$27="B",'consumption scenario B'!X19,IF(parameters!$C$27="C",'consumption scenario C'!X19,'consumption scenario A'!X19))</f>
        <v>0</v>
      </c>
      <c r="Y21" s="66">
        <f>IF(parameters!$C$27="B",'consumption scenario B'!Y19,IF(parameters!$C$27="C",'consumption scenario C'!Y19,'consumption scenario A'!Y19))</f>
        <v>0</v>
      </c>
      <c r="Z21" s="66">
        <f>IF(parameters!$C$27="B",'consumption scenario B'!Z19,IF(parameters!$C$27="C",'consumption scenario C'!Z19,'consumption scenario A'!Z19))</f>
        <v>0</v>
      </c>
      <c r="AA21" s="66">
        <f>IF(parameters!$C$27="B",'consumption scenario B'!AA19,IF(parameters!$C$27="C",'consumption scenario C'!AA19,'consumption scenario A'!AA19))</f>
        <v>0</v>
      </c>
      <c r="AB21" s="66">
        <f>IF(parameters!$C$27="B",'consumption scenario B'!AB19,IF(parameters!$C$27="C",'consumption scenario C'!AB19,'consumption scenario A'!AB19))</f>
        <v>0</v>
      </c>
      <c r="AC21" s="66">
        <f>IF(parameters!$C$27="B",'consumption scenario B'!AC19,IF(parameters!$C$27="C",'consumption scenario C'!AC19,'consumption scenario A'!AC19))</f>
        <v>0</v>
      </c>
      <c r="AD21" s="66">
        <f>IF(parameters!$C$27="B",'consumption scenario B'!AD19,IF(parameters!$C$27="C",'consumption scenario C'!AD19,'consumption scenario A'!AD19))</f>
        <v>0</v>
      </c>
      <c r="AE21" s="66">
        <f>IF(parameters!$C$27="B",'consumption scenario B'!AE19,IF(parameters!$C$27="C",'consumption scenario C'!AE19,'consumption scenario A'!AE19))</f>
        <v>0</v>
      </c>
      <c r="AF21" s="66">
        <f>IF(parameters!$C$27="B",'consumption scenario B'!AF19,IF(parameters!$C$27="C",'consumption scenario C'!AF19,'consumption scenario A'!AF19))</f>
        <v>0</v>
      </c>
      <c r="AG21" s="66">
        <f>IF(parameters!$C$27="B",'consumption scenario B'!AG19,IF(parameters!$C$27="C",'consumption scenario C'!AG19,'consumption scenario A'!AG19))</f>
        <v>0</v>
      </c>
      <c r="AH21" s="66">
        <f>IF(parameters!$C$27="B",'consumption scenario B'!AH19,IF(parameters!$C$27="C",'consumption scenario C'!AH19,'consumption scenario A'!AH19))</f>
        <v>0</v>
      </c>
      <c r="AI21" s="66">
        <f>IF(parameters!$C$27="B",'consumption scenario B'!AI19,IF(parameters!$C$27="C",'consumption scenario C'!AI19,'consumption scenario A'!AI19))</f>
        <v>0</v>
      </c>
      <c r="AJ21" s="66">
        <f>IF(parameters!$C$27="B",'consumption scenario B'!AJ19,IF(parameters!$C$27="C",'consumption scenario C'!AJ19,'consumption scenario A'!AJ19))</f>
        <v>0</v>
      </c>
      <c r="AK21" s="66">
        <f>IF(parameters!$C$27="B",'consumption scenario B'!AK19,IF(parameters!$C$27="C",'consumption scenario C'!AK19,'consumption scenario A'!AK19))</f>
        <v>0</v>
      </c>
      <c r="AL21" s="60">
        <v>4.5373027687641053E-5</v>
      </c>
    </row>
    <row r="22" spans="1:38">
      <c r="A22" s="57" t="s">
        <v>26</v>
      </c>
      <c r="B22" s="66">
        <f>IF(parameters!$C$27="B",'consumption scenario B'!B20,IF(parameters!$C$27="C",'consumption scenario C'!B20,'consumption scenario A'!B20))</f>
        <v>5.2920138170092404E-2</v>
      </c>
      <c r="C22" s="342">
        <f>IF(parameters!$C$27="B",'consumption scenario B'!C20,IF(parameters!$C$27="C",'consumption scenario C'!C20,'consumption scenario A'!C20))</f>
        <v>5.5287782865762719E-2</v>
      </c>
      <c r="D22" s="342">
        <f>IF(parameters!$C$27="B",'consumption scenario B'!D20,IF(parameters!$C$27="C",'consumption scenario C'!D20,'consumption scenario A'!D20))</f>
        <v>5.609780877803569E-2</v>
      </c>
      <c r="E22" s="342">
        <f>IF(parameters!$C$27="B",'consumption scenario B'!E20,IF(parameters!$C$27="C",'consumption scenario C'!E20,'consumption scenario A'!E20))</f>
        <v>5.7402590463995061E-2</v>
      </c>
      <c r="F22" s="342">
        <f>IF(parameters!$C$27="B",'consumption scenario B'!F20,IF(parameters!$C$27="C",'consumption scenario C'!F20,'consumption scenario A'!F20))</f>
        <v>5.6288219502541724E-2</v>
      </c>
      <c r="G22" s="342">
        <f>IF(parameters!$C$27="B",'consumption scenario B'!G20,IF(parameters!$C$27="C",'consumption scenario C'!G20,'consumption scenario A'!G20))</f>
        <v>5.4883550223398858E-2</v>
      </c>
      <c r="H22" s="342">
        <f>IF(parameters!$C$27="B",'consumption scenario B'!H20,IF(parameters!$C$27="C",'consumption scenario C'!H20,'consumption scenario A'!H20))</f>
        <v>5.5991678210278228E-2</v>
      </c>
      <c r="I22" s="342">
        <f>IF(parameters!$C$27="B",'consumption scenario B'!I20,IF(parameters!$C$27="C",'consumption scenario C'!I20,'consumption scenario A'!I20))</f>
        <v>5.6967142987460771E-2</v>
      </c>
      <c r="J22" s="342">
        <f>IF(parameters!$C$27="B",'consumption scenario B'!J20,IF(parameters!$C$27="C",'consumption scenario C'!J20,'consumption scenario A'!J20))</f>
        <v>5.8215737902254434E-2</v>
      </c>
      <c r="K22" s="538">
        <f>IF(parameters!$C$27="B",'consumption scenario B'!K20,IF(parameters!$C$27="C",'consumption scenario C'!K20,'consumption scenario A'!K20))</f>
        <v>5.777732501279751E-2</v>
      </c>
      <c r="L22" s="538">
        <f>IF(parameters!$C$27="B",'consumption scenario B'!L20,IF(parameters!$C$27="C",'consumption scenario C'!L20,'consumption scenario A'!L20))</f>
        <v>5.41730465956188E-2</v>
      </c>
      <c r="M22" s="449">
        <f>IF(parameters!$C$27="B",'consumption scenario B'!M20,IF(parameters!$C$27="C",'consumption scenario C'!M20,'consumption scenario A'!M20))</f>
        <v>5.5161233980522695E-2</v>
      </c>
      <c r="N22" s="342">
        <f>IF(parameters!$C$27="B",'consumption scenario B'!N20,IF(parameters!$C$27="C",'consumption scenario C'!N20,'consumption scenario A'!N20))</f>
        <v>5.6146350481926927E-2</v>
      </c>
      <c r="O22" s="342">
        <f>IF(parameters!$C$27="B",'consumption scenario B'!O20,IF(parameters!$C$27="C",'consumption scenario C'!O20,'consumption scenario A'!O20))</f>
        <v>5.9441894040793142E-2</v>
      </c>
      <c r="P22" s="342">
        <f>IF(parameters!$C$27="B",'consumption scenario B'!P20,IF(parameters!$C$27="C",'consumption scenario C'!P20,'consumption scenario A'!P20))</f>
        <v>5.8776014435714112E-2</v>
      </c>
      <c r="Q22" s="342">
        <f>IF(parameters!$C$27="B",'consumption scenario B'!Q20,IF(parameters!$C$27="C",'consumption scenario C'!Q20,'consumption scenario A'!Q20))</f>
        <v>5.8634582996012444E-2</v>
      </c>
      <c r="R22" s="342">
        <f>IF(parameters!$C$27="B",'consumption scenario B'!R20,IF(parameters!$C$27="C",'consumption scenario C'!R20,'consumption scenario A'!R20))</f>
        <v>5.8495433864085039E-2</v>
      </c>
      <c r="S22" s="342">
        <f>IF(parameters!$C$27="B",'consumption scenario B'!S20,IF(parameters!$C$27="C",'consumption scenario C'!S20,'consumption scenario A'!S20))</f>
        <v>5.8466854244689129E-2</v>
      </c>
      <c r="T22" s="342">
        <f>IF(parameters!$C$27="B",'consumption scenario B'!T20,IF(parameters!$C$27="C",'consumption scenario C'!T20,'consumption scenario A'!T20))</f>
        <v>5.8509615582868074E-2</v>
      </c>
      <c r="U22" s="342">
        <f>IF(parameters!$C$27="B",'consumption scenario B'!U20,IF(parameters!$C$27="C",'consumption scenario C'!U20,'consumption scenario A'!U20))</f>
        <v>5.8542169655121573E-2</v>
      </c>
      <c r="V22" s="342">
        <f>IF(parameters!$C$27="B",'consumption scenario B'!V20,IF(parameters!$C$27="C",'consumption scenario C'!V20,'consumption scenario A'!V20))</f>
        <v>5.8696717243851039E-2</v>
      </c>
      <c r="W22" s="342">
        <f>IF(parameters!$C$27="B",'consumption scenario B'!W20,IF(parameters!$C$27="C",'consumption scenario C'!W20,'consumption scenario A'!W20))</f>
        <v>5.9039235704138757E-2</v>
      </c>
      <c r="X22" s="342">
        <f>IF(parameters!$C$27="B",'consumption scenario B'!X20,IF(parameters!$C$27="C",'consumption scenario C'!X20,'consumption scenario A'!X20))</f>
        <v>5.9468335469220278E-2</v>
      </c>
      <c r="Y22" s="342">
        <f>IF(parameters!$C$27="B",'consumption scenario B'!Y20,IF(parameters!$C$27="C",'consumption scenario C'!Y20,'consumption scenario A'!Y20))</f>
        <v>5.9991929837973273E-2</v>
      </c>
      <c r="Z22" s="342">
        <f>IF(parameters!$C$27="B",'consumption scenario B'!Z20,IF(parameters!$C$27="C",'consumption scenario C'!Z20,'consumption scenario A'!Z20))</f>
        <v>6.0458418417794042E-2</v>
      </c>
      <c r="AA22" s="342">
        <f>IF(parameters!$C$27="B",'consumption scenario B'!AA20,IF(parameters!$C$27="C",'consumption scenario C'!AA20,'consumption scenario A'!AA20))</f>
        <v>6.1020796720616624E-2</v>
      </c>
      <c r="AB22" s="342">
        <f>IF(parameters!$C$27="B",'consumption scenario B'!AB20,IF(parameters!$C$27="C",'consumption scenario C'!AB20,'consumption scenario A'!AB20))</f>
        <v>6.1627224167102257E-2</v>
      </c>
      <c r="AC22" s="342">
        <f>IF(parameters!$C$27="B",'consumption scenario B'!AC20,IF(parameters!$C$27="C",'consumption scenario C'!AC20,'consumption scenario A'!AC20))</f>
        <v>6.226322655121036E-2</v>
      </c>
      <c r="AD22" s="342">
        <f>IF(parameters!$C$27="B",'consumption scenario B'!AD20,IF(parameters!$C$27="C",'consumption scenario C'!AD20,'consumption scenario A'!AD20))</f>
        <v>6.2909768694212553E-2</v>
      </c>
      <c r="AE22" s="342">
        <f>IF(parameters!$C$27="B",'consumption scenario B'!AE20,IF(parameters!$C$27="C",'consumption scenario C'!AE20,'consumption scenario A'!AE20))</f>
        <v>6.3560832155658095E-2</v>
      </c>
      <c r="AF22" s="342">
        <f>IF(parameters!$C$27="B",'consumption scenario B'!AF20,IF(parameters!$C$27="C",'consumption scenario C'!AF20,'consumption scenario A'!AF20))</f>
        <v>6.4233905009422554E-2</v>
      </c>
      <c r="AG22" s="342">
        <f>IF(parameters!$C$27="B",'consumption scenario B'!AG20,IF(parameters!$C$27="C",'consumption scenario C'!AG20,'consumption scenario A'!AG20))</f>
        <v>6.4859044300699789E-2</v>
      </c>
      <c r="AH22" s="342">
        <f>IF(parameters!$C$27="B",'consumption scenario B'!AH20,IF(parameters!$C$27="C",'consumption scenario C'!AH20,'consumption scenario A'!AH20))</f>
        <v>6.549146220766329E-2</v>
      </c>
      <c r="AI22" s="342">
        <f>IF(parameters!$C$27="B",'consumption scenario B'!AI20,IF(parameters!$C$27="C",'consumption scenario C'!AI20,'consumption scenario A'!AI20))</f>
        <v>6.614559693377188E-2</v>
      </c>
      <c r="AJ22" s="342">
        <f>IF(parameters!$C$27="B",'consumption scenario B'!AJ20,IF(parameters!$C$27="C",'consumption scenario C'!AJ20,'consumption scenario A'!AJ20))</f>
        <v>6.6844620886647027E-2</v>
      </c>
      <c r="AK22" s="342">
        <f>IF(parameters!$C$27="B",'consumption scenario B'!AK20,IF(parameters!$C$27="C",'consumption scenario C'!AK20,'consumption scenario A'!AK20))</f>
        <v>6.7586937443155637E-2</v>
      </c>
      <c r="AL22" s="60">
        <v>3.3799646907059722E-2</v>
      </c>
    </row>
    <row r="23" spans="1:38">
      <c r="A23" s="57" t="s">
        <v>57</v>
      </c>
      <c r="B23" s="66">
        <f>IF(parameters!$C$27="B",'consumption scenario B'!B21,IF(parameters!$C$27="C",'consumption scenario C'!B21,'consumption scenario A'!B21))</f>
        <v>0</v>
      </c>
      <c r="C23" s="66">
        <f>IF(parameters!$C$27="B",'consumption scenario B'!C21,IF(parameters!$C$27="C",'consumption scenario C'!C21,'consumption scenario A'!C21))</f>
        <v>0</v>
      </c>
      <c r="D23" s="66">
        <f>IF(parameters!$C$27="B",'consumption scenario B'!D21,IF(parameters!$C$27="C",'consumption scenario C'!D21,'consumption scenario A'!D21))</f>
        <v>0</v>
      </c>
      <c r="E23" s="66">
        <f>IF(parameters!$C$27="B",'consumption scenario B'!E21,IF(parameters!$C$27="C",'consumption scenario C'!E21,'consumption scenario A'!E21))</f>
        <v>0</v>
      </c>
      <c r="F23" s="66">
        <f>IF(parameters!$C$27="B",'consumption scenario B'!F21,IF(parameters!$C$27="C",'consumption scenario C'!F21,'consumption scenario A'!F21))</f>
        <v>0</v>
      </c>
      <c r="G23" s="66">
        <f>IF(parameters!$C$27="B",'consumption scenario B'!G21,IF(parameters!$C$27="C",'consumption scenario C'!G21,'consumption scenario A'!G21))</f>
        <v>0</v>
      </c>
      <c r="H23" s="66">
        <f>IF(parameters!$C$27="B",'consumption scenario B'!H21,IF(parameters!$C$27="C",'consumption scenario C'!H21,'consumption scenario A'!H21))</f>
        <v>0</v>
      </c>
      <c r="I23" s="66">
        <f>IF(parameters!$C$27="B",'consumption scenario B'!I21,IF(parameters!$C$27="C",'consumption scenario C'!I21,'consumption scenario A'!I21))</f>
        <v>0</v>
      </c>
      <c r="J23" s="66">
        <f>IF(parameters!$C$27="B",'consumption scenario B'!J21,IF(parameters!$C$27="C",'consumption scenario C'!J21,'consumption scenario A'!J21))</f>
        <v>0</v>
      </c>
      <c r="K23" s="538">
        <f>IF(parameters!$C$27="B",'consumption scenario B'!K21,IF(parameters!$C$27="C",'consumption scenario C'!K21,'consumption scenario A'!K21))</f>
        <v>0</v>
      </c>
      <c r="L23" s="538">
        <f>IF(parameters!$C$27="B",'consumption scenario B'!L21,IF(parameters!$C$27="C",'consumption scenario C'!L21,'consumption scenario A'!L21))</f>
        <v>0</v>
      </c>
      <c r="M23" s="449">
        <f>IF(parameters!$C$27="B",'consumption scenario B'!M21,IF(parameters!$C$27="C",'consumption scenario C'!M21,'consumption scenario A'!M21))</f>
        <v>0</v>
      </c>
      <c r="N23" s="66">
        <f>IF(parameters!$C$27="B",'consumption scenario B'!N21,IF(parameters!$C$27="C",'consumption scenario C'!N21,'consumption scenario A'!N21))</f>
        <v>0</v>
      </c>
      <c r="O23" s="66">
        <f>IF(parameters!$C$27="B",'consumption scenario B'!O21,IF(parameters!$C$27="C",'consumption scenario C'!O21,'consumption scenario A'!O21))</f>
        <v>0</v>
      </c>
      <c r="P23" s="66">
        <f>IF(parameters!$C$27="B",'consumption scenario B'!P21,IF(parameters!$C$27="C",'consumption scenario C'!P21,'consumption scenario A'!P21))</f>
        <v>0</v>
      </c>
      <c r="Q23" s="66">
        <f>IF(parameters!$C$27="B",'consumption scenario B'!Q21,IF(parameters!$C$27="C",'consumption scenario C'!Q21,'consumption scenario A'!Q21))</f>
        <v>0</v>
      </c>
      <c r="R23" s="66">
        <f>IF(parameters!$C$27="B",'consumption scenario B'!R21,IF(parameters!$C$27="C",'consumption scenario C'!R21,'consumption scenario A'!R21))</f>
        <v>0</v>
      </c>
      <c r="S23" s="66">
        <f>IF(parameters!$C$27="B",'consumption scenario B'!S21,IF(parameters!$C$27="C",'consumption scenario C'!S21,'consumption scenario A'!S21))</f>
        <v>0</v>
      </c>
      <c r="T23" s="66">
        <f>IF(parameters!$C$27="B",'consumption scenario B'!T21,IF(parameters!$C$27="C",'consumption scenario C'!T21,'consumption scenario A'!T21))</f>
        <v>0</v>
      </c>
      <c r="U23" s="66">
        <f>IF(parameters!$C$27="B",'consumption scenario B'!U21,IF(parameters!$C$27="C",'consumption scenario C'!U21,'consumption scenario A'!U21))</f>
        <v>0</v>
      </c>
      <c r="V23" s="66">
        <f>IF(parameters!$C$27="B",'consumption scenario B'!V21,IF(parameters!$C$27="C",'consumption scenario C'!V21,'consumption scenario A'!V21))</f>
        <v>0</v>
      </c>
      <c r="W23" s="66">
        <f>IF(parameters!$C$27="B",'consumption scenario B'!W21,IF(parameters!$C$27="C",'consumption scenario C'!W21,'consumption scenario A'!W21))</f>
        <v>0</v>
      </c>
      <c r="X23" s="66">
        <f>IF(parameters!$C$27="B",'consumption scenario B'!X21,IF(parameters!$C$27="C",'consumption scenario C'!X21,'consumption scenario A'!X21))</f>
        <v>0</v>
      </c>
      <c r="Y23" s="66">
        <f>IF(parameters!$C$27="B",'consumption scenario B'!Y21,IF(parameters!$C$27="C",'consumption scenario C'!Y21,'consumption scenario A'!Y21))</f>
        <v>0</v>
      </c>
      <c r="Z23" s="66">
        <f>IF(parameters!$C$27="B",'consumption scenario B'!Z21,IF(parameters!$C$27="C",'consumption scenario C'!Z21,'consumption scenario A'!Z21))</f>
        <v>0</v>
      </c>
      <c r="AA23" s="66">
        <f>IF(parameters!$C$27="B",'consumption scenario B'!AA21,IF(parameters!$C$27="C",'consumption scenario C'!AA21,'consumption scenario A'!AA21))</f>
        <v>0</v>
      </c>
      <c r="AB23" s="66">
        <f>IF(parameters!$C$27="B",'consumption scenario B'!AB21,IF(parameters!$C$27="C",'consumption scenario C'!AB21,'consumption scenario A'!AB21))</f>
        <v>0</v>
      </c>
      <c r="AC23" s="66">
        <f>IF(parameters!$C$27="B",'consumption scenario B'!AC21,IF(parameters!$C$27="C",'consumption scenario C'!AC21,'consumption scenario A'!AC21))</f>
        <v>0</v>
      </c>
      <c r="AD23" s="66">
        <f>IF(parameters!$C$27="B",'consumption scenario B'!AD21,IF(parameters!$C$27="C",'consumption scenario C'!AD21,'consumption scenario A'!AD21))</f>
        <v>0</v>
      </c>
      <c r="AE23" s="66">
        <f>IF(parameters!$C$27="B",'consumption scenario B'!AE21,IF(parameters!$C$27="C",'consumption scenario C'!AE21,'consumption scenario A'!AE21))</f>
        <v>0</v>
      </c>
      <c r="AF23" s="66">
        <f>IF(parameters!$C$27="B",'consumption scenario B'!AF21,IF(parameters!$C$27="C",'consumption scenario C'!AF21,'consumption scenario A'!AF21))</f>
        <v>0</v>
      </c>
      <c r="AG23" s="66">
        <f>IF(parameters!$C$27="B",'consumption scenario B'!AG21,IF(parameters!$C$27="C",'consumption scenario C'!AG21,'consumption scenario A'!AG21))</f>
        <v>0</v>
      </c>
      <c r="AH23" s="66">
        <f>IF(parameters!$C$27="B",'consumption scenario B'!AH21,IF(parameters!$C$27="C",'consumption scenario C'!AH21,'consumption scenario A'!AH21))</f>
        <v>0</v>
      </c>
      <c r="AI23" s="66">
        <f>IF(parameters!$C$27="B",'consumption scenario B'!AI21,IF(parameters!$C$27="C",'consumption scenario C'!AI21,'consumption scenario A'!AI21))</f>
        <v>0</v>
      </c>
      <c r="AJ23" s="66">
        <f>IF(parameters!$C$27="B",'consumption scenario B'!AJ21,IF(parameters!$C$27="C",'consumption scenario C'!AJ21,'consumption scenario A'!AJ21))</f>
        <v>0</v>
      </c>
      <c r="AK23" s="66">
        <f>IF(parameters!$C$27="B",'consumption scenario B'!AK21,IF(parameters!$C$27="C",'consumption scenario C'!AK21,'consumption scenario A'!AK21))</f>
        <v>0</v>
      </c>
      <c r="AL23" s="60">
        <v>0</v>
      </c>
    </row>
    <row r="24" spans="1:38">
      <c r="A24" s="57" t="s">
        <v>59</v>
      </c>
      <c r="B24" s="66">
        <f>IF(parameters!$C$27="B",'consumption scenario B'!B22,IF(parameters!$C$27="C",'consumption scenario C'!B22,'consumption scenario A'!B22))</f>
        <v>1.1232510506697361E-2</v>
      </c>
      <c r="C24" s="66">
        <f>IF(parameters!$C$27="B",'consumption scenario B'!C22,IF(parameters!$C$27="C",'consumption scenario C'!C22,'consumption scenario A'!C22))</f>
        <v>1.2004280513282546E-2</v>
      </c>
      <c r="D24" s="66">
        <f>IF(parameters!$C$27="B",'consumption scenario B'!D22,IF(parameters!$C$27="C",'consumption scenario C'!D22,'consumption scenario A'!D22))</f>
        <v>7.0902028842179067E-3</v>
      </c>
      <c r="E24" s="66">
        <f>IF(parameters!$C$27="B",'consumption scenario B'!E22,IF(parameters!$C$27="C",'consumption scenario C'!E22,'consumption scenario A'!E22))</f>
        <v>8.4327374043724132E-3</v>
      </c>
      <c r="F24" s="66">
        <f>IF(parameters!$C$27="B",'consumption scenario B'!F22,IF(parameters!$C$27="C",'consumption scenario C'!F22,'consumption scenario A'!F22))</f>
        <v>7.6196660866108016E-3</v>
      </c>
      <c r="G24" s="66">
        <f>IF(parameters!$C$27="B",'consumption scenario B'!G22,IF(parameters!$C$27="C",'consumption scenario C'!G22,'consumption scenario A'!G22))</f>
        <v>7.5091694182853287E-3</v>
      </c>
      <c r="H24" s="66">
        <f>IF(parameters!$C$27="B",'consumption scenario B'!H22,IF(parameters!$C$27="C",'consumption scenario C'!H22,'consumption scenario A'!H22))</f>
        <v>1.1597546146327862E-2</v>
      </c>
      <c r="I24" s="66">
        <f>IF(parameters!$C$27="B",'consumption scenario B'!I22,IF(parameters!$C$27="C",'consumption scenario C'!I22,'consumption scenario A'!I22))</f>
        <v>1.0589264047857911E-2</v>
      </c>
      <c r="J24" s="66">
        <f>IF(parameters!$C$27="B",'consumption scenario B'!J22,IF(parameters!$C$27="C",'consumption scenario C'!J22,'consumption scenario A'!J22))</f>
        <v>1.4272486325373708E-2</v>
      </c>
      <c r="K24" s="538">
        <f>IF(parameters!$C$27="B",'consumption scenario B'!K22,IF(parameters!$C$27="C",'consumption scenario C'!K22,'consumption scenario A'!K22))</f>
        <v>1.5841078612810748E-2</v>
      </c>
      <c r="L24" s="538">
        <f>IF(parameters!$C$27="B",'consumption scenario B'!L22,IF(parameters!$C$27="C",'consumption scenario C'!L22,'consumption scenario A'!L22))</f>
        <v>1.5290897285106825E-2</v>
      </c>
      <c r="M24" s="449">
        <f>IF(parameters!$C$27="B",'consumption scenario B'!M22,IF(parameters!$C$27="C",'consumption scenario C'!M22,'consumption scenario A'!M22))</f>
        <v>2.0754026326031674E-3</v>
      </c>
      <c r="N24" s="66">
        <f>IF(parameters!$C$27="B",'consumption scenario B'!N22,IF(parameters!$C$27="C",'consumption scenario C'!N22,'consumption scenario A'!N22))</f>
        <v>2.084585391543145E-3</v>
      </c>
      <c r="O24" s="66">
        <f>IF(parameters!$C$27="B",'consumption scenario B'!O22,IF(parameters!$C$27="C",'consumption scenario C'!O22,'consumption scenario A'!O22))</f>
        <v>2.0921708486715284E-3</v>
      </c>
      <c r="P24" s="66">
        <f>IF(parameters!$C$27="B",'consumption scenario B'!P22,IF(parameters!$C$27="C",'consumption scenario C'!P22,'consumption scenario A'!P22))</f>
        <v>2.0987506571516945E-3</v>
      </c>
      <c r="Q24" s="66">
        <f>IF(parameters!$C$27="B",'consumption scenario B'!Q22,IF(parameters!$C$27="C",'consumption scenario C'!Q22,'consumption scenario A'!Q22))</f>
        <v>2.1045405862316941E-3</v>
      </c>
      <c r="R24" s="66">
        <f>IF(parameters!$C$27="B",'consumption scenario B'!R22,IF(parameters!$C$27="C",'consumption scenario C'!R22,'consumption scenario A'!R22))</f>
        <v>2.109760091319616E-3</v>
      </c>
      <c r="S24" s="66">
        <f>IF(parameters!$C$27="B",'consumption scenario B'!S22,IF(parameters!$C$27="C",'consumption scenario C'!S22,'consumption scenario A'!S22))</f>
        <v>2.1152126606471607E-3</v>
      </c>
      <c r="T24" s="66">
        <f>IF(parameters!$C$27="B",'consumption scenario B'!T22,IF(parameters!$C$27="C",'consumption scenario C'!T22,'consumption scenario A'!T22))</f>
        <v>2.1207153673197081E-3</v>
      </c>
      <c r="U24" s="66">
        <f>IF(parameters!$C$27="B",'consumption scenario B'!U22,IF(parameters!$C$27="C",'consumption scenario C'!U22,'consumption scenario A'!U22))</f>
        <v>2.1262796830588074E-3</v>
      </c>
      <c r="V24" s="66">
        <f>IF(parameters!$C$27="B",'consumption scenario B'!V22,IF(parameters!$C$27="C",'consumption scenario C'!V22,'consumption scenario A'!V22))</f>
        <v>2.1317242274570027E-3</v>
      </c>
      <c r="W24" s="66">
        <f>IF(parameters!$C$27="B",'consumption scenario B'!W22,IF(parameters!$C$27="C",'consumption scenario C'!W22,'consumption scenario A'!W22))</f>
        <v>2.1370471330987325E-3</v>
      </c>
      <c r="X24" s="66">
        <f>IF(parameters!$C$27="B",'consumption scenario B'!X22,IF(parameters!$C$27="C",'consumption scenario C'!X22,'consumption scenario A'!X22))</f>
        <v>2.1424977731251214E-3</v>
      </c>
      <c r="Y24" s="66">
        <f>IF(parameters!$C$27="B",'consumption scenario B'!Y22,IF(parameters!$C$27="C",'consumption scenario C'!Y22,'consumption scenario A'!Y22))</f>
        <v>2.1478839628781567E-3</v>
      </c>
      <c r="Z24" s="66">
        <f>IF(parameters!$C$27="B",'consumption scenario B'!Z22,IF(parameters!$C$27="C",'consumption scenario C'!Z22,'consumption scenario A'!Z22))</f>
        <v>2.153218301748896E-3</v>
      </c>
      <c r="AA24" s="66">
        <f>IF(parameters!$C$27="B",'consumption scenario B'!AA22,IF(parameters!$C$27="C",'consumption scenario C'!AA22,'consumption scenario A'!AA22))</f>
        <v>2.1587122267920419E-3</v>
      </c>
      <c r="AB24" s="66">
        <f>IF(parameters!$C$27="B",'consumption scenario B'!AB22,IF(parameters!$C$27="C",'consumption scenario C'!AB22,'consumption scenario A'!AB22))</f>
        <v>2.1639614372070417E-3</v>
      </c>
      <c r="AC24" s="66">
        <f>IF(parameters!$C$27="B",'consumption scenario B'!AC22,IF(parameters!$C$27="C",'consumption scenario C'!AC22,'consumption scenario A'!AC22))</f>
        <v>2.169167505447983E-3</v>
      </c>
      <c r="AD24" s="66">
        <f>IF(parameters!$C$27="B",'consumption scenario B'!AD22,IF(parameters!$C$27="C",'consumption scenario C'!AD22,'consumption scenario A'!AD22))</f>
        <v>2.1743244857881003E-3</v>
      </c>
      <c r="AE24" s="66">
        <f>IF(parameters!$C$27="B",'consumption scenario B'!AE22,IF(parameters!$C$27="C",'consumption scenario C'!AE22,'consumption scenario A'!AE22))</f>
        <v>2.1794240391436463E-3</v>
      </c>
      <c r="AF24" s="66">
        <f>IF(parameters!$C$27="B",'consumption scenario B'!AF22,IF(parameters!$C$27="C",'consumption scenario C'!AF22,'consumption scenario A'!AF22))</f>
        <v>2.1844506648408517E-3</v>
      </c>
      <c r="AG24" s="66">
        <f>IF(parameters!$C$27="B",'consumption scenario B'!AG22,IF(parameters!$C$27="C",'consumption scenario C'!AG22,'consumption scenario A'!AG22))</f>
        <v>2.1893707233759498E-3</v>
      </c>
      <c r="AH24" s="66">
        <f>IF(parameters!$C$27="B",'consumption scenario B'!AH22,IF(parameters!$C$27="C",'consumption scenario C'!AH22,'consumption scenario A'!AH22))</f>
        <v>2.1941716610001842E-3</v>
      </c>
      <c r="AI24" s="66">
        <f>IF(parameters!$C$27="B",'consumption scenario B'!AI22,IF(parameters!$C$27="C",'consumption scenario C'!AI22,'consumption scenario A'!AI22))</f>
        <v>2.199045250665456E-3</v>
      </c>
      <c r="AJ24" s="66">
        <f>IF(parameters!$C$27="B",'consumption scenario B'!AJ22,IF(parameters!$C$27="C",'consumption scenario C'!AJ22,'consumption scenario A'!AJ22))</f>
        <v>2.2039739671515135E-3</v>
      </c>
      <c r="AK24" s="66">
        <f>IF(parameters!$C$27="B",'consumption scenario B'!AK22,IF(parameters!$C$27="C",'consumption scenario C'!AK22,'consumption scenario A'!AK22))</f>
        <v>2.208728481186611E-3</v>
      </c>
      <c r="AL24" s="60">
        <v>1.2402933546767336E-2</v>
      </c>
    </row>
    <row r="25" spans="1:38">
      <c r="A25" s="57" t="s">
        <v>27</v>
      </c>
      <c r="B25" s="66">
        <f>IF(parameters!$C$27="B",'consumption scenario B'!B23,IF(parameters!$C$27="C",'consumption scenario C'!B23,'consumption scenario A'!B23))</f>
        <v>9.594394536918481E-2</v>
      </c>
      <c r="C25" s="66">
        <f>IF(parameters!$C$27="B",'consumption scenario B'!C23,IF(parameters!$C$27="C",'consumption scenario C'!C23,'consumption scenario A'!C23))</f>
        <v>9.7585143832693136E-2</v>
      </c>
      <c r="D25" s="66">
        <f>IF(parameters!$C$27="B",'consumption scenario B'!D23,IF(parameters!$C$27="C",'consumption scenario C'!D23,'consumption scenario A'!D23))</f>
        <v>0.10106370294494238</v>
      </c>
      <c r="E25" s="66">
        <f>IF(parameters!$C$27="B",'consumption scenario B'!E23,IF(parameters!$C$27="C",'consumption scenario C'!E23,'consumption scenario A'!E23))</f>
        <v>0.10201720187793428</v>
      </c>
      <c r="F25" s="66">
        <f>IF(parameters!$C$27="B",'consumption scenario B'!F23,IF(parameters!$C$27="C",'consumption scenario C'!F23,'consumption scenario A'!F23))</f>
        <v>0.1026672607767819</v>
      </c>
      <c r="G25" s="66">
        <f>IF(parameters!$C$27="B",'consumption scenario B'!G23,IF(parameters!$C$27="C",'consumption scenario C'!G23,'consumption scenario A'!G23))</f>
        <v>9.8449102859581736E-2</v>
      </c>
      <c r="H25" s="66">
        <f>IF(parameters!$C$27="B",'consumption scenario B'!H23,IF(parameters!$C$27="C",'consumption scenario C'!H23,'consumption scenario A'!H23))</f>
        <v>0.10041452496798976</v>
      </c>
      <c r="I25" s="66">
        <f>IF(parameters!$C$27="B",'consumption scenario B'!I23,IF(parameters!$C$27="C",'consumption scenario C'!I23,'consumption scenario A'!I23))</f>
        <v>9.9836462654716185E-2</v>
      </c>
      <c r="J25" s="66">
        <f>IF(parameters!$C$27="B",'consumption scenario B'!J23,IF(parameters!$C$27="C",'consumption scenario C'!J23,'consumption scenario A'!J23))</f>
        <v>0.1073937772087068</v>
      </c>
      <c r="K25" s="538">
        <f>IF(parameters!$C$27="B",'consumption scenario B'!K23,IF(parameters!$C$27="C",'consumption scenario C'!K23,'consumption scenario A'!K23))</f>
        <v>0.11340672641912081</v>
      </c>
      <c r="L25" s="538">
        <f>IF(parameters!$C$27="B",'consumption scenario B'!L23,IF(parameters!$C$27="C",'consumption scenario C'!L23,'consumption scenario A'!L23))</f>
        <v>0.10973002304737518</v>
      </c>
      <c r="M25" s="449">
        <f>IF(parameters!$C$27="B",'consumption scenario B'!M23,IF(parameters!$C$27="C",'consumption scenario C'!M23,'consumption scenario A'!M23))</f>
        <v>9.980566724708019E-2</v>
      </c>
      <c r="N25" s="66">
        <f>IF(parameters!$C$27="B",'consumption scenario B'!N23,IF(parameters!$C$27="C",'consumption scenario C'!N23,'consumption scenario A'!N23))</f>
        <v>0.10786160956039269</v>
      </c>
      <c r="O25" s="66">
        <f>IF(parameters!$C$27="B",'consumption scenario B'!O23,IF(parameters!$C$27="C",'consumption scenario C'!O23,'consumption scenario A'!O23))</f>
        <v>0.10673544037558685</v>
      </c>
      <c r="P25" s="66">
        <f>IF(parameters!$C$27="B",'consumption scenario B'!P23,IF(parameters!$C$27="C",'consumption scenario C'!P23,'consumption scenario A'!P23))</f>
        <v>0.10555012548015365</v>
      </c>
      <c r="Q25" s="66">
        <f>IF(parameters!$C$27="B",'consumption scenario B'!Q23,IF(parameters!$C$27="C",'consumption scenario C'!Q23,'consumption scenario A'!Q23))</f>
        <v>0.10421451165172857</v>
      </c>
      <c r="R25" s="66">
        <f>IF(parameters!$C$27="B",'consumption scenario B'!R23,IF(parameters!$C$27="C",'consumption scenario C'!R23,'consumption scenario A'!R23))</f>
        <v>0.10267501630388395</v>
      </c>
      <c r="S25" s="66">
        <f>IF(parameters!$C$27="B",'consumption scenario B'!S23,IF(parameters!$C$27="C",'consumption scenario C'!S23,'consumption scenario A'!S23))</f>
        <v>0.10108634400341446</v>
      </c>
      <c r="T25" s="66">
        <f>IF(parameters!$C$27="B",'consumption scenario B'!T23,IF(parameters!$C$27="C",'consumption scenario C'!T23,'consumption scenario A'!T23))</f>
        <v>9.9449491762697392E-2</v>
      </c>
      <c r="U25" s="66">
        <f>IF(parameters!$C$27="B",'consumption scenario B'!U23,IF(parameters!$C$27="C",'consumption scenario C'!U23,'consumption scenario A'!U23))</f>
        <v>9.7830387366624014E-2</v>
      </c>
      <c r="V25" s="66">
        <f>IF(parameters!$C$27="B",'consumption scenario B'!V23,IF(parameters!$C$27="C",'consumption scenario C'!V23,'consumption scenario A'!V23))</f>
        <v>9.6386871190781057E-2</v>
      </c>
      <c r="W25" s="66">
        <f>IF(parameters!$C$27="B",'consumption scenario B'!W23,IF(parameters!$C$27="C",'consumption scenario C'!W23,'consumption scenario A'!W23))</f>
        <v>9.5001582927870268E-2</v>
      </c>
      <c r="X25" s="66">
        <f>IF(parameters!$C$27="B",'consumption scenario B'!X23,IF(parameters!$C$27="C",'consumption scenario C'!X23,'consumption scenario A'!X23))</f>
        <v>9.4089885104566798E-2</v>
      </c>
      <c r="Y25" s="66">
        <f>IF(parameters!$C$27="B",'consumption scenario B'!Y23,IF(parameters!$C$27="C",'consumption scenario C'!Y23,'consumption scenario A'!Y23))</f>
        <v>9.3723052838241575E-2</v>
      </c>
      <c r="Z25" s="66">
        <f>IF(parameters!$C$27="B",'consumption scenario B'!Z23,IF(parameters!$C$27="C",'consumption scenario C'!Z23,'consumption scenario A'!Z23))</f>
        <v>9.3927226291079816E-2</v>
      </c>
      <c r="AA25" s="66">
        <f>IF(parameters!$C$27="B",'consumption scenario B'!AA23,IF(parameters!$C$27="C",'consumption scenario C'!AA23,'consumption scenario A'!AA23))</f>
        <v>9.4841494152795539E-2</v>
      </c>
      <c r="AB25" s="66">
        <f>IF(parameters!$C$27="B",'consumption scenario B'!AB23,IF(parameters!$C$27="C",'consumption scenario C'!AB23,'consumption scenario A'!AB23))</f>
        <v>9.6066288348271439E-2</v>
      </c>
      <c r="AC25" s="66">
        <f>IF(parameters!$C$27="B",'consumption scenario B'!AC23,IF(parameters!$C$27="C",'consumption scenario C'!AC23,'consumption scenario A'!AC23))</f>
        <v>9.7326356636790456E-2</v>
      </c>
      <c r="AD25" s="66">
        <f>IF(parameters!$C$27="B",'consumption scenario B'!AD23,IF(parameters!$C$27="C",'consumption scenario C'!AD23,'consumption scenario A'!AD23))</f>
        <v>9.8648277592829722E-2</v>
      </c>
      <c r="AE25" s="66">
        <f>IF(parameters!$C$27="B",'consumption scenario B'!AE23,IF(parameters!$C$27="C",'consumption scenario C'!AE23,'consumption scenario A'!AE23))</f>
        <v>9.9976876483141297E-2</v>
      </c>
      <c r="AF25" s="66">
        <f>IF(parameters!$C$27="B",'consumption scenario B'!AF23,IF(parameters!$C$27="C",'consumption scenario C'!AF23,'consumption scenario A'!AF23))</f>
        <v>0.10144642048655571</v>
      </c>
      <c r="AG25" s="66">
        <f>IF(parameters!$C$27="B",'consumption scenario B'!AG23,IF(parameters!$C$27="C",'consumption scenario C'!AG23,'consumption scenario A'!AG23))</f>
        <v>0.10271607914639337</v>
      </c>
      <c r="AH25" s="66">
        <f>IF(parameters!$C$27="B",'consumption scenario B'!AH23,IF(parameters!$C$27="C",'consumption scenario C'!AH23,'consumption scenario A'!AH23))</f>
        <v>0.10405715755868514</v>
      </c>
      <c r="AI25" s="66">
        <f>IF(parameters!$C$27="B",'consumption scenario B'!AI23,IF(parameters!$C$27="C",'consumption scenario C'!AI23,'consumption scenario A'!AI23))</f>
        <v>0.10539823597097731</v>
      </c>
      <c r="AJ25" s="66">
        <f>IF(parameters!$C$27="B",'consumption scenario B'!AJ23,IF(parameters!$C$27="C",'consumption scenario C'!AJ23,'consumption scenario A'!AJ23))</f>
        <v>0.10673931438326907</v>
      </c>
      <c r="AK25" s="66">
        <f>IF(parameters!$C$27="B",'consumption scenario B'!AK23,IF(parameters!$C$27="C",'consumption scenario C'!AK23,'consumption scenario A'!AK23))</f>
        <v>0.10808039279556124</v>
      </c>
      <c r="AL25" s="60">
        <v>0.65879484344547601</v>
      </c>
    </row>
    <row r="26" spans="1:38">
      <c r="A26" s="57" t="s">
        <v>28</v>
      </c>
      <c r="B26" s="85">
        <f t="shared" ref="B26:AK26" si="1">SUM(B17:B25)</f>
        <v>0.16653875515716138</v>
      </c>
      <c r="C26" s="85">
        <f t="shared" si="1"/>
        <v>0.17105570506298975</v>
      </c>
      <c r="D26" s="85">
        <f t="shared" si="1"/>
        <v>0.17079953098593792</v>
      </c>
      <c r="E26" s="85">
        <f t="shared" si="1"/>
        <v>0.1741307747382598</v>
      </c>
      <c r="F26" s="85">
        <f t="shared" si="1"/>
        <v>0.17746372771961993</v>
      </c>
      <c r="G26" s="85">
        <f t="shared" si="1"/>
        <v>0.17409228149536821</v>
      </c>
      <c r="H26" s="85">
        <f t="shared" si="1"/>
        <v>0.18414220598635589</v>
      </c>
      <c r="I26" s="85">
        <f t="shared" si="1"/>
        <v>0.17854204455899164</v>
      </c>
      <c r="J26" s="85">
        <f t="shared" si="1"/>
        <v>0.19086998703709185</v>
      </c>
      <c r="K26" s="85">
        <f t="shared" si="1"/>
        <v>0.19730539768706201</v>
      </c>
      <c r="L26" s="85">
        <f t="shared" si="1"/>
        <v>0.18951597917919183</v>
      </c>
      <c r="M26" s="375">
        <f t="shared" si="1"/>
        <v>0.17415553895490377</v>
      </c>
      <c r="N26" s="85">
        <f t="shared" si="1"/>
        <v>0.18389295418317703</v>
      </c>
      <c r="O26" s="85">
        <f t="shared" si="1"/>
        <v>0.18745062554458305</v>
      </c>
      <c r="P26" s="85">
        <f t="shared" si="1"/>
        <v>0.18507067854181281</v>
      </c>
      <c r="Q26" s="85">
        <f t="shared" si="1"/>
        <v>0.18273865695277236</v>
      </c>
      <c r="R26" s="85">
        <f t="shared" si="1"/>
        <v>0.18052110744469554</v>
      </c>
      <c r="S26" s="85">
        <f t="shared" si="1"/>
        <v>0.17854341349847785</v>
      </c>
      <c r="T26" s="85">
        <f t="shared" si="1"/>
        <v>0.17691430718850334</v>
      </c>
      <c r="U26" s="85">
        <f t="shared" si="1"/>
        <v>0.1752788674092926</v>
      </c>
      <c r="V26" s="85">
        <f t="shared" si="1"/>
        <v>0.17404136913365809</v>
      </c>
      <c r="W26" s="85">
        <f t="shared" si="1"/>
        <v>0.17306355506093493</v>
      </c>
      <c r="X26" s="85">
        <f t="shared" si="1"/>
        <v>0.17263231671304297</v>
      </c>
      <c r="Y26" s="85">
        <f t="shared" si="1"/>
        <v>0.17282758105293564</v>
      </c>
      <c r="Z26" s="85">
        <f t="shared" si="1"/>
        <v>0.17350228909499296</v>
      </c>
      <c r="AA26" s="85">
        <f t="shared" si="1"/>
        <v>0.17503145882002002</v>
      </c>
      <c r="AB26" s="85">
        <f t="shared" si="1"/>
        <v>0.17688406621970815</v>
      </c>
      <c r="AC26" s="85">
        <f t="shared" si="1"/>
        <v>0.1788171569122764</v>
      </c>
      <c r="AD26" s="85">
        <f t="shared" si="1"/>
        <v>0.18082611267384513</v>
      </c>
      <c r="AE26" s="85">
        <f t="shared" si="1"/>
        <v>0.18284098425641171</v>
      </c>
      <c r="AF26" s="85">
        <f t="shared" si="1"/>
        <v>0.18502737464811869</v>
      </c>
      <c r="AG26" s="85">
        <f t="shared" si="1"/>
        <v>0.18697212003298155</v>
      </c>
      <c r="AH26" s="85">
        <f t="shared" si="1"/>
        <v>0.18896560077069788</v>
      </c>
      <c r="AI26" s="85">
        <f t="shared" si="1"/>
        <v>0.19099044633017181</v>
      </c>
      <c r="AJ26" s="85">
        <f t="shared" si="1"/>
        <v>0.19307576912085211</v>
      </c>
      <c r="AK26" s="85">
        <f t="shared" si="1"/>
        <v>0.19520888031188482</v>
      </c>
      <c r="AL26" s="60">
        <v>0.71977499261565481</v>
      </c>
    </row>
    <row r="27" spans="1:38">
      <c r="A27" s="579" t="s">
        <v>1112</v>
      </c>
      <c r="B27" s="371">
        <v>5.1200000000000002E-2</v>
      </c>
      <c r="C27" s="371">
        <v>5.28E-2</v>
      </c>
      <c r="D27" s="371">
        <v>5.5100000000000003E-2</v>
      </c>
      <c r="E27" s="371">
        <v>5.79E-2</v>
      </c>
      <c r="F27" s="371">
        <v>5.74E-2</v>
      </c>
      <c r="G27" s="371">
        <v>5.2999999999999999E-2</v>
      </c>
      <c r="H27" s="371">
        <v>5.8099999999999999E-2</v>
      </c>
      <c r="I27" s="371">
        <v>5.5E-2</v>
      </c>
      <c r="J27" s="371">
        <v>5.7660000000000003E-2</v>
      </c>
      <c r="K27" s="371">
        <v>5.688E-2</v>
      </c>
      <c r="L27" s="371">
        <v>5.314E-2</v>
      </c>
      <c r="M27" s="751"/>
      <c r="N27" s="60"/>
      <c r="O27" s="60"/>
      <c r="P27" s="60"/>
      <c r="Q27" s="60"/>
      <c r="R27" s="60"/>
      <c r="S27" s="60"/>
      <c r="T27" s="60"/>
      <c r="U27" s="60"/>
      <c r="V27" s="60"/>
      <c r="W27" s="60"/>
      <c r="X27" s="60"/>
      <c r="Y27" s="60"/>
      <c r="Z27" s="60"/>
      <c r="AA27" s="60"/>
      <c r="AB27" s="60"/>
      <c r="AC27" s="60"/>
      <c r="AD27" s="60"/>
      <c r="AE27" s="60"/>
      <c r="AF27" s="60"/>
    </row>
    <row r="28" spans="1:38">
      <c r="A28" s="57" t="s">
        <v>32</v>
      </c>
      <c r="K28" s="2"/>
      <c r="L28" s="2"/>
      <c r="M28" s="18"/>
    </row>
    <row r="29" spans="1:38">
      <c r="A29" s="57" t="s">
        <v>24</v>
      </c>
      <c r="B29" s="115">
        <f>IF(parameters!$C$27="B",'consumption scenario B'!B26,IF(parameters!$C$27="C",'consumption scenario C'!B26,'consumption scenario A'!B26))</f>
        <v>4.716850778559491E-3</v>
      </c>
      <c r="C29" s="66">
        <f>IF(parameters!$C$27="B",'consumption scenario B'!C26,IF(parameters!$C$27="C",'consumption scenario C'!C26,'consumption scenario A'!C26))</f>
        <v>4.2493773066018276E-3</v>
      </c>
      <c r="D29" s="66">
        <f>IF(parameters!$C$27="B",'consumption scenario B'!D26,IF(parameters!$C$27="C",'consumption scenario C'!D26,'consumption scenario A'!D26))</f>
        <v>1.8075217666993772E-3</v>
      </c>
      <c r="E29" s="66">
        <f>IF(parameters!$C$27="B",'consumption scenario B'!E26,IF(parameters!$C$27="C",'consumption scenario C'!E26,'consumption scenario A'!E26))</f>
        <v>1.8116883920671805E-3</v>
      </c>
      <c r="F29" s="66">
        <f>IF(parameters!$C$27="B",'consumption scenario B'!F26,IF(parameters!$C$27="C",'consumption scenario C'!F26,'consumption scenario A'!F26))</f>
        <v>5.4305017293701371E-3</v>
      </c>
      <c r="G29" s="66">
        <f>IF(parameters!$C$27="B",'consumption scenario B'!G26,IF(parameters!$C$27="C",'consumption scenario C'!G26,'consumption scenario A'!G26))</f>
        <v>5.2023293877999635E-3</v>
      </c>
      <c r="H29" s="66">
        <f>IF(parameters!$C$27="B",'consumption scenario B'!H26,IF(parameters!$C$27="C",'consumption scenario C'!H26,'consumption scenario A'!H26))</f>
        <v>5.9820835637745574E-3</v>
      </c>
      <c r="I29" s="66">
        <f>IF(parameters!$C$27="B",'consumption scenario B'!I26,IF(parameters!$C$27="C",'consumption scenario C'!I26,'consumption scenario A'!I26))</f>
        <v>5.3570897586040812E-3</v>
      </c>
      <c r="J29" s="66">
        <f>IF(parameters!$C$27="B",'consumption scenario B'!J26,IF(parameters!$C$27="C",'consumption scenario C'!J26,'consumption scenario A'!J26))</f>
        <v>5.5555004904042334E-3</v>
      </c>
      <c r="K29" s="538">
        <f>IF(parameters!$C$27="B",'consumption scenario B'!K26,IF(parameters!$C$27="C",'consumption scenario C'!K26,'consumption scenario A'!K26))</f>
        <v>4.643604767050738E-3</v>
      </c>
      <c r="L29" s="538">
        <f>IF(parameters!$C$27="B",'consumption scenario B'!L26,IF(parameters!$C$27="C",'consumption scenario C'!L26,'consumption scenario A'!L26))</f>
        <v>5.2687969829530142E-3</v>
      </c>
      <c r="M29" s="449">
        <f>IF(parameters!$C$27="B",'consumption scenario B'!M26,IF(parameters!$C$27="C",'consumption scenario C'!M26,'consumption scenario A'!M26))</f>
        <v>5.7235738203177877E-3</v>
      </c>
      <c r="N29" s="66">
        <f>IF(parameters!$C$27="B",'consumption scenario B'!N26,IF(parameters!$C$27="C",'consumption scenario C'!N26,'consumption scenario A'!N26))</f>
        <v>5.8730758148377417E-3</v>
      </c>
      <c r="O29" s="66">
        <f>IF(parameters!$C$27="B",'consumption scenario B'!O26,IF(parameters!$C$27="C",'consumption scenario C'!O26,'consumption scenario A'!O26))</f>
        <v>6.4988875451774423E-3</v>
      </c>
      <c r="P29" s="66">
        <f>IF(parameters!$C$27="B",'consumption scenario B'!P26,IF(parameters!$C$27="C",'consumption scenario C'!P26,'consumption scenario A'!P26))</f>
        <v>6.4341601555432905E-3</v>
      </c>
      <c r="Q29" s="66">
        <f>IF(parameters!$C$27="B",'consumption scenario B'!Q26,IF(parameters!$C$27="C",'consumption scenario C'!Q26,'consumption scenario A'!Q26))</f>
        <v>6.7803387031361764E-3</v>
      </c>
      <c r="R29" s="66">
        <f>IF(parameters!$C$27="B",'consumption scenario B'!R26,IF(parameters!$C$27="C",'consumption scenario C'!R26,'consumption scenario A'!R26))</f>
        <v>7.0012923159005081E-3</v>
      </c>
      <c r="S29" s="66">
        <f>IF(parameters!$C$27="B",'consumption scenario B'!S26,IF(parameters!$C$27="C",'consumption scenario C'!S26,'consumption scenario A'!S26))</f>
        <v>7.2081129823501899E-3</v>
      </c>
      <c r="T29" s="66">
        <f>IF(parameters!$C$27="B",'consumption scenario B'!T26,IF(parameters!$C$27="C",'consumption scenario C'!T26,'consumption scenario A'!T26))</f>
        <v>7.4497265269331675E-3</v>
      </c>
      <c r="U29" s="66">
        <f>IF(parameters!$C$27="B",'consumption scenario B'!U26,IF(parameters!$C$27="C",'consumption scenario C'!U26,'consumption scenario A'!U26))</f>
        <v>7.7176669959489533E-3</v>
      </c>
      <c r="V29" s="66">
        <f>IF(parameters!$C$27="B",'consumption scenario B'!V26,IF(parameters!$C$27="C",'consumption scenario C'!V26,'consumption scenario A'!V26))</f>
        <v>7.8473199124430432E-3</v>
      </c>
      <c r="W29" s="66">
        <f>IF(parameters!$C$27="B",'consumption scenario B'!W26,IF(parameters!$C$27="C",'consumption scenario C'!W26,'consumption scenario A'!W26))</f>
        <v>7.9455534699936613E-3</v>
      </c>
      <c r="X29" s="66">
        <f>IF(parameters!$C$27="B",'consumption scenario B'!X26,IF(parameters!$C$27="C",'consumption scenario C'!X26,'consumption scenario A'!X26))</f>
        <v>8.084706316743873E-3</v>
      </c>
      <c r="Y29" s="66">
        <f>IF(parameters!$C$27="B",'consumption scenario B'!Y26,IF(parameters!$C$27="C",'consumption scenario C'!Y26,'consumption scenario A'!Y26))</f>
        <v>8.262338620717043E-3</v>
      </c>
      <c r="Z29" s="66">
        <f>IF(parameters!$C$27="B",'consumption scenario B'!Z26,IF(parameters!$C$27="C",'consumption scenario C'!Z26,'consumption scenario A'!Z26))</f>
        <v>8.4136013063391447E-3</v>
      </c>
      <c r="AA29" s="66">
        <f>IF(parameters!$C$27="B",'consumption scenario B'!AA26,IF(parameters!$C$27="C",'consumption scenario C'!AA26,'consumption scenario A'!AA26))</f>
        <v>8.5492574937343722E-3</v>
      </c>
      <c r="AB29" s="66">
        <f>IF(parameters!$C$27="B",'consumption scenario B'!AB26,IF(parameters!$C$27="C",'consumption scenario C'!AB26,'consumption scenario A'!AB26))</f>
        <v>8.6701311364908284E-3</v>
      </c>
      <c r="AC29" s="66">
        <f>IF(parameters!$C$27="B",'consumption scenario B'!AC26,IF(parameters!$C$27="C",'consumption scenario C'!AC26,'consumption scenario A'!AC26))</f>
        <v>8.7466765299302508E-3</v>
      </c>
      <c r="AD29" s="66">
        <f>IF(parameters!$C$27="B",'consumption scenario B'!AD26,IF(parameters!$C$27="C",'consumption scenario C'!AD26,'consumption scenario A'!AD26))</f>
        <v>8.8605340524501378E-3</v>
      </c>
      <c r="AE29" s="66">
        <f>IF(parameters!$C$27="B",'consumption scenario B'!AE26,IF(parameters!$C$27="C",'consumption scenario C'!AE26,'consumption scenario A'!AE26))</f>
        <v>8.9089633400682502E-3</v>
      </c>
      <c r="AF29" s="66">
        <f>IF(parameters!$C$27="B",'consumption scenario B'!AF26,IF(parameters!$C$27="C",'consumption scenario C'!AF26,'consumption scenario A'!AF26))</f>
        <v>8.9510263673083443E-3</v>
      </c>
      <c r="AG29" s="66">
        <f>IF(parameters!$C$27="B",'consumption scenario B'!AG26,IF(parameters!$C$27="C",'consumption scenario C'!AG26,'consumption scenario A'!AG26))</f>
        <v>9.0102378685693631E-3</v>
      </c>
      <c r="AH29" s="66">
        <f>IF(parameters!$C$27="B",'consumption scenario B'!AH26,IF(parameters!$C$27="C",'consumption scenario C'!AH26,'consumption scenario A'!AH26))</f>
        <v>9.1098646608900932E-3</v>
      </c>
      <c r="AI29" s="66">
        <f>IF(parameters!$C$27="B",'consumption scenario B'!AI26,IF(parameters!$C$27="C",'consumption scenario C'!AI26,'consumption scenario A'!AI26))</f>
        <v>9.2590262311988067E-3</v>
      </c>
      <c r="AJ29" s="66">
        <f>IF(parameters!$C$27="B",'consumption scenario B'!AJ26,IF(parameters!$C$27="C",'consumption scenario C'!AJ26,'consumption scenario A'!AJ26))</f>
        <v>9.312523336664439E-3</v>
      </c>
      <c r="AK29" s="66">
        <f>IF(parameters!$C$27="B",'consumption scenario B'!AK26,IF(parameters!$C$27="C",'consumption scenario C'!AK26,'consumption scenario A'!AK26))</f>
        <v>9.3438937788208973E-3</v>
      </c>
    </row>
    <row r="30" spans="1:38">
      <c r="A30" s="57" t="s">
        <v>30</v>
      </c>
      <c r="B30" s="66">
        <f>IF(parameters!$C$27="B",'consumption scenario B'!B27,IF(parameters!$C$27="C",'consumption scenario C'!B27,'consumption scenario A'!B27))</f>
        <v>5.7916291168298292E-3</v>
      </c>
      <c r="C30" s="66">
        <f>IF(parameters!$C$27="B",'consumption scenario B'!C27,IF(parameters!$C$27="C",'consumption scenario C'!C27,'consumption scenario A'!C27))</f>
        <v>5.937280546527866E-3</v>
      </c>
      <c r="D30" s="66">
        <f>IF(parameters!$C$27="B",'consumption scenario B'!D27,IF(parameters!$C$27="C",'consumption scenario C'!D27,'consumption scenario A'!D27))</f>
        <v>4.6383811532224864E-3</v>
      </c>
      <c r="E30" s="66">
        <f>IF(parameters!$C$27="B",'consumption scenario B'!E27,IF(parameters!$C$27="C",'consumption scenario C'!E27,'consumption scenario A'!E27))</f>
        <v>4.5054708417700783E-3</v>
      </c>
      <c r="F30" s="66">
        <f>IF(parameters!$C$27="B",'consumption scenario B'!F27,IF(parameters!$C$27="C",'consumption scenario C'!F27,'consumption scenario A'!F27))</f>
        <v>3.9347383278862062E-3</v>
      </c>
      <c r="G30" s="66">
        <f>IF(parameters!$C$27="B",'consumption scenario B'!G27,IF(parameters!$C$27="C",'consumption scenario C'!G27,'consumption scenario A'!G27))</f>
        <v>4.7206076136545039E-3</v>
      </c>
      <c r="H30" s="66">
        <f>IF(parameters!$C$27="B",'consumption scenario B'!H27,IF(parameters!$C$27="C",'consumption scenario C'!H27,'consumption scenario A'!H27))</f>
        <v>5.7059771640775303E-3</v>
      </c>
      <c r="I30" s="66">
        <f>IF(parameters!$C$27="B",'consumption scenario B'!I27,IF(parameters!$C$27="C",'consumption scenario C'!I27,'consumption scenario A'!I27))</f>
        <v>4.8527091402502031E-3</v>
      </c>
      <c r="J30" s="66">
        <f>IF(parameters!$C$27="B",'consumption scenario B'!J27,IF(parameters!$C$27="C",'consumption scenario C'!J27,'consumption scenario A'!J27))</f>
        <v>5.1223040924863253E-3</v>
      </c>
      <c r="K30" s="538">
        <f>IF(parameters!$C$27="B",'consumption scenario B'!K27,IF(parameters!$C$27="C",'consumption scenario C'!K27,'consumption scenario A'!K27))</f>
        <v>5.9017030994009557E-3</v>
      </c>
      <c r="L30" s="538">
        <f>IF(parameters!$C$27="B",'consumption scenario B'!L27,IF(parameters!$C$27="C",'consumption scenario C'!L27,'consumption scenario A'!L27))</f>
        <v>4.5262296530922588E-3</v>
      </c>
      <c r="M30" s="449">
        <f>IF(parameters!$C$27="B",'consumption scenario B'!M27,IF(parameters!$C$27="C",'consumption scenario C'!M27,'consumption scenario A'!M27))</f>
        <v>5.7189246855607377E-3</v>
      </c>
      <c r="N30" s="66">
        <f>IF(parameters!$C$27="B",'consumption scenario B'!N27,IF(parameters!$C$27="C",'consumption scenario C'!N27,'consumption scenario A'!N27))</f>
        <v>5.7267488690986119E-3</v>
      </c>
      <c r="O30" s="66">
        <f>IF(parameters!$C$27="B",'consumption scenario B'!O27,IF(parameters!$C$27="C",'consumption scenario C'!O27,'consumption scenario A'!O27))</f>
        <v>5.7760952325383768E-3</v>
      </c>
      <c r="P30" s="66">
        <f>IF(parameters!$C$27="B",'consumption scenario B'!P27,IF(parameters!$C$27="C",'consumption scenario C'!P27,'consumption scenario A'!P27))</f>
        <v>5.8910078599850963E-3</v>
      </c>
      <c r="Q30" s="66">
        <f>IF(parameters!$C$27="B",'consumption scenario B'!Q27,IF(parameters!$C$27="C",'consumption scenario C'!Q27,'consumption scenario A'!Q27))</f>
        <v>5.9568475026599852E-3</v>
      </c>
      <c r="R30" s="66">
        <f>IF(parameters!$C$27="B",'consumption scenario B'!R27,IF(parameters!$C$27="C",'consumption scenario C'!R27,'consumption scenario A'!R27))</f>
        <v>6.0117126762704596E-3</v>
      </c>
      <c r="S30" s="66">
        <f>IF(parameters!$C$27="B",'consumption scenario B'!S27,IF(parameters!$C$27="C",'consumption scenario C'!S27,'consumption scenario A'!S27))</f>
        <v>6.0670678626298952E-3</v>
      </c>
      <c r="T30" s="66">
        <f>IF(parameters!$C$27="B",'consumption scenario B'!T27,IF(parameters!$C$27="C",'consumption scenario C'!T27,'consumption scenario A'!T27))</f>
        <v>6.1107698730469874E-3</v>
      </c>
      <c r="U30" s="66">
        <f>IF(parameters!$C$27="B",'consumption scenario B'!U27,IF(parameters!$C$27="C",'consumption scenario C'!U27,'consumption scenario A'!U27))</f>
        <v>6.1555528428855243E-3</v>
      </c>
      <c r="V30" s="66">
        <f>IF(parameters!$C$27="B",'consumption scenario B'!V27,IF(parameters!$C$27="C",'consumption scenario C'!V27,'consumption scenario A'!V27))</f>
        <v>6.1884522438082857E-3</v>
      </c>
      <c r="W30" s="66">
        <f>IF(parameters!$C$27="B",'consumption scenario B'!W27,IF(parameters!$C$27="C",'consumption scenario C'!W27,'consumption scenario A'!W27))</f>
        <v>6.233449531061295E-3</v>
      </c>
      <c r="X30" s="66">
        <f>IF(parameters!$C$27="B",'consumption scenario B'!X27,IF(parameters!$C$27="C",'consumption scenario C'!X27,'consumption scenario A'!X27))</f>
        <v>6.2878835703232107E-3</v>
      </c>
      <c r="Y30" s="66">
        <f>IF(parameters!$C$27="B",'consumption scenario B'!Y27,IF(parameters!$C$27="C",'consumption scenario C'!Y27,'consumption scenario A'!Y27))</f>
        <v>6.3112104863754731E-3</v>
      </c>
      <c r="Z30" s="66">
        <f>IF(parameters!$C$27="B",'consumption scenario B'!Z27,IF(parameters!$C$27="C",'consumption scenario C'!Z27,'consumption scenario A'!Z27))</f>
        <v>6.3469708597951461E-3</v>
      </c>
      <c r="AA30" s="66">
        <f>IF(parameters!$C$27="B",'consumption scenario B'!AA27,IF(parameters!$C$27="C",'consumption scenario C'!AA27,'consumption scenario A'!AA27))</f>
        <v>6.3772387662702395E-3</v>
      </c>
      <c r="AB30" s="66">
        <f>IF(parameters!$C$27="B",'consumption scenario B'!AB27,IF(parameters!$C$27="C",'consumption scenario C'!AB27,'consumption scenario A'!AB27))</f>
        <v>6.418920314548127E-3</v>
      </c>
      <c r="AC30" s="66">
        <f>IF(parameters!$C$27="B",'consumption scenario B'!AC27,IF(parameters!$C$27="C",'consumption scenario C'!AC27,'consumption scenario A'!AC27))</f>
        <v>6.4619417791910508E-3</v>
      </c>
      <c r="AD30" s="66">
        <f>IF(parameters!$C$27="B",'consumption scenario B'!AD27,IF(parameters!$C$27="C",'consumption scenario C'!AD27,'consumption scenario A'!AD27))</f>
        <v>6.4909100797989078E-3</v>
      </c>
      <c r="AE30" s="66">
        <f>IF(parameters!$C$27="B",'consumption scenario B'!AE27,IF(parameters!$C$27="C",'consumption scenario C'!AE27,'consumption scenario A'!AE27))</f>
        <v>6.5278348909340138E-3</v>
      </c>
      <c r="AF30" s="66">
        <f>IF(parameters!$C$27="B",'consumption scenario B'!AF27,IF(parameters!$C$27="C",'consumption scenario C'!AF27,'consumption scenario A'!AF27))</f>
        <v>6.5620319301912299E-3</v>
      </c>
      <c r="AG30" s="66">
        <f>IF(parameters!$C$27="B",'consumption scenario B'!AG27,IF(parameters!$C$27="C",'consumption scenario C'!AG27,'consumption scenario A'!AG27))</f>
        <v>6.5996217519833176E-3</v>
      </c>
      <c r="AH30" s="66">
        <f>IF(parameters!$C$27="B",'consumption scenario B'!AH27,IF(parameters!$C$27="C",'consumption scenario C'!AH27,'consumption scenario A'!AH27))</f>
        <v>6.6432092596826866E-3</v>
      </c>
      <c r="AI30" s="66">
        <f>IF(parameters!$C$27="B",'consumption scenario B'!AI27,IF(parameters!$C$27="C",'consumption scenario C'!AI27,'consumption scenario A'!AI27))</f>
        <v>6.6830654035509316E-3</v>
      </c>
      <c r="AJ30" s="66">
        <f>IF(parameters!$C$27="B",'consumption scenario B'!AJ27,IF(parameters!$C$27="C",'consumption scenario C'!AJ27,'consumption scenario A'!AJ27))</f>
        <v>6.7325568111818402E-3</v>
      </c>
      <c r="AK30" s="66">
        <f>IF(parameters!$C$27="B",'consumption scenario B'!AK27,IF(parameters!$C$27="C",'consumption scenario C'!AK27,'consumption scenario A'!AK27))</f>
        <v>6.7847235987685004E-3</v>
      </c>
    </row>
    <row r="31" spans="1:38">
      <c r="A31" s="57" t="s">
        <v>25</v>
      </c>
      <c r="B31" s="66">
        <f>IF(parameters!$C$27="B",'consumption scenario B'!B28,IF(parameters!$C$27="C",'consumption scenario C'!B28,'consumption scenario A'!B28))</f>
        <v>1.7955278939008688E-2</v>
      </c>
      <c r="C31" s="66">
        <f>IF(parameters!$C$27="B",'consumption scenario B'!C28,IF(parameters!$C$27="C",'consumption scenario C'!C28,'consumption scenario A'!C28))</f>
        <v>1.855505988597872E-2</v>
      </c>
      <c r="D31" s="66">
        <f>IF(parameters!$C$27="B",'consumption scenario B'!D28,IF(parameters!$C$27="C",'consumption scenario C'!D28,'consumption scenario A'!D28))</f>
        <v>1.6026866600000002E-2</v>
      </c>
      <c r="E31" s="66">
        <f>IF(parameters!$C$27="B",'consumption scenario B'!E28,IF(parameters!$C$27="C",'consumption scenario C'!E28,'consumption scenario A'!E28))</f>
        <v>1.4883080470000001E-2</v>
      </c>
      <c r="F31" s="66">
        <f>IF(parameters!$C$27="B",'consumption scenario B'!F28,IF(parameters!$C$27="C",'consumption scenario C'!F28,'consumption scenario A'!F28))</f>
        <v>1.5386824700000001E-2</v>
      </c>
      <c r="G31" s="66">
        <f>IF(parameters!$C$27="B",'consumption scenario B'!G28,IF(parameters!$C$27="C",'consumption scenario C'!G28,'consumption scenario A'!G28))</f>
        <v>1.6241572800000003E-2</v>
      </c>
      <c r="H31" s="66">
        <f>IF(parameters!$C$27="B",'consumption scenario B'!H28,IF(parameters!$C$27="C",'consumption scenario C'!H28,'consumption scenario A'!H28))</f>
        <v>1.7688801300000001E-2</v>
      </c>
      <c r="I31" s="66">
        <f>IF(parameters!$C$27="B",'consumption scenario B'!I28,IF(parameters!$C$27="C",'consumption scenario C'!I28,'consumption scenario A'!I28))</f>
        <v>1.7801590000000003E-2</v>
      </c>
      <c r="J31" s="66">
        <f>IF(parameters!$C$27="B",'consumption scenario B'!J28,IF(parameters!$C$27="C",'consumption scenario C'!J28,'consumption scenario A'!J28))</f>
        <v>1.8345150000000001E-2</v>
      </c>
      <c r="K31" s="538">
        <f>IF(parameters!$C$27="B",'consumption scenario B'!K28,IF(parameters!$C$27="C",'consumption scenario C'!K28,'consumption scenario A'!K28))</f>
        <v>1.870077413E-2</v>
      </c>
      <c r="L31" s="538">
        <f>IF(parameters!$C$27="B",'consumption scenario B'!L28,IF(parameters!$C$27="C",'consumption scenario C'!L28,'consumption scenario A'!L28))</f>
        <v>1.781205353E-2</v>
      </c>
      <c r="M31" s="449">
        <f>IF(parameters!$C$27="B",'consumption scenario B'!M28,IF(parameters!$C$27="C",'consumption scenario C'!M28,'consumption scenario A'!M28))</f>
        <v>1.5444662204402574E-2</v>
      </c>
      <c r="N31" s="66">
        <f>IF(parameters!$C$27="B",'consumption scenario B'!N28,IF(parameters!$C$27="C",'consumption scenario C'!N28,'consumption scenario A'!N28))</f>
        <v>1.576170168334972E-2</v>
      </c>
      <c r="O31" s="66">
        <f>IF(parameters!$C$27="B",'consumption scenario B'!O28,IF(parameters!$C$27="C",'consumption scenario C'!O28,'consumption scenario A'!O28))</f>
        <v>1.6177782874415438E-2</v>
      </c>
      <c r="P31" s="66">
        <f>IF(parameters!$C$27="B",'consumption scenario B'!P28,IF(parameters!$C$27="C",'consumption scenario C'!P28,'consumption scenario A'!P28))</f>
        <v>1.664746175208167E-2</v>
      </c>
      <c r="Q31" s="66">
        <f>IF(parameters!$C$27="B",'consumption scenario B'!Q28,IF(parameters!$C$27="C",'consumption scenario C'!Q28,'consumption scenario A'!Q28))</f>
        <v>1.6902995314651011E-2</v>
      </c>
      <c r="R31" s="66">
        <f>IF(parameters!$C$27="B",'consumption scenario B'!R28,IF(parameters!$C$27="C",'consumption scenario C'!R28,'consumption scenario A'!R28))</f>
        <v>1.7137479455150349E-2</v>
      </c>
      <c r="S31" s="66">
        <f>IF(parameters!$C$27="B",'consumption scenario B'!S28,IF(parameters!$C$27="C",'consumption scenario C'!S28,'consumption scenario A'!S28))</f>
        <v>1.7370859301881317E-2</v>
      </c>
      <c r="T31" s="66">
        <f>IF(parameters!$C$27="B",'consumption scenario B'!T28,IF(parameters!$C$27="C",'consumption scenario C'!T28,'consumption scenario A'!T28))</f>
        <v>1.7589730447784765E-2</v>
      </c>
      <c r="U31" s="66">
        <f>IF(parameters!$C$27="B",'consumption scenario B'!U28,IF(parameters!$C$27="C",'consumption scenario C'!U28,'consumption scenario A'!U28))</f>
        <v>1.7864012148439627E-2</v>
      </c>
      <c r="V31" s="66">
        <f>IF(parameters!$C$27="B",'consumption scenario B'!V28,IF(parameters!$C$27="C",'consumption scenario C'!V28,'consumption scenario A'!V28))</f>
        <v>1.8052275345772049E-2</v>
      </c>
      <c r="W31" s="66">
        <f>IF(parameters!$C$27="B",'consumption scenario B'!W28,IF(parameters!$C$27="C",'consumption scenario C'!W28,'consumption scenario A'!W28))</f>
        <v>1.8239085882763746E-2</v>
      </c>
      <c r="X31" s="66">
        <f>IF(parameters!$C$27="B",'consumption scenario B'!X28,IF(parameters!$C$27="C",'consumption scenario C'!X28,'consumption scenario A'!X28))</f>
        <v>1.841658266413335E-2</v>
      </c>
      <c r="Y31" s="66">
        <f>IF(parameters!$C$27="B",'consumption scenario B'!Y28,IF(parameters!$C$27="C",'consumption scenario C'!Y28,'consumption scenario A'!Y28))</f>
        <v>1.8620275570552822E-2</v>
      </c>
      <c r="Z31" s="66">
        <f>IF(parameters!$C$27="B",'consumption scenario B'!Z28,IF(parameters!$C$27="C",'consumption scenario C'!Z28,'consumption scenario A'!Z28))</f>
        <v>1.8771073201356882E-2</v>
      </c>
      <c r="AA31" s="66">
        <f>IF(parameters!$C$27="B",'consumption scenario B'!AA28,IF(parameters!$C$27="C",'consumption scenario C'!AA28,'consumption scenario A'!AA28))</f>
        <v>1.8934990444589867E-2</v>
      </c>
      <c r="AB31" s="66">
        <f>IF(parameters!$C$27="B",'consumption scenario B'!AB28,IF(parameters!$C$27="C",'consumption scenario C'!AB28,'consumption scenario A'!AB28))</f>
        <v>1.9108582548078925E-2</v>
      </c>
      <c r="AC31" s="66">
        <f>IF(parameters!$C$27="B",'consumption scenario B'!AC28,IF(parameters!$C$27="C",'consumption scenario C'!AC28,'consumption scenario A'!AC28))</f>
        <v>1.9242332127835375E-2</v>
      </c>
      <c r="AD31" s="66">
        <f>IF(parameters!$C$27="B",'consumption scenario B'!AD28,IF(parameters!$C$27="C",'consumption scenario C'!AD28,'consumption scenario A'!AD28))</f>
        <v>1.9361422415450323E-2</v>
      </c>
      <c r="AE31" s="66">
        <f>IF(parameters!$C$27="B",'consumption scenario B'!AE28,IF(parameters!$C$27="C",'consumption scenario C'!AE28,'consumption scenario A'!AE28))</f>
        <v>1.9537409260409064E-2</v>
      </c>
      <c r="AF31" s="66">
        <f>IF(parameters!$C$27="B",'consumption scenario B'!AF28,IF(parameters!$C$27="C",'consumption scenario C'!AF28,'consumption scenario A'!AF28))</f>
        <v>1.9724115560599949E-2</v>
      </c>
      <c r="AG31" s="66">
        <f>IF(parameters!$C$27="B",'consumption scenario B'!AG28,IF(parameters!$C$27="C",'consumption scenario C'!AG28,'consumption scenario A'!AG28))</f>
        <v>1.9917555707831644E-2</v>
      </c>
      <c r="AH31" s="66">
        <f>IF(parameters!$C$27="B",'consumption scenario B'!AH28,IF(parameters!$C$27="C",'consumption scenario C'!AH28,'consumption scenario A'!AH28))</f>
        <v>2.0108800011803644E-2</v>
      </c>
      <c r="AI31" s="66">
        <f>IF(parameters!$C$27="B",'consumption scenario B'!AI28,IF(parameters!$C$27="C",'consumption scenario C'!AI28,'consumption scenario A'!AI28))</f>
        <v>2.033685815647511E-2</v>
      </c>
      <c r="AJ31" s="66">
        <f>IF(parameters!$C$27="B",'consumption scenario B'!AJ28,IF(parameters!$C$27="C",'consumption scenario C'!AJ28,'consumption scenario A'!AJ28))</f>
        <v>2.0535810680367434E-2</v>
      </c>
      <c r="AK31" s="66">
        <f>IF(parameters!$C$27="B",'consumption scenario B'!AK28,IF(parameters!$C$27="C",'consumption scenario C'!AK28,'consumption scenario A'!AK28))</f>
        <v>2.0762627696798312E-2</v>
      </c>
    </row>
    <row r="32" spans="1:38">
      <c r="A32" s="57" t="s">
        <v>31</v>
      </c>
      <c r="B32" s="66">
        <f>IF(parameters!$C$27="B",'consumption scenario B'!B29,IF(parameters!$C$27="C",'consumption scenario C'!B29,'consumption scenario A'!B29))</f>
        <v>8.2412061777782316E-4</v>
      </c>
      <c r="C32" s="66">
        <f>IF(parameters!$C$27="B",'consumption scenario B'!C29,IF(parameters!$C$27="C",'consumption scenario C'!C29,'consumption scenario A'!C29))</f>
        <v>8.7316280655768319E-4</v>
      </c>
      <c r="D32" s="66">
        <f>IF(parameters!$C$27="B",'consumption scenario B'!D29,IF(parameters!$C$27="C",'consumption scenario C'!D29,'consumption scenario A'!D29))</f>
        <v>8.6287806388219627E-4</v>
      </c>
      <c r="E32" s="66">
        <f>IF(parameters!$C$27="B",'consumption scenario B'!E29,IF(parameters!$C$27="C",'consumption scenario C'!E29,'consumption scenario A'!E29))</f>
        <v>8.9692965689903504E-4</v>
      </c>
      <c r="F32" s="66">
        <f>IF(parameters!$C$27="B",'consumption scenario B'!F29,IF(parameters!$C$27="C",'consumption scenario C'!F29,'consumption scenario A'!F29))</f>
        <v>1.0299269783155885E-3</v>
      </c>
      <c r="G32" s="66">
        <f>IF(parameters!$C$27="B",'consumption scenario B'!G29,IF(parameters!$C$27="C",'consumption scenario C'!G29,'consumption scenario A'!G29))</f>
        <v>9.6984641890891495E-4</v>
      </c>
      <c r="H32" s="66">
        <f>IF(parameters!$C$27="B",'consumption scenario B'!H29,IF(parameters!$C$27="C",'consumption scenario C'!H29,'consumption scenario A'!H29))</f>
        <v>9.9302289583137054E-4</v>
      </c>
      <c r="I32" s="66">
        <f>IF(parameters!$C$27="B",'consumption scenario B'!I29,IF(parameters!$C$27="C",'consumption scenario C'!I29,'consumption scenario A'!I29))</f>
        <v>7.1312236684479039E-4</v>
      </c>
      <c r="J32" s="66">
        <f>IF(parameters!$C$27="B",'consumption scenario B'!J29,IF(parameters!$C$27="C",'consumption scenario C'!J29,'consumption scenario A'!J29))</f>
        <v>7.1312236684479039E-4</v>
      </c>
      <c r="K32" s="538">
        <f>IF(parameters!$C$27="B",'consumption scenario B'!K29,IF(parameters!$C$27="C",'consumption scenario C'!K29,'consumption scenario A'!K29))</f>
        <v>4.5372410590499785E-4</v>
      </c>
      <c r="L32" s="538">
        <f>IF(parameters!$C$27="B",'consumption scenario B'!L29,IF(parameters!$C$27="C",'consumption scenario C'!L29,'consumption scenario A'!L29))</f>
        <v>3.7331955904324772E-4</v>
      </c>
      <c r="M32" s="449">
        <f>IF(parameters!$C$27="B",'consumption scenario B'!M29,IF(parameters!$C$27="C",'consumption scenario C'!M29,'consumption scenario A'!M29))</f>
        <v>4.0743217948383914E-4</v>
      </c>
      <c r="N32" s="66">
        <f>IF(parameters!$C$27="B",'consumption scenario B'!N29,IF(parameters!$C$27="C",'consumption scenario C'!N29,'consumption scenario A'!N29))</f>
        <v>4.1099883413862415E-4</v>
      </c>
      <c r="O32" s="66">
        <f>IF(parameters!$C$27="B",'consumption scenario B'!O29,IF(parameters!$C$27="C",'consumption scenario C'!O29,'consumption scenario A'!O29))</f>
        <v>4.0806848459211186E-4</v>
      </c>
      <c r="P32" s="66">
        <f>IF(parameters!$C$27="B",'consumption scenario B'!P29,IF(parameters!$C$27="C",'consumption scenario C'!P29,'consumption scenario A'!P29))</f>
        <v>3.8101688467656727E-4</v>
      </c>
      <c r="Q32" s="66">
        <f>IF(parameters!$C$27="B",'consumption scenario B'!Q29,IF(parameters!$C$27="C",'consumption scenario C'!Q29,'consumption scenario A'!Q29))</f>
        <v>3.50538432959004E-4</v>
      </c>
      <c r="R32" s="66">
        <f>IF(parameters!$C$27="B",'consumption scenario B'!R29,IF(parameters!$C$27="C",'consumption scenario C'!R29,'consumption scenario A'!R29))</f>
        <v>3.367152349772607E-4</v>
      </c>
      <c r="S32" s="66">
        <f>IF(parameters!$C$27="B",'consumption scenario B'!S29,IF(parameters!$C$27="C",'consumption scenario C'!S29,'consumption scenario A'!S29))</f>
        <v>3.2691789418007837E-4</v>
      </c>
      <c r="T32" s="66">
        <f>IF(parameters!$C$27="B",'consumption scenario B'!T29,IF(parameters!$C$27="C",'consumption scenario C'!T29,'consumption scenario A'!T29))</f>
        <v>3.1856250047293836E-4</v>
      </c>
      <c r="U32" s="66">
        <f>IF(parameters!$C$27="B",'consumption scenario B'!U29,IF(parameters!$C$27="C",'consumption scenario C'!U29,'consumption scenario A'!U29))</f>
        <v>3.1169766109638368E-4</v>
      </c>
      <c r="V32" s="66">
        <f>IF(parameters!$C$27="B",'consumption scenario B'!V29,IF(parameters!$C$27="C",'consumption scenario C'!V29,'consumption scenario A'!V29))</f>
        <v>3.0890616808816281E-4</v>
      </c>
      <c r="W32" s="66">
        <f>IF(parameters!$C$27="B",'consumption scenario B'!W29,IF(parameters!$C$27="C",'consumption scenario C'!W29,'consumption scenario A'!W29))</f>
        <v>3.0521091595579107E-4</v>
      </c>
      <c r="X32" s="66">
        <f>IF(parameters!$C$27="B",'consumption scenario B'!X29,IF(parameters!$C$27="C",'consumption scenario C'!X29,'consumption scenario A'!X29))</f>
        <v>3.0248131640127574E-4</v>
      </c>
      <c r="Y32" s="66">
        <f>IF(parameters!$C$27="B",'consumption scenario B'!Y29,IF(parameters!$C$27="C",'consumption scenario C'!Y29,'consumption scenario A'!Y29))</f>
        <v>2.9917053453368654E-4</v>
      </c>
      <c r="Z32" s="66">
        <f>IF(parameters!$C$27="B",'consumption scenario B'!Z29,IF(parameters!$C$27="C",'consumption scenario C'!Z29,'consumption scenario A'!Z29))</f>
        <v>3.0232771012698507E-4</v>
      </c>
      <c r="AA32" s="66">
        <f>IF(parameters!$C$27="B",'consumption scenario B'!AA29,IF(parameters!$C$27="C",'consumption scenario C'!AA29,'consumption scenario A'!AA29))</f>
        <v>3.0525456645471606E-4</v>
      </c>
      <c r="AB32" s="66">
        <f>IF(parameters!$C$27="B",'consumption scenario B'!AB29,IF(parameters!$C$27="C",'consumption scenario C'!AB29,'consumption scenario A'!AB29))</f>
        <v>3.0822163455225939E-4</v>
      </c>
      <c r="AC32" s="66">
        <f>IF(parameters!$C$27="B",'consumption scenario B'!AC29,IF(parameters!$C$27="C",'consumption scenario C'!AC29,'consumption scenario A'!AC29))</f>
        <v>3.1048663346818156E-4</v>
      </c>
      <c r="AD32" s="66">
        <f>IF(parameters!$C$27="B",'consumption scenario B'!AD29,IF(parameters!$C$27="C",'consumption scenario C'!AD29,'consumption scenario A'!AD29))</f>
        <v>3.1260469408926948E-4</v>
      </c>
      <c r="AE32" s="66">
        <f>IF(parameters!$C$27="B",'consumption scenario B'!AE29,IF(parameters!$C$27="C",'consumption scenario C'!AE29,'consumption scenario A'!AE29))</f>
        <v>3.1537569660433098E-4</v>
      </c>
      <c r="AF32" s="66">
        <f>IF(parameters!$C$27="B",'consumption scenario B'!AF29,IF(parameters!$C$27="C",'consumption scenario C'!AF29,'consumption scenario A'!AF29))</f>
        <v>3.1797925405634413E-4</v>
      </c>
      <c r="AG32" s="66">
        <f>IF(parameters!$C$27="B",'consumption scenario B'!AG29,IF(parameters!$C$27="C",'consumption scenario C'!AG29,'consumption scenario A'!AG29))</f>
        <v>3.2151141070966112E-4</v>
      </c>
      <c r="AH32" s="66">
        <f>IF(parameters!$C$27="B",'consumption scenario B'!AH29,IF(parameters!$C$27="C",'consumption scenario C'!AH29,'consumption scenario A'!AH29))</f>
        <v>3.2437945832225614E-4</v>
      </c>
      <c r="AI32" s="66">
        <f>IF(parameters!$C$27="B",'consumption scenario B'!AI29,IF(parameters!$C$27="C",'consumption scenario C'!AI29,'consumption scenario A'!AI29))</f>
        <v>3.2690492824118074E-4</v>
      </c>
      <c r="AJ32" s="66">
        <f>IF(parameters!$C$27="B",'consumption scenario B'!AJ29,IF(parameters!$C$27="C",'consumption scenario C'!AJ29,'consumption scenario A'!AJ29))</f>
        <v>3.3005275358232599E-4</v>
      </c>
      <c r="AK32" s="66">
        <f>IF(parameters!$C$27="B",'consumption scenario B'!AK29,IF(parameters!$C$27="C",'consumption scenario C'!AK29,'consumption scenario A'!AK29))</f>
        <v>3.3378317972799034E-4</v>
      </c>
    </row>
    <row r="33" spans="1:37">
      <c r="A33" s="57" t="s">
        <v>60</v>
      </c>
      <c r="B33" s="66">
        <f>IF(parameters!$C$27="B",'consumption scenario B'!B30,IF(parameters!$C$27="C",'consumption scenario C'!B30,'consumption scenario A'!B30))</f>
        <v>6.7804572629369363E-3</v>
      </c>
      <c r="C33" s="66">
        <f>IF(parameters!$C$27="B",'consumption scenario B'!C30,IF(parameters!$C$27="C",'consumption scenario C'!C30,'consumption scenario A'!C30))</f>
        <v>7.084609643170898E-3</v>
      </c>
      <c r="D33" s="66">
        <f>IF(parameters!$C$27="B",'consumption scenario B'!D30,IF(parameters!$C$27="C",'consumption scenario C'!D30,'consumption scenario A'!D30))</f>
        <v>6.6965625211192169E-3</v>
      </c>
      <c r="E33" s="66">
        <f>IF(parameters!$C$27="B",'consumption scenario B'!E30,IF(parameters!$C$27="C",'consumption scenario C'!E30,'consumption scenario A'!E30))</f>
        <v>5.7652291992522772E-3</v>
      </c>
      <c r="F33" s="66">
        <f>IF(parameters!$C$27="B",'consumption scenario B'!F30,IF(parameters!$C$27="C",'consumption scenario C'!F30,'consumption scenario A'!F30))</f>
        <v>2.1334181483211668E-3</v>
      </c>
      <c r="G33" s="66">
        <f>IF(parameters!$C$27="B",'consumption scenario B'!G30,IF(parameters!$C$27="C",'consumption scenario C'!G30,'consumption scenario A'!G30))</f>
        <v>0</v>
      </c>
      <c r="H33" s="66">
        <f>IF(parameters!$C$27="B",'consumption scenario B'!H30,IF(parameters!$C$27="C",'consumption scenario C'!H30,'consumption scenario A'!H30))</f>
        <v>0</v>
      </c>
      <c r="I33" s="66">
        <f>IF(parameters!$C$27="B",'consumption scenario B'!I30,IF(parameters!$C$27="C",'consumption scenario C'!I30,'consumption scenario A'!I30))</f>
        <v>0</v>
      </c>
      <c r="J33" s="66">
        <f>IF(parameters!$C$27="B",'consumption scenario B'!J30,IF(parameters!$C$27="C",'consumption scenario C'!J30,'consumption scenario A'!J30))</f>
        <v>0</v>
      </c>
      <c r="K33" s="538">
        <f>IF(parameters!$C$27="B",'consumption scenario B'!K30,IF(parameters!$C$27="C",'consumption scenario C'!K30,'consumption scenario A'!K30))</f>
        <v>0</v>
      </c>
      <c r="L33" s="538">
        <f>IF(parameters!$C$27="B",'consumption scenario B'!L30,IF(parameters!$C$27="C",'consumption scenario C'!L30,'consumption scenario A'!L30))</f>
        <v>0</v>
      </c>
      <c r="M33" s="449">
        <f>IF(parameters!$C$27="B",'consumption scenario B'!M30,IF(parameters!$C$27="C",'consumption scenario C'!M30,'consumption scenario A'!M30))</f>
        <v>0</v>
      </c>
      <c r="N33" s="66">
        <f>IF(parameters!$C$27="B",'consumption scenario B'!N30,IF(parameters!$C$27="C",'consumption scenario C'!N30,'consumption scenario A'!N30))</f>
        <v>0</v>
      </c>
      <c r="O33" s="66">
        <f>IF(parameters!$C$27="B",'consumption scenario B'!O30,IF(parameters!$C$27="C",'consumption scenario C'!O30,'consumption scenario A'!O30))</f>
        <v>0</v>
      </c>
      <c r="P33" s="66">
        <f>IF(parameters!$C$27="B",'consumption scenario B'!P30,IF(parameters!$C$27="C",'consumption scenario C'!P30,'consumption scenario A'!P30))</f>
        <v>0</v>
      </c>
      <c r="Q33" s="66">
        <f>IF(parameters!$C$27="B",'consumption scenario B'!Q30,IF(parameters!$C$27="C",'consumption scenario C'!Q30,'consumption scenario A'!Q30))</f>
        <v>0</v>
      </c>
      <c r="R33" s="66">
        <f>IF(parameters!$C$27="B",'consumption scenario B'!R30,IF(parameters!$C$27="C",'consumption scenario C'!R30,'consumption scenario A'!R30))</f>
        <v>0</v>
      </c>
      <c r="S33" s="66">
        <f>IF(parameters!$C$27="B",'consumption scenario B'!S30,IF(parameters!$C$27="C",'consumption scenario C'!S30,'consumption scenario A'!S30))</f>
        <v>0</v>
      </c>
      <c r="T33" s="66">
        <f>IF(parameters!$C$27="B",'consumption scenario B'!T30,IF(parameters!$C$27="C",'consumption scenario C'!T30,'consumption scenario A'!T30))</f>
        <v>0</v>
      </c>
      <c r="U33" s="66">
        <f>IF(parameters!$C$27="B",'consumption scenario B'!U30,IF(parameters!$C$27="C",'consumption scenario C'!U30,'consumption scenario A'!U30))</f>
        <v>0</v>
      </c>
      <c r="V33" s="66">
        <f>IF(parameters!$C$27="B",'consumption scenario B'!V30,IF(parameters!$C$27="C",'consumption scenario C'!V30,'consumption scenario A'!V30))</f>
        <v>0</v>
      </c>
      <c r="W33" s="66">
        <f>IF(parameters!$C$27="B",'consumption scenario B'!W30,IF(parameters!$C$27="C",'consumption scenario C'!W30,'consumption scenario A'!W30))</f>
        <v>0</v>
      </c>
      <c r="X33" s="66">
        <f>IF(parameters!$C$27="B",'consumption scenario B'!X30,IF(parameters!$C$27="C",'consumption scenario C'!X30,'consumption scenario A'!X30))</f>
        <v>0</v>
      </c>
      <c r="Y33" s="66">
        <f>IF(parameters!$C$27="B",'consumption scenario B'!Y30,IF(parameters!$C$27="C",'consumption scenario C'!Y30,'consumption scenario A'!Y30))</f>
        <v>0</v>
      </c>
      <c r="Z33" s="66">
        <f>IF(parameters!$C$27="B",'consumption scenario B'!Z30,IF(parameters!$C$27="C",'consumption scenario C'!Z30,'consumption scenario A'!Z30))</f>
        <v>0</v>
      </c>
      <c r="AA33" s="66">
        <f>IF(parameters!$C$27="B",'consumption scenario B'!AA30,IF(parameters!$C$27="C",'consumption scenario C'!AA30,'consumption scenario A'!AA30))</f>
        <v>0</v>
      </c>
      <c r="AB33" s="66">
        <f>IF(parameters!$C$27="B",'consumption scenario B'!AB30,IF(parameters!$C$27="C",'consumption scenario C'!AB30,'consumption scenario A'!AB30))</f>
        <v>0</v>
      </c>
      <c r="AC33" s="66">
        <f>IF(parameters!$C$27="B",'consumption scenario B'!AC30,IF(parameters!$C$27="C",'consumption scenario C'!AC30,'consumption scenario A'!AC30))</f>
        <v>0</v>
      </c>
      <c r="AD33" s="66">
        <f>IF(parameters!$C$27="B",'consumption scenario B'!AD30,IF(parameters!$C$27="C",'consumption scenario C'!AD30,'consumption scenario A'!AD30))</f>
        <v>0</v>
      </c>
      <c r="AE33" s="66">
        <f>IF(parameters!$C$27="B",'consumption scenario B'!AE30,IF(parameters!$C$27="C",'consumption scenario C'!AE30,'consumption scenario A'!AE30))</f>
        <v>0</v>
      </c>
      <c r="AF33" s="66">
        <f>IF(parameters!$C$27="B",'consumption scenario B'!AF30,IF(parameters!$C$27="C",'consumption scenario C'!AF30,'consumption scenario A'!AF30))</f>
        <v>0</v>
      </c>
      <c r="AG33" s="66">
        <f>IF(parameters!$C$27="B",'consumption scenario B'!AG30,IF(parameters!$C$27="C",'consumption scenario C'!AG30,'consumption scenario A'!AG30))</f>
        <v>0</v>
      </c>
      <c r="AH33" s="66">
        <f>IF(parameters!$C$27="B",'consumption scenario B'!AH30,IF(parameters!$C$27="C",'consumption scenario C'!AH30,'consumption scenario A'!AH30))</f>
        <v>0</v>
      </c>
      <c r="AI33" s="66">
        <f>IF(parameters!$C$27="B",'consumption scenario B'!AI30,IF(parameters!$C$27="C",'consumption scenario C'!AI30,'consumption scenario A'!AI30))</f>
        <v>0</v>
      </c>
      <c r="AJ33" s="66">
        <f>IF(parameters!$C$27="B",'consumption scenario B'!AJ30,IF(parameters!$C$27="C",'consumption scenario C'!AJ30,'consumption scenario A'!AJ30))</f>
        <v>0</v>
      </c>
      <c r="AK33" s="66">
        <f>IF(parameters!$C$27="B",'consumption scenario B'!AK30,IF(parameters!$C$27="C",'consumption scenario C'!AK30,'consumption scenario A'!AK30))</f>
        <v>0</v>
      </c>
    </row>
    <row r="34" spans="1:37">
      <c r="A34" s="57" t="s">
        <v>33</v>
      </c>
      <c r="B34" s="66">
        <f>IF(parameters!$C$27="B",'consumption scenario B'!B31,IF(parameters!$C$27="C",'consumption scenario C'!B31,'consumption scenario A'!B31))</f>
        <v>0.1068870445352794</v>
      </c>
      <c r="C34" s="66">
        <f>IF(parameters!$C$27="B",'consumption scenario B'!C31,IF(parameters!$C$27="C",'consumption scenario C'!C31,'consumption scenario A'!C31))</f>
        <v>0.10739627155380832</v>
      </c>
      <c r="D34" s="66">
        <f>IF(parameters!$C$27="B",'consumption scenario B'!D31,IF(parameters!$C$27="C",'consumption scenario C'!D31,'consumption scenario A'!D31))</f>
        <v>9.611717890950533E-2</v>
      </c>
      <c r="E34" s="66">
        <f>IF(parameters!$C$27="B",'consumption scenario B'!E31,IF(parameters!$C$27="C",'consumption scenario C'!E31,'consumption scenario A'!E31))</f>
        <v>9.0873015177546229E-2</v>
      </c>
      <c r="F34" s="66">
        <f>IF(parameters!$C$27="B",'consumption scenario B'!F31,IF(parameters!$C$27="C",'consumption scenario C'!F31,'consumption scenario A'!F31))</f>
        <v>7.5575866736152603E-2</v>
      </c>
      <c r="G34" s="66">
        <f>IF(parameters!$C$27="B",'consumption scenario B'!G31,IF(parameters!$C$27="C",'consumption scenario C'!G31,'consumption scenario A'!G31))</f>
        <v>7.8573746918458962E-2</v>
      </c>
      <c r="H34" s="66">
        <f>IF(parameters!$C$27="B",'consumption scenario B'!H31,IF(parameters!$C$27="C",'consumption scenario C'!H31,'consumption scenario A'!H31))</f>
        <v>7.3637634514515535E-2</v>
      </c>
      <c r="I34" s="66">
        <f>IF(parameters!$C$27="B",'consumption scenario B'!I31,IF(parameters!$C$27="C",'consumption scenario C'!I31,'consumption scenario A'!I31))</f>
        <v>7.3671052311440319E-2</v>
      </c>
      <c r="J34" s="66">
        <f>IF(parameters!$C$27="B",'consumption scenario B'!J31,IF(parameters!$C$27="C",'consumption scenario C'!J31,'consumption scenario A'!J31))</f>
        <v>7.9595116311741695E-2</v>
      </c>
      <c r="K34" s="538">
        <f>IF(parameters!$C$27="B",'consumption scenario B'!K31,IF(parameters!$C$27="C",'consumption scenario C'!K31,'consumption scenario A'!K31))</f>
        <v>7.5019764215508933E-2</v>
      </c>
      <c r="L34" s="538">
        <f>IF(parameters!$C$27="B",'consumption scenario B'!L31,IF(parameters!$C$27="C",'consumption scenario C'!L31,'consumption scenario A'!L31))</f>
        <v>7.2497480043072909E-2</v>
      </c>
      <c r="M34" s="449">
        <f>IF(parameters!$C$27="B",'consumption scenario B'!M31,IF(parameters!$C$27="C",'consumption scenario C'!M31,'consumption scenario A'!M31))</f>
        <v>9.1572079810057286E-2</v>
      </c>
      <c r="N34" s="66">
        <f>IF(parameters!$C$27="B",'consumption scenario B'!N31,IF(parameters!$C$27="C",'consumption scenario C'!N31,'consumption scenario A'!N31))</f>
        <v>9.2990894840247612E-2</v>
      </c>
      <c r="O34" s="66">
        <f>IF(parameters!$C$27="B",'consumption scenario B'!O31,IF(parameters!$C$27="C",'consumption scenario C'!O31,'consumption scenario A'!O31))</f>
        <v>9.8277028479859752E-2</v>
      </c>
      <c r="P34" s="66">
        <f>IF(parameters!$C$27="B",'consumption scenario B'!P31,IF(parameters!$C$27="C",'consumption scenario C'!P31,'consumption scenario A'!P31))</f>
        <v>0.10080559349276136</v>
      </c>
      <c r="Q34" s="66">
        <f>IF(parameters!$C$27="B",'consumption scenario B'!Q31,IF(parameters!$C$27="C",'consumption scenario C'!Q31,'consumption scenario A'!Q31))</f>
        <v>9.8805430517535445E-2</v>
      </c>
      <c r="R34" s="66">
        <f>IF(parameters!$C$27="B",'consumption scenario B'!R31,IF(parameters!$C$27="C",'consumption scenario C'!R31,'consumption scenario A'!R31))</f>
        <v>9.7460616958340213E-2</v>
      </c>
      <c r="S34" s="66">
        <f>IF(parameters!$C$27="B",'consumption scenario B'!S31,IF(parameters!$C$27="C",'consumption scenario C'!S31,'consumption scenario A'!S31))</f>
        <v>9.7859322761472009E-2</v>
      </c>
      <c r="T34" s="66">
        <f>IF(parameters!$C$27="B",'consumption scenario B'!T31,IF(parameters!$C$27="C",'consumption scenario C'!T31,'consumption scenario A'!T31))</f>
        <v>9.8423159701070906E-2</v>
      </c>
      <c r="U34" s="66">
        <f>IF(parameters!$C$27="B",'consumption scenario B'!U31,IF(parameters!$C$27="C",'consumption scenario C'!U31,'consumption scenario A'!U31))</f>
        <v>9.9096717726518152E-2</v>
      </c>
      <c r="V34" s="66">
        <f>IF(parameters!$C$27="B",'consumption scenario B'!V31,IF(parameters!$C$27="C",'consumption scenario C'!V31,'consumption scenario A'!V31))</f>
        <v>9.9654437164093848E-2</v>
      </c>
      <c r="W34" s="66">
        <f>IF(parameters!$C$27="B",'consumption scenario B'!W31,IF(parameters!$C$27="C",'consumption scenario C'!W31,'consumption scenario A'!W31))</f>
        <v>9.941049649162198E-2</v>
      </c>
      <c r="X34" s="66">
        <f>IF(parameters!$C$27="B",'consumption scenario B'!X31,IF(parameters!$C$27="C",'consumption scenario C'!X31,'consumption scenario A'!X31))</f>
        <v>0.10047875696842018</v>
      </c>
      <c r="Y34" s="66">
        <f>IF(parameters!$C$27="B",'consumption scenario B'!Y31,IF(parameters!$C$27="C",'consumption scenario C'!Y31,'consumption scenario A'!Y31))</f>
        <v>0.10123242384055313</v>
      </c>
      <c r="Z34" s="66">
        <f>IF(parameters!$C$27="B",'consumption scenario B'!Z31,IF(parameters!$C$27="C",'consumption scenario C'!Z31,'consumption scenario A'!Z31))</f>
        <v>0.10196315804709832</v>
      </c>
      <c r="AA34" s="66">
        <f>IF(parameters!$C$27="B",'consumption scenario B'!AA31,IF(parameters!$C$27="C",'consumption scenario C'!AA31,'consumption scenario A'!AA31))</f>
        <v>0.10258904115366455</v>
      </c>
      <c r="AB34" s="66">
        <f>IF(parameters!$C$27="B",'consumption scenario B'!AB31,IF(parameters!$C$27="C",'consumption scenario C'!AB31,'consumption scenario A'!AB31))</f>
        <v>0.10450760225823143</v>
      </c>
      <c r="AC34" s="66">
        <f>IF(parameters!$C$27="B",'consumption scenario B'!AC31,IF(parameters!$C$27="C",'consumption scenario C'!AC31,'consumption scenario A'!AC31))</f>
        <v>0.10506533052276466</v>
      </c>
      <c r="AD34" s="66">
        <f>IF(parameters!$C$27="B",'consumption scenario B'!AD31,IF(parameters!$C$27="C",'consumption scenario C'!AD31,'consumption scenario A'!AD31))</f>
        <v>0.10592701393222836</v>
      </c>
      <c r="AE34" s="66">
        <f>IF(parameters!$C$27="B",'consumption scenario B'!AE31,IF(parameters!$C$27="C",'consumption scenario C'!AE31,'consumption scenario A'!AE31))</f>
        <v>0.10700149176956346</v>
      </c>
      <c r="AF34" s="66">
        <f>IF(parameters!$C$27="B",'consumption scenario B'!AF31,IF(parameters!$C$27="C",'consumption scenario C'!AF31,'consumption scenario A'!AF31))</f>
        <v>0.10832389383263413</v>
      </c>
      <c r="AG34" s="66">
        <f>IF(parameters!$C$27="B",'consumption scenario B'!AG31,IF(parameters!$C$27="C",'consumption scenario C'!AG31,'consumption scenario A'!AG31))</f>
        <v>0.10924539818518041</v>
      </c>
      <c r="AH34" s="66">
        <f>IF(parameters!$C$27="B",'consumption scenario B'!AH31,IF(parameters!$C$27="C",'consumption scenario C'!AH31,'consumption scenario A'!AH31))</f>
        <v>0.11010140864990633</v>
      </c>
      <c r="AI34" s="66">
        <f>IF(parameters!$C$27="B",'consumption scenario B'!AI31,IF(parameters!$C$27="C",'consumption scenario C'!AI31,'consumption scenario A'!AI31))</f>
        <v>0.11124820769549643</v>
      </c>
      <c r="AJ34" s="66">
        <f>IF(parameters!$C$27="B",'consumption scenario B'!AJ31,IF(parameters!$C$27="C",'consumption scenario C'!AJ31,'consumption scenario A'!AJ31))</f>
        <v>0.11226267461500296</v>
      </c>
      <c r="AK34" s="66">
        <f>IF(parameters!$C$27="B",'consumption scenario B'!AK31,IF(parameters!$C$27="C",'consumption scenario C'!AK31,'consumption scenario A'!AK31))</f>
        <v>0.11349049022832737</v>
      </c>
    </row>
    <row r="35" spans="1:37">
      <c r="A35" s="57" t="s">
        <v>26</v>
      </c>
      <c r="B35" s="66">
        <f>IF(parameters!$C$27="B",'consumption scenario B'!B32,IF(parameters!$C$27="C",'consumption scenario C'!B32,'consumption scenario A'!B32))</f>
        <v>6.9624119764740908E-2</v>
      </c>
      <c r="C35" s="333">
        <f>IF(parameters!$C$27="B",'consumption scenario B'!C32,IF(parameters!$C$27="C",'consumption scenario C'!C32,'consumption scenario A'!C32))</f>
        <v>6.6905737666288004E-2</v>
      </c>
      <c r="D35" s="333">
        <f>IF(parameters!$C$27="B",'consumption scenario B'!D32,IF(parameters!$C$27="C",'consumption scenario C'!D32,'consumption scenario A'!D32))</f>
        <v>6.5159312676454875E-2</v>
      </c>
      <c r="E35" s="333">
        <f>IF(parameters!$C$27="B",'consumption scenario B'!E32,IF(parameters!$C$27="C",'consumption scenario C'!E32,'consumption scenario A'!E32))</f>
        <v>6.3435289668273054E-2</v>
      </c>
      <c r="F35" s="333">
        <f>IF(parameters!$C$27="B",'consumption scenario B'!F32,IF(parameters!$C$27="C",'consumption scenario C'!F32,'consumption scenario A'!F32))</f>
        <v>6.1649368415091985E-2</v>
      </c>
      <c r="G35" s="333">
        <f>IF(parameters!$C$27="B",'consumption scenario B'!G32,IF(parameters!$C$27="C",'consumption scenario C'!G32,'consumption scenario A'!G32))</f>
        <v>6.0994730294016988E-2</v>
      </c>
      <c r="H35" s="333">
        <f>IF(parameters!$C$27="B",'consumption scenario B'!H32,IF(parameters!$C$27="C",'consumption scenario C'!H32,'consumption scenario A'!H32))</f>
        <v>6.1605868496371313E-2</v>
      </c>
      <c r="I35" s="333">
        <f>IF(parameters!$C$27="B",'consumption scenario B'!I32,IF(parameters!$C$27="C",'consumption scenario C'!I32,'consumption scenario A'!I32))</f>
        <v>6.3966273922033884E-2</v>
      </c>
      <c r="J35" s="333">
        <f>IF(parameters!$C$27="B",'consumption scenario B'!J32,IF(parameters!$C$27="C",'consumption scenario C'!J32,'consumption scenario A'!J32))</f>
        <v>7.0170360690391675E-2</v>
      </c>
      <c r="K35" s="538">
        <f>IF(parameters!$C$27="B",'consumption scenario B'!K32,IF(parameters!$C$27="C",'consumption scenario C'!K32,'consumption scenario A'!K32))</f>
        <v>7.2357122997882384E-2</v>
      </c>
      <c r="L35" s="538">
        <f>IF(parameters!$C$27="B",'consumption scenario B'!L32,IF(parameters!$C$27="C",'consumption scenario C'!L32,'consumption scenario A'!L32))</f>
        <v>6.983375361092016E-2</v>
      </c>
      <c r="M35" s="449">
        <f>IF(parameters!$C$27="B",'consumption scenario B'!M32,IF(parameters!$C$27="C",'consumption scenario C'!M32,'consumption scenario A'!M32))</f>
        <v>7.2014211803263561E-2</v>
      </c>
      <c r="N35" s="333">
        <f>IF(parameters!$C$27="B",'consumption scenario B'!N32,IF(parameters!$C$27="C",'consumption scenario C'!N32,'consumption scenario A'!N32))</f>
        <v>7.2760996527556993E-2</v>
      </c>
      <c r="O35" s="333">
        <f>IF(parameters!$C$27="B",'consumption scenario B'!O32,IF(parameters!$C$27="C",'consumption scenario C'!O32,'consumption scenario A'!O32))</f>
        <v>7.5005717356829218E-2</v>
      </c>
      <c r="P35" s="333">
        <f>IF(parameters!$C$27="B",'consumption scenario B'!P32,IF(parameters!$C$27="C",'consumption scenario C'!P32,'consumption scenario A'!P32))</f>
        <v>7.7193251686648603E-2</v>
      </c>
      <c r="Q35" s="333">
        <f>IF(parameters!$C$27="B",'consumption scenario B'!Q32,IF(parameters!$C$27="C",'consumption scenario C'!Q32,'consumption scenario A'!Q32))</f>
        <v>8.0227338440548801E-2</v>
      </c>
      <c r="R35" s="333">
        <f>IF(parameters!$C$27="B",'consumption scenario B'!R32,IF(parameters!$C$27="C",'consumption scenario C'!R32,'consumption scenario A'!R32))</f>
        <v>8.1919006796082064E-2</v>
      </c>
      <c r="S35" s="333">
        <f>IF(parameters!$C$27="B",'consumption scenario B'!S32,IF(parameters!$C$27="C",'consumption scenario C'!S32,'consumption scenario A'!S32))</f>
        <v>8.3279911222785982E-2</v>
      </c>
      <c r="T35" s="333">
        <f>IF(parameters!$C$27="B",'consumption scenario B'!T32,IF(parameters!$C$27="C",'consumption scenario C'!T32,'consumption scenario A'!T32))</f>
        <v>8.4394726633648429E-2</v>
      </c>
      <c r="U35" s="333">
        <f>IF(parameters!$C$27="B",'consumption scenario B'!U32,IF(parameters!$C$27="C",'consumption scenario C'!U32,'consumption scenario A'!U32))</f>
        <v>8.4467321011387125E-2</v>
      </c>
      <c r="V35" s="333">
        <f>IF(parameters!$C$27="B",'consumption scenario B'!V32,IF(parameters!$C$27="C",'consumption scenario C'!V32,'consumption scenario A'!V32))</f>
        <v>8.4707078518415899E-2</v>
      </c>
      <c r="W35" s="333">
        <f>IF(parameters!$C$27="B",'consumption scenario B'!W32,IF(parameters!$C$27="C",'consumption scenario C'!W32,'consumption scenario A'!W32))</f>
        <v>8.5144533051544555E-2</v>
      </c>
      <c r="X35" s="333">
        <f>IF(parameters!$C$27="B",'consumption scenario B'!X32,IF(parameters!$C$27="C",'consumption scenario C'!X32,'consumption scenario A'!X32))</f>
        <v>8.5933311719747107E-2</v>
      </c>
      <c r="Y35" s="333">
        <f>IF(parameters!$C$27="B",'consumption scenario B'!Y32,IF(parameters!$C$27="C",'consumption scenario C'!Y32,'consumption scenario A'!Y32))</f>
        <v>8.6871883182351312E-2</v>
      </c>
      <c r="Z35" s="333">
        <f>IF(parameters!$C$27="B",'consumption scenario B'!Z32,IF(parameters!$C$27="C",'consumption scenario C'!Z32,'consumption scenario A'!Z32))</f>
        <v>8.7680336754096352E-2</v>
      </c>
      <c r="AA35" s="333">
        <f>IF(parameters!$C$27="B",'consumption scenario B'!AA32,IF(parameters!$C$27="C",'consumption scenario C'!AA32,'consumption scenario A'!AA32))</f>
        <v>8.8479356090004652E-2</v>
      </c>
      <c r="AB35" s="333">
        <f>IF(parameters!$C$27="B",'consumption scenario B'!AB32,IF(parameters!$C$27="C",'consumption scenario C'!AB32,'consumption scenario A'!AB32))</f>
        <v>8.920699800894516E-2</v>
      </c>
      <c r="AC35" s="333">
        <f>IF(parameters!$C$27="B",'consumption scenario B'!AC32,IF(parameters!$C$27="C",'consumption scenario C'!AC32,'consumption scenario A'!AC32))</f>
        <v>9.0135678738785946E-2</v>
      </c>
      <c r="AD35" s="333">
        <f>IF(parameters!$C$27="B",'consumption scenario B'!AD32,IF(parameters!$C$27="C",'consumption scenario C'!AD32,'consumption scenario A'!AD32))</f>
        <v>9.0996135121384436E-2</v>
      </c>
      <c r="AE35" s="333">
        <f>IF(parameters!$C$27="B",'consumption scenario B'!AE32,IF(parameters!$C$27="C",'consumption scenario C'!AE32,'consumption scenario A'!AE32))</f>
        <v>9.1892129989094226E-2</v>
      </c>
      <c r="AF35" s="333">
        <f>IF(parameters!$C$27="B",'consumption scenario B'!AF32,IF(parameters!$C$27="C",'consumption scenario C'!AF32,'consumption scenario A'!AF32))</f>
        <v>9.2858737831682178E-2</v>
      </c>
      <c r="AG35" s="333">
        <f>IF(parameters!$C$27="B",'consumption scenario B'!AG32,IF(parameters!$C$27="C",'consumption scenario C'!AG32,'consumption scenario A'!AG32))</f>
        <v>9.3543884620881187E-2</v>
      </c>
      <c r="AH35" s="333">
        <f>IF(parameters!$C$27="B",'consumption scenario B'!AH32,IF(parameters!$C$27="C",'consumption scenario C'!AH32,'consumption scenario A'!AH32))</f>
        <v>9.4706550460877378E-2</v>
      </c>
      <c r="AI35" s="333">
        <f>IF(parameters!$C$27="B",'consumption scenario B'!AI32,IF(parameters!$C$27="C",'consumption scenario C'!AI32,'consumption scenario A'!AI32))</f>
        <v>9.5941015595336812E-2</v>
      </c>
      <c r="AJ35" s="333">
        <f>IF(parameters!$C$27="B",'consumption scenario B'!AJ32,IF(parameters!$C$27="C",'consumption scenario C'!AJ32,'consumption scenario A'!AJ32))</f>
        <v>9.6915741566117944E-2</v>
      </c>
      <c r="AK35" s="333">
        <f>IF(parameters!$C$27="B",'consumption scenario B'!AK32,IF(parameters!$C$27="C",'consumption scenario C'!AK32,'consumption scenario A'!AK32))</f>
        <v>9.7852121951957347E-2</v>
      </c>
    </row>
    <row r="36" spans="1:37">
      <c r="A36" s="57" t="s">
        <v>61</v>
      </c>
      <c r="B36" s="66">
        <f>IF(parameters!$C$27="B",'consumption scenario B'!B33,IF(parameters!$C$27="C",'consumption scenario C'!B33,'consumption scenario A'!B33))</f>
        <v>0</v>
      </c>
      <c r="C36" s="66">
        <f>IF(parameters!$C$27="B",'consumption scenario B'!C33,IF(parameters!$C$27="C",'consumption scenario C'!C33,'consumption scenario A'!C33))</f>
        <v>0</v>
      </c>
      <c r="D36" s="66">
        <f>IF(parameters!$C$27="B",'consumption scenario B'!D33,IF(parameters!$C$27="C",'consumption scenario C'!D33,'consumption scenario A'!D33))</f>
        <v>0</v>
      </c>
      <c r="E36" s="66">
        <f>IF(parameters!$C$27="B",'consumption scenario B'!E33,IF(parameters!$C$27="C",'consumption scenario C'!E33,'consumption scenario A'!E33))</f>
        <v>0</v>
      </c>
      <c r="F36" s="66">
        <f>IF(parameters!$C$27="B",'consumption scenario B'!F33,IF(parameters!$C$27="C",'consumption scenario C'!F33,'consumption scenario A'!F33))</f>
        <v>0</v>
      </c>
      <c r="G36" s="66">
        <f>IF(parameters!$C$27="B",'consumption scenario B'!G33,IF(parameters!$C$27="C",'consumption scenario C'!G33,'consumption scenario A'!G33))</f>
        <v>0</v>
      </c>
      <c r="H36" s="66">
        <f>IF(parameters!$C$27="B",'consumption scenario B'!H33,IF(parameters!$C$27="C",'consumption scenario C'!H33,'consumption scenario A'!H33))</f>
        <v>0</v>
      </c>
      <c r="I36" s="66">
        <f>IF(parameters!$C$27="B",'consumption scenario B'!I33,IF(parameters!$C$27="C",'consumption scenario C'!I33,'consumption scenario A'!I33))</f>
        <v>0</v>
      </c>
      <c r="J36" s="66">
        <f>IF(parameters!$C$27="B",'consumption scenario B'!J33,IF(parameters!$C$27="C",'consumption scenario C'!J33,'consumption scenario A'!J33))</f>
        <v>0</v>
      </c>
      <c r="K36" s="538">
        <f>IF(parameters!$C$27="B",'consumption scenario B'!K33,IF(parameters!$C$27="C",'consumption scenario C'!K33,'consumption scenario A'!K33))</f>
        <v>0</v>
      </c>
      <c r="L36" s="538">
        <f>IF(parameters!$C$27="B",'consumption scenario B'!L33,IF(parameters!$C$27="C",'consumption scenario C'!L33,'consumption scenario A'!L33))</f>
        <v>0</v>
      </c>
      <c r="M36" s="449">
        <f>IF(parameters!$C$27="B",'consumption scenario B'!M33,IF(parameters!$C$27="C",'consumption scenario C'!M33,'consumption scenario A'!M33))</f>
        <v>0</v>
      </c>
      <c r="N36" s="66">
        <f>IF(parameters!$C$27="B",'consumption scenario B'!N33,IF(parameters!$C$27="C",'consumption scenario C'!N33,'consumption scenario A'!N33))</f>
        <v>0</v>
      </c>
      <c r="O36" s="66">
        <f>IF(parameters!$C$27="B",'consumption scenario B'!O33,IF(parameters!$C$27="C",'consumption scenario C'!O33,'consumption scenario A'!O33))</f>
        <v>0</v>
      </c>
      <c r="P36" s="66">
        <f>IF(parameters!$C$27="B",'consumption scenario B'!P33,IF(parameters!$C$27="C",'consumption scenario C'!P33,'consumption scenario A'!P33))</f>
        <v>0</v>
      </c>
      <c r="Q36" s="66">
        <f>IF(parameters!$C$27="B",'consumption scenario B'!Q33,IF(parameters!$C$27="C",'consumption scenario C'!Q33,'consumption scenario A'!Q33))</f>
        <v>0</v>
      </c>
      <c r="R36" s="66">
        <f>IF(parameters!$C$27="B",'consumption scenario B'!R33,IF(parameters!$C$27="C",'consumption scenario C'!R33,'consumption scenario A'!R33))</f>
        <v>0</v>
      </c>
      <c r="S36" s="66">
        <f>IF(parameters!$C$27="B",'consumption scenario B'!S33,IF(parameters!$C$27="C",'consumption scenario C'!S33,'consumption scenario A'!S33))</f>
        <v>0</v>
      </c>
      <c r="T36" s="66">
        <f>IF(parameters!$C$27="B",'consumption scenario B'!T33,IF(parameters!$C$27="C",'consumption scenario C'!T33,'consumption scenario A'!T33))</f>
        <v>0</v>
      </c>
      <c r="U36" s="66">
        <f>IF(parameters!$C$27="B",'consumption scenario B'!U33,IF(parameters!$C$27="C",'consumption scenario C'!U33,'consumption scenario A'!U33))</f>
        <v>0</v>
      </c>
      <c r="V36" s="66">
        <f>IF(parameters!$C$27="B",'consumption scenario B'!V33,IF(parameters!$C$27="C",'consumption scenario C'!V33,'consumption scenario A'!V33))</f>
        <v>0</v>
      </c>
      <c r="W36" s="66">
        <f>IF(parameters!$C$27="B",'consumption scenario B'!W33,IF(parameters!$C$27="C",'consumption scenario C'!W33,'consumption scenario A'!W33))</f>
        <v>0</v>
      </c>
      <c r="X36" s="66">
        <f>IF(parameters!$C$27="B",'consumption scenario B'!X33,IF(parameters!$C$27="C",'consumption scenario C'!X33,'consumption scenario A'!X33))</f>
        <v>0</v>
      </c>
      <c r="Y36" s="66">
        <f>IF(parameters!$C$27="B",'consumption scenario B'!Y33,IF(parameters!$C$27="C",'consumption scenario C'!Y33,'consumption scenario A'!Y33))</f>
        <v>0</v>
      </c>
      <c r="Z36" s="66">
        <f>IF(parameters!$C$27="B",'consumption scenario B'!Z33,IF(parameters!$C$27="C",'consumption scenario C'!Z33,'consumption scenario A'!Z33))</f>
        <v>0</v>
      </c>
      <c r="AA36" s="66">
        <f>IF(parameters!$C$27="B",'consumption scenario B'!AA33,IF(parameters!$C$27="C",'consumption scenario C'!AA33,'consumption scenario A'!AA33))</f>
        <v>0</v>
      </c>
      <c r="AB36" s="66">
        <f>IF(parameters!$C$27="B",'consumption scenario B'!AB33,IF(parameters!$C$27="C",'consumption scenario C'!AB33,'consumption scenario A'!AB33))</f>
        <v>0</v>
      </c>
      <c r="AC36" s="66">
        <f>IF(parameters!$C$27="B",'consumption scenario B'!AC33,IF(parameters!$C$27="C",'consumption scenario C'!AC33,'consumption scenario A'!AC33))</f>
        <v>0</v>
      </c>
      <c r="AD36" s="66">
        <f>IF(parameters!$C$27="B",'consumption scenario B'!AD33,IF(parameters!$C$27="C",'consumption scenario C'!AD33,'consumption scenario A'!AD33))</f>
        <v>0</v>
      </c>
      <c r="AE36" s="66">
        <f>IF(parameters!$C$27="B",'consumption scenario B'!AE33,IF(parameters!$C$27="C",'consumption scenario C'!AE33,'consumption scenario A'!AE33))</f>
        <v>0</v>
      </c>
      <c r="AF36" s="66">
        <f>IF(parameters!$C$27="B",'consumption scenario B'!AF33,IF(parameters!$C$27="C",'consumption scenario C'!AF33,'consumption scenario A'!AF33))</f>
        <v>0</v>
      </c>
      <c r="AG36" s="66">
        <f>IF(parameters!$C$27="B",'consumption scenario B'!AG33,IF(parameters!$C$27="C",'consumption scenario C'!AG33,'consumption scenario A'!AG33))</f>
        <v>0</v>
      </c>
      <c r="AH36" s="66">
        <f>IF(parameters!$C$27="B",'consumption scenario B'!AH33,IF(parameters!$C$27="C",'consumption scenario C'!AH33,'consumption scenario A'!AH33))</f>
        <v>0</v>
      </c>
      <c r="AI36" s="66">
        <f>IF(parameters!$C$27="B",'consumption scenario B'!AI33,IF(parameters!$C$27="C",'consumption scenario C'!AI33,'consumption scenario A'!AI33))</f>
        <v>0</v>
      </c>
      <c r="AJ36" s="66">
        <f>IF(parameters!$C$27="B",'consumption scenario B'!AJ33,IF(parameters!$C$27="C",'consumption scenario C'!AJ33,'consumption scenario A'!AJ33))</f>
        <v>0</v>
      </c>
      <c r="AK36" s="66">
        <f>IF(parameters!$C$27="B",'consumption scenario B'!AK33,IF(parameters!$C$27="C",'consumption scenario C'!AK33,'consumption scenario A'!AK33))</f>
        <v>0</v>
      </c>
    </row>
    <row r="37" spans="1:37">
      <c r="A37" s="57" t="s">
        <v>35</v>
      </c>
      <c r="B37" s="66">
        <f>IF(parameters!$C$27="B",'consumption scenario B'!B34,IF(parameters!$C$27="C",'consumption scenario C'!B34,'consumption scenario A'!B34))</f>
        <v>0</v>
      </c>
      <c r="C37" s="66">
        <f>IF(parameters!$C$27="B",'consumption scenario B'!C34,IF(parameters!$C$27="C",'consumption scenario C'!C34,'consumption scenario A'!C34))</f>
        <v>0</v>
      </c>
      <c r="D37" s="66">
        <f>IF(parameters!$C$27="B",'consumption scenario B'!D34,IF(parameters!$C$27="C",'consumption scenario C'!D34,'consumption scenario A'!D34))</f>
        <v>0</v>
      </c>
      <c r="E37" s="66">
        <f>IF(parameters!$C$27="B",'consumption scenario B'!E34,IF(parameters!$C$27="C",'consumption scenario C'!E34,'consumption scenario A'!E34))</f>
        <v>0</v>
      </c>
      <c r="F37" s="66">
        <f>IF(parameters!$C$27="B",'consumption scenario B'!F34,IF(parameters!$C$27="C",'consumption scenario C'!F34,'consumption scenario A'!F34))</f>
        <v>0</v>
      </c>
      <c r="G37" s="66">
        <f>IF(parameters!$C$27="B",'consumption scenario B'!G34,IF(parameters!$C$27="C",'consumption scenario C'!G34,'consumption scenario A'!G34))</f>
        <v>0</v>
      </c>
      <c r="H37" s="66">
        <f>IF(parameters!$C$27="B",'consumption scenario B'!H34,IF(parameters!$C$27="C",'consumption scenario C'!H34,'consumption scenario A'!H34))</f>
        <v>0</v>
      </c>
      <c r="I37" s="66">
        <f>IF(parameters!$C$27="B",'consumption scenario B'!I34,IF(parameters!$C$27="C",'consumption scenario C'!I34,'consumption scenario A'!I34))</f>
        <v>0</v>
      </c>
      <c r="J37" s="66">
        <f>IF(parameters!$C$27="B",'consumption scenario B'!J34,IF(parameters!$C$27="C",'consumption scenario C'!J34,'consumption scenario A'!J34))</f>
        <v>0</v>
      </c>
      <c r="K37" s="538">
        <f>IF(parameters!$C$27="B",'consumption scenario B'!K34,IF(parameters!$C$27="C",'consumption scenario C'!K34,'consumption scenario A'!K34))</f>
        <v>0</v>
      </c>
      <c r="L37" s="538">
        <f>IF(parameters!$C$27="B",'consumption scenario B'!L34,IF(parameters!$C$27="C",'consumption scenario C'!L34,'consumption scenario A'!L34))</f>
        <v>0</v>
      </c>
      <c r="M37" s="449">
        <f>IF(parameters!$C$27="B",'consumption scenario B'!M34,IF(parameters!$C$27="C",'consumption scenario C'!M34,'consumption scenario A'!M34))</f>
        <v>0</v>
      </c>
      <c r="N37" s="66">
        <f>IF(parameters!$C$27="B",'consumption scenario B'!N34,IF(parameters!$C$27="C",'consumption scenario C'!N34,'consumption scenario A'!N34))</f>
        <v>0</v>
      </c>
      <c r="O37" s="66">
        <f>IF(parameters!$C$27="B",'consumption scenario B'!O34,IF(parameters!$C$27="C",'consumption scenario C'!O34,'consumption scenario A'!O34))</f>
        <v>0</v>
      </c>
      <c r="P37" s="66">
        <f>IF(parameters!$C$27="B",'consumption scenario B'!P34,IF(parameters!$C$27="C",'consumption scenario C'!P34,'consumption scenario A'!P34))</f>
        <v>0</v>
      </c>
      <c r="Q37" s="66">
        <f>IF(parameters!$C$27="B",'consumption scenario B'!Q34,IF(parameters!$C$27="C",'consumption scenario C'!Q34,'consumption scenario A'!Q34))</f>
        <v>0</v>
      </c>
      <c r="R37" s="66">
        <f>IF(parameters!$C$27="B",'consumption scenario B'!R34,IF(parameters!$C$27="C",'consumption scenario C'!R34,'consumption scenario A'!R34))</f>
        <v>0</v>
      </c>
      <c r="S37" s="66">
        <f>IF(parameters!$C$27="B",'consumption scenario B'!S34,IF(parameters!$C$27="C",'consumption scenario C'!S34,'consumption scenario A'!S34))</f>
        <v>0</v>
      </c>
      <c r="T37" s="66">
        <f>IF(parameters!$C$27="B",'consumption scenario B'!T34,IF(parameters!$C$27="C",'consumption scenario C'!T34,'consumption scenario A'!T34))</f>
        <v>0</v>
      </c>
      <c r="U37" s="66">
        <f>IF(parameters!$C$27="B",'consumption scenario B'!U34,IF(parameters!$C$27="C",'consumption scenario C'!U34,'consumption scenario A'!U34))</f>
        <v>0</v>
      </c>
      <c r="V37" s="66">
        <f>IF(parameters!$C$27="B",'consumption scenario B'!V34,IF(parameters!$C$27="C",'consumption scenario C'!V34,'consumption scenario A'!V34))</f>
        <v>0</v>
      </c>
      <c r="W37" s="66">
        <f>IF(parameters!$C$27="B",'consumption scenario B'!W34,IF(parameters!$C$27="C",'consumption scenario C'!W34,'consumption scenario A'!W34))</f>
        <v>0</v>
      </c>
      <c r="X37" s="66">
        <f>IF(parameters!$C$27="B",'consumption scenario B'!X34,IF(parameters!$C$27="C",'consumption scenario C'!X34,'consumption scenario A'!X34))</f>
        <v>0</v>
      </c>
      <c r="Y37" s="66">
        <f>IF(parameters!$C$27="B",'consumption scenario B'!Y34,IF(parameters!$C$27="C",'consumption scenario C'!Y34,'consumption scenario A'!Y34))</f>
        <v>0</v>
      </c>
      <c r="Z37" s="66">
        <f>IF(parameters!$C$27="B",'consumption scenario B'!Z34,IF(parameters!$C$27="C",'consumption scenario C'!Z34,'consumption scenario A'!Z34))</f>
        <v>0</v>
      </c>
      <c r="AA37" s="66">
        <f>IF(parameters!$C$27="B",'consumption scenario B'!AA34,IF(parameters!$C$27="C",'consumption scenario C'!AA34,'consumption scenario A'!AA34))</f>
        <v>0</v>
      </c>
      <c r="AB37" s="66">
        <f>IF(parameters!$C$27="B",'consumption scenario B'!AB34,IF(parameters!$C$27="C",'consumption scenario C'!AB34,'consumption scenario A'!AB34))</f>
        <v>0</v>
      </c>
      <c r="AC37" s="66">
        <f>IF(parameters!$C$27="B",'consumption scenario B'!AC34,IF(parameters!$C$27="C",'consumption scenario C'!AC34,'consumption scenario A'!AC34))</f>
        <v>0</v>
      </c>
      <c r="AD37" s="66">
        <f>IF(parameters!$C$27="B",'consumption scenario B'!AD34,IF(parameters!$C$27="C",'consumption scenario C'!AD34,'consumption scenario A'!AD34))</f>
        <v>0</v>
      </c>
      <c r="AE37" s="66">
        <f>IF(parameters!$C$27="B",'consumption scenario B'!AE34,IF(parameters!$C$27="C",'consumption scenario C'!AE34,'consumption scenario A'!AE34))</f>
        <v>0</v>
      </c>
      <c r="AF37" s="66">
        <f>IF(parameters!$C$27="B",'consumption scenario B'!AF34,IF(parameters!$C$27="C",'consumption scenario C'!AF34,'consumption scenario A'!AF34))</f>
        <v>0</v>
      </c>
      <c r="AG37" s="66">
        <f>IF(parameters!$C$27="B",'consumption scenario B'!AG34,IF(parameters!$C$27="C",'consumption scenario C'!AG34,'consumption scenario A'!AG34))</f>
        <v>0</v>
      </c>
      <c r="AH37" s="66">
        <f>IF(parameters!$C$27="B",'consumption scenario B'!AH34,IF(parameters!$C$27="C",'consumption scenario C'!AH34,'consumption scenario A'!AH34))</f>
        <v>0</v>
      </c>
      <c r="AI37" s="66">
        <f>IF(parameters!$C$27="B",'consumption scenario B'!AI34,IF(parameters!$C$27="C",'consumption scenario C'!AI34,'consumption scenario A'!AI34))</f>
        <v>0</v>
      </c>
      <c r="AJ37" s="66">
        <f>IF(parameters!$C$27="B",'consumption scenario B'!AJ34,IF(parameters!$C$27="C",'consumption scenario C'!AJ34,'consumption scenario A'!AJ34))</f>
        <v>0</v>
      </c>
      <c r="AK37" s="66">
        <f>IF(parameters!$C$27="B",'consumption scenario B'!AK34,IF(parameters!$C$27="C",'consumption scenario C'!AK34,'consumption scenario A'!AK34))</f>
        <v>0</v>
      </c>
    </row>
    <row r="38" spans="1:37">
      <c r="A38" s="57" t="s">
        <v>62</v>
      </c>
      <c r="B38" s="66">
        <f>B35+B36+B37</f>
        <v>6.9624119764740908E-2</v>
      </c>
      <c r="C38" s="424">
        <f t="shared" ref="C38:AK38" si="2">C35+C36+C37</f>
        <v>6.6905737666288004E-2</v>
      </c>
      <c r="D38" s="424">
        <f t="shared" si="2"/>
        <v>6.5159312676454875E-2</v>
      </c>
      <c r="E38" s="424">
        <f t="shared" si="2"/>
        <v>6.3435289668273054E-2</v>
      </c>
      <c r="F38" s="424">
        <f t="shared" si="2"/>
        <v>6.1649368415091985E-2</v>
      </c>
      <c r="G38" s="424">
        <f t="shared" si="2"/>
        <v>6.0994730294016988E-2</v>
      </c>
      <c r="H38" s="424">
        <f t="shared" si="2"/>
        <v>6.1605868496371313E-2</v>
      </c>
      <c r="I38" s="424">
        <f t="shared" si="2"/>
        <v>6.3966273922033884E-2</v>
      </c>
      <c r="J38" s="424">
        <f t="shared" si="2"/>
        <v>7.0170360690391675E-2</v>
      </c>
      <c r="K38" s="538">
        <f t="shared" si="2"/>
        <v>7.2357122997882384E-2</v>
      </c>
      <c r="L38" s="538">
        <f t="shared" si="2"/>
        <v>6.983375361092016E-2</v>
      </c>
      <c r="M38" s="449">
        <f t="shared" si="2"/>
        <v>7.2014211803263561E-2</v>
      </c>
      <c r="N38" s="424">
        <f t="shared" si="2"/>
        <v>7.2760996527556993E-2</v>
      </c>
      <c r="O38" s="424">
        <f t="shared" si="2"/>
        <v>7.5005717356829218E-2</v>
      </c>
      <c r="P38" s="424">
        <f t="shared" si="2"/>
        <v>7.7193251686648603E-2</v>
      </c>
      <c r="Q38" s="424">
        <f t="shared" si="2"/>
        <v>8.0227338440548801E-2</v>
      </c>
      <c r="R38" s="424">
        <f t="shared" si="2"/>
        <v>8.1919006796082064E-2</v>
      </c>
      <c r="S38" s="424">
        <f t="shared" si="2"/>
        <v>8.3279911222785982E-2</v>
      </c>
      <c r="T38" s="424">
        <f t="shared" si="2"/>
        <v>8.4394726633648429E-2</v>
      </c>
      <c r="U38" s="424">
        <f t="shared" si="2"/>
        <v>8.4467321011387125E-2</v>
      </c>
      <c r="V38" s="424">
        <f t="shared" si="2"/>
        <v>8.4707078518415899E-2</v>
      </c>
      <c r="W38" s="424">
        <f t="shared" si="2"/>
        <v>8.5144533051544555E-2</v>
      </c>
      <c r="X38" s="424">
        <f t="shared" si="2"/>
        <v>8.5933311719747107E-2</v>
      </c>
      <c r="Y38" s="424">
        <f t="shared" si="2"/>
        <v>8.6871883182351312E-2</v>
      </c>
      <c r="Z38" s="424">
        <f t="shared" si="2"/>
        <v>8.7680336754096352E-2</v>
      </c>
      <c r="AA38" s="424">
        <f t="shared" si="2"/>
        <v>8.8479356090004652E-2</v>
      </c>
      <c r="AB38" s="424">
        <f t="shared" si="2"/>
        <v>8.920699800894516E-2</v>
      </c>
      <c r="AC38" s="424">
        <f t="shared" si="2"/>
        <v>9.0135678738785946E-2</v>
      </c>
      <c r="AD38" s="424">
        <f t="shared" si="2"/>
        <v>9.0996135121384436E-2</v>
      </c>
      <c r="AE38" s="424">
        <f t="shared" si="2"/>
        <v>9.1892129989094226E-2</v>
      </c>
      <c r="AF38" s="424">
        <f t="shared" si="2"/>
        <v>9.2858737831682178E-2</v>
      </c>
      <c r="AG38" s="424">
        <f t="shared" si="2"/>
        <v>9.3543884620881187E-2</v>
      </c>
      <c r="AH38" s="424">
        <f t="shared" si="2"/>
        <v>9.4706550460877378E-2</v>
      </c>
      <c r="AI38" s="424">
        <f t="shared" si="2"/>
        <v>9.5941015595336812E-2</v>
      </c>
      <c r="AJ38" s="424">
        <f t="shared" si="2"/>
        <v>9.6915741566117944E-2</v>
      </c>
      <c r="AK38" s="424">
        <f t="shared" si="2"/>
        <v>9.7852121951957347E-2</v>
      </c>
    </row>
    <row r="39" spans="1:37">
      <c r="A39" s="57" t="s">
        <v>36</v>
      </c>
      <c r="B39" s="66">
        <f>IF(parameters!$C$27="B",'consumption scenario B'!B36,IF(parameters!$C$27="C",'consumption scenario C'!B36,'consumption scenario A'!B36))</f>
        <v>0</v>
      </c>
      <c r="C39" s="66">
        <f>IF(parameters!$C$27="B",'consumption scenario B'!C36,IF(parameters!$C$27="C",'consumption scenario C'!C36,'consumption scenario A'!C36))</f>
        <v>0</v>
      </c>
      <c r="D39" s="66">
        <f>IF(parameters!$C$27="B",'consumption scenario B'!D36,IF(parameters!$C$27="C",'consumption scenario C'!D36,'consumption scenario A'!D36))</f>
        <v>0</v>
      </c>
      <c r="E39" s="66">
        <f>IF(parameters!$C$27="B",'consumption scenario B'!E36,IF(parameters!$C$27="C",'consumption scenario C'!E36,'consumption scenario A'!E36))</f>
        <v>0</v>
      </c>
      <c r="F39" s="66">
        <f>IF(parameters!$C$27="B",'consumption scenario B'!F36,IF(parameters!$C$27="C",'consumption scenario C'!F36,'consumption scenario A'!F36))</f>
        <v>9.0112102968652682E-6</v>
      </c>
      <c r="G39" s="66">
        <f>IF(parameters!$C$27="B",'consumption scenario B'!G36,IF(parameters!$C$27="C",'consumption scenario C'!G36,'consumption scenario A'!G36))</f>
        <v>0</v>
      </c>
      <c r="H39" s="66">
        <f>IF(parameters!$C$27="B",'consumption scenario B'!H36,IF(parameters!$C$27="C",'consumption scenario C'!H36,'consumption scenario A'!H36))</f>
        <v>0</v>
      </c>
      <c r="I39" s="66">
        <f>IF(parameters!$C$27="B",'consumption scenario B'!I36,IF(parameters!$C$27="C",'consumption scenario C'!I36,'consumption scenario A'!I36))</f>
        <v>0</v>
      </c>
      <c r="J39" s="66">
        <f>IF(parameters!$C$27="B",'consumption scenario B'!J36,IF(parameters!$C$27="C",'consumption scenario C'!J36,'consumption scenario A'!J36))</f>
        <v>0</v>
      </c>
      <c r="K39" s="538">
        <f>IF(parameters!$C$27="B",'consumption scenario B'!K36,IF(parameters!$C$27="C",'consumption scenario C'!K36,'consumption scenario A'!K36))</f>
        <v>0</v>
      </c>
      <c r="L39" s="538">
        <f>IF(parameters!$C$27="B",'consumption scenario B'!L36,IF(parameters!$C$27="C",'consumption scenario C'!L36,'consumption scenario A'!L36))</f>
        <v>0</v>
      </c>
      <c r="M39" s="449">
        <f>IF(parameters!$C$27="B",'consumption scenario B'!M36,IF(parameters!$C$27="C",'consumption scenario C'!M36,'consumption scenario A'!M36))</f>
        <v>0</v>
      </c>
      <c r="N39" s="66">
        <f>IF(parameters!$C$27="B",'consumption scenario B'!N36,IF(parameters!$C$27="C",'consumption scenario C'!N36,'consumption scenario A'!N36))</f>
        <v>0</v>
      </c>
      <c r="O39" s="66">
        <f>IF(parameters!$C$27="B",'consumption scenario B'!O36,IF(parameters!$C$27="C",'consumption scenario C'!O36,'consumption scenario A'!O36))</f>
        <v>0</v>
      </c>
      <c r="P39" s="66">
        <f>IF(parameters!$C$27="B",'consumption scenario B'!P36,IF(parameters!$C$27="C",'consumption scenario C'!P36,'consumption scenario A'!P36))</f>
        <v>0</v>
      </c>
      <c r="Q39" s="66">
        <f>IF(parameters!$C$27="B",'consumption scenario B'!Q36,IF(parameters!$C$27="C",'consumption scenario C'!Q36,'consumption scenario A'!Q36))</f>
        <v>0</v>
      </c>
      <c r="R39" s="66">
        <f>IF(parameters!$C$27="B",'consumption scenario B'!R36,IF(parameters!$C$27="C",'consumption scenario C'!R36,'consumption scenario A'!R36))</f>
        <v>0</v>
      </c>
      <c r="S39" s="66">
        <f>IF(parameters!$C$27="B",'consumption scenario B'!S36,IF(parameters!$C$27="C",'consumption scenario C'!S36,'consumption scenario A'!S36))</f>
        <v>0</v>
      </c>
      <c r="T39" s="66">
        <f>IF(parameters!$C$27="B",'consumption scenario B'!T36,IF(parameters!$C$27="C",'consumption scenario C'!T36,'consumption scenario A'!T36))</f>
        <v>0</v>
      </c>
      <c r="U39" s="66">
        <f>IF(parameters!$C$27="B",'consumption scenario B'!U36,IF(parameters!$C$27="C",'consumption scenario C'!U36,'consumption scenario A'!U36))</f>
        <v>0</v>
      </c>
      <c r="V39" s="66">
        <f>IF(parameters!$C$27="B",'consumption scenario B'!V36,IF(parameters!$C$27="C",'consumption scenario C'!V36,'consumption scenario A'!V36))</f>
        <v>0</v>
      </c>
      <c r="W39" s="66">
        <f>IF(parameters!$C$27="B",'consumption scenario B'!W36,IF(parameters!$C$27="C",'consumption scenario C'!W36,'consumption scenario A'!W36))</f>
        <v>0</v>
      </c>
      <c r="X39" s="66">
        <f>IF(parameters!$C$27="B",'consumption scenario B'!X36,IF(parameters!$C$27="C",'consumption scenario C'!X36,'consumption scenario A'!X36))</f>
        <v>0</v>
      </c>
      <c r="Y39" s="66">
        <f>IF(parameters!$C$27="B",'consumption scenario B'!Y36,IF(parameters!$C$27="C",'consumption scenario C'!Y36,'consumption scenario A'!Y36))</f>
        <v>0</v>
      </c>
      <c r="Z39" s="66">
        <f>IF(parameters!$C$27="B",'consumption scenario B'!Z36,IF(parameters!$C$27="C",'consumption scenario C'!Z36,'consumption scenario A'!Z36))</f>
        <v>0</v>
      </c>
      <c r="AA39" s="66">
        <f>IF(parameters!$C$27="B",'consumption scenario B'!AA36,IF(parameters!$C$27="C",'consumption scenario C'!AA36,'consumption scenario A'!AA36))</f>
        <v>0</v>
      </c>
      <c r="AB39" s="66">
        <f>IF(parameters!$C$27="B",'consumption scenario B'!AB36,IF(parameters!$C$27="C",'consumption scenario C'!AB36,'consumption scenario A'!AB36))</f>
        <v>0</v>
      </c>
      <c r="AC39" s="66">
        <f>IF(parameters!$C$27="B",'consumption scenario B'!AC36,IF(parameters!$C$27="C",'consumption scenario C'!AC36,'consumption scenario A'!AC36))</f>
        <v>0</v>
      </c>
      <c r="AD39" s="66">
        <f>IF(parameters!$C$27="B",'consumption scenario B'!AD36,IF(parameters!$C$27="C",'consumption scenario C'!AD36,'consumption scenario A'!AD36))</f>
        <v>0</v>
      </c>
      <c r="AE39" s="66">
        <f>IF(parameters!$C$27="B",'consumption scenario B'!AE36,IF(parameters!$C$27="C",'consumption scenario C'!AE36,'consumption scenario A'!AE36))</f>
        <v>0</v>
      </c>
      <c r="AF39" s="66">
        <f>IF(parameters!$C$27="B",'consumption scenario B'!AF36,IF(parameters!$C$27="C",'consumption scenario C'!AF36,'consumption scenario A'!AF36))</f>
        <v>0</v>
      </c>
      <c r="AG39" s="66">
        <f>IF(parameters!$C$27="B",'consumption scenario B'!AG36,IF(parameters!$C$27="C",'consumption scenario C'!AG36,'consumption scenario A'!AG36))</f>
        <v>0</v>
      </c>
      <c r="AH39" s="66">
        <f>IF(parameters!$C$27="B",'consumption scenario B'!AH36,IF(parameters!$C$27="C",'consumption scenario C'!AH36,'consumption scenario A'!AH36))</f>
        <v>0</v>
      </c>
      <c r="AI39" s="66">
        <f>IF(parameters!$C$27="B",'consumption scenario B'!AI36,IF(parameters!$C$27="C",'consumption scenario C'!AI36,'consumption scenario A'!AI36))</f>
        <v>0</v>
      </c>
      <c r="AJ39" s="66">
        <f>IF(parameters!$C$27="B",'consumption scenario B'!AJ36,IF(parameters!$C$27="C",'consumption scenario C'!AJ36,'consumption scenario A'!AJ36))</f>
        <v>0</v>
      </c>
      <c r="AK39" s="66">
        <f>IF(parameters!$C$27="B",'consumption scenario B'!AK36,IF(parameters!$C$27="C",'consumption scenario C'!AK36,'consumption scenario A'!AK36))</f>
        <v>0</v>
      </c>
    </row>
    <row r="40" spans="1:37">
      <c r="A40" s="57" t="s">
        <v>37</v>
      </c>
      <c r="B40" s="66">
        <f>IF(parameters!$C$27="B",'consumption scenario B'!B37,IF(parameters!$C$27="C",'consumption scenario C'!B37,'consumption scenario A'!B37))</f>
        <v>3.578721760051585E-3</v>
      </c>
      <c r="C40" s="66">
        <f>IF(parameters!$C$27="B",'consumption scenario B'!C37,IF(parameters!$C$27="C",'consumption scenario C'!C37,'consumption scenario A'!C37))</f>
        <v>3.5378419884432365E-3</v>
      </c>
      <c r="D40" s="66">
        <f>IF(parameters!$C$27="B",'consumption scenario B'!D37,IF(parameters!$C$27="C",'consumption scenario C'!D37,'consumption scenario A'!D37))</f>
        <v>3.601623417064563E-3</v>
      </c>
      <c r="E40" s="66">
        <f>IF(parameters!$C$27="B",'consumption scenario B'!E37,IF(parameters!$C$27="C",'consumption scenario C'!E37,'consumption scenario A'!E37))</f>
        <v>3.4036628607016814E-3</v>
      </c>
      <c r="F40" s="66">
        <f>IF(parameters!$C$27="B",'consumption scenario B'!F37,IF(parameters!$C$27="C",'consumption scenario C'!F37,'consumption scenario A'!F37))</f>
        <v>2.7784565082001247E-3</v>
      </c>
      <c r="G40" s="66">
        <f>IF(parameters!$C$27="B",'consumption scenario B'!G37,IF(parameters!$C$27="C",'consumption scenario C'!G37,'consumption scenario A'!G37))</f>
        <v>2.8077787004359561E-3</v>
      </c>
      <c r="H40" s="66">
        <f>IF(parameters!$C$27="B",'consumption scenario B'!H37,IF(parameters!$C$27="C",'consumption scenario C'!H37,'consumption scenario A'!H37))</f>
        <v>2.9050425576084703E-3</v>
      </c>
      <c r="I40" s="66">
        <f>IF(parameters!$C$27="B",'consumption scenario B'!I37,IF(parameters!$C$27="C",'consumption scenario C'!I37,'consumption scenario A'!I37))</f>
        <v>2.5746315133900765E-3</v>
      </c>
      <c r="J40" s="66">
        <f>IF(parameters!$C$27="B",'consumption scenario B'!J37,IF(parameters!$C$27="C",'consumption scenario C'!J37,'consumption scenario A'!J37))</f>
        <v>2.360078887274237E-3</v>
      </c>
      <c r="K40" s="538">
        <f>IF(parameters!$C$27="B",'consumption scenario B'!K37,IF(parameters!$C$27="C",'consumption scenario C'!K37,'consumption scenario A'!K37))</f>
        <v>2.549671891218601E-3</v>
      </c>
      <c r="L40" s="538">
        <f>IF(parameters!$C$27="B",'consumption scenario B'!L37,IF(parameters!$C$27="C",'consumption scenario C'!L37,'consumption scenario A'!L37))</f>
        <v>2.522852812954121E-3</v>
      </c>
      <c r="M40" s="449">
        <f>IF(parameters!$C$27="B",'consumption scenario B'!M37,IF(parameters!$C$27="C",'consumption scenario C'!M37,'consumption scenario A'!M37))</f>
        <v>1.0173769018919877E-3</v>
      </c>
      <c r="N40" s="66">
        <f>IF(parameters!$C$27="B",'consumption scenario B'!N37,IF(parameters!$C$27="C",'consumption scenario C'!N37,'consumption scenario A'!N37))</f>
        <v>9.5732416754067975E-4</v>
      </c>
      <c r="O40" s="66">
        <f>IF(parameters!$C$27="B",'consumption scenario B'!O37,IF(parameters!$C$27="C",'consumption scenario C'!O37,'consumption scenario A'!O37))</f>
        <v>9.8920708542971449E-4</v>
      </c>
      <c r="P40" s="66">
        <f>IF(parameters!$C$27="B",'consumption scenario B'!P37,IF(parameters!$C$27="C",'consumption scenario C'!P37,'consumption scenario A'!P37))</f>
        <v>1.042031566401015E-3</v>
      </c>
      <c r="Q40" s="66">
        <f>IF(parameters!$C$27="B",'consumption scenario B'!Q37,IF(parameters!$C$27="C",'consumption scenario C'!Q37,'consumption scenario A'!Q37))</f>
        <v>1.0827616905255395E-3</v>
      </c>
      <c r="R40" s="66">
        <f>IF(parameters!$C$27="B",'consumption scenario B'!R37,IF(parameters!$C$27="C",'consumption scenario C'!R37,'consumption scenario A'!R37))</f>
        <v>1.0981870929349848E-3</v>
      </c>
      <c r="S40" s="66">
        <f>IF(parameters!$C$27="B",'consumption scenario B'!S37,IF(parameters!$C$27="C",'consumption scenario C'!S37,'consumption scenario A'!S37))</f>
        <v>1.1126568496218799E-3</v>
      </c>
      <c r="T40" s="66">
        <f>IF(parameters!$C$27="B",'consumption scenario B'!T37,IF(parameters!$C$27="C",'consumption scenario C'!T37,'consumption scenario A'!T37))</f>
        <v>1.1253665822135823E-3</v>
      </c>
      <c r="U40" s="66">
        <f>IF(parameters!$C$27="B",'consumption scenario B'!U37,IF(parameters!$C$27="C",'consumption scenario C'!U37,'consumption scenario A'!U37))</f>
        <v>1.1408439785541178E-3</v>
      </c>
      <c r="V40" s="66">
        <f>IF(parameters!$C$27="B",'consumption scenario B'!V37,IF(parameters!$C$27="C",'consumption scenario C'!V37,'consumption scenario A'!V37))</f>
        <v>1.1418485295085414E-3</v>
      </c>
      <c r="W40" s="66">
        <f>IF(parameters!$C$27="B",'consumption scenario B'!W37,IF(parameters!$C$27="C",'consumption scenario C'!W37,'consumption scenario A'!W37))</f>
        <v>1.1415568639524087E-3</v>
      </c>
      <c r="X40" s="66">
        <f>IF(parameters!$C$27="B",'consumption scenario B'!X37,IF(parameters!$C$27="C",'consumption scenario C'!X37,'consumption scenario A'!X37))</f>
        <v>1.1397664582793446E-3</v>
      </c>
      <c r="Y40" s="66">
        <f>IF(parameters!$C$27="B",'consumption scenario B'!Y37,IF(parameters!$C$27="C",'consumption scenario C'!Y37,'consumption scenario A'!Y37))</f>
        <v>1.1363918933242926E-3</v>
      </c>
      <c r="Z40" s="66">
        <f>IF(parameters!$C$27="B",'consumption scenario B'!Z37,IF(parameters!$C$27="C",'consumption scenario C'!Z37,'consumption scenario A'!Z37))</f>
        <v>1.1238603911786925E-3</v>
      </c>
      <c r="AA40" s="66">
        <f>IF(parameters!$C$27="B",'consumption scenario B'!AA37,IF(parameters!$C$27="C",'consumption scenario C'!AA37,'consumption scenario A'!AA37))</f>
        <v>1.1175542965109432E-3</v>
      </c>
      <c r="AB40" s="66">
        <f>IF(parameters!$C$27="B",'consumption scenario B'!AB37,IF(parameters!$C$27="C",'consumption scenario C'!AB37,'consumption scenario A'!AB37))</f>
        <v>1.1125796160575377E-3</v>
      </c>
      <c r="AC40" s="66">
        <f>IF(parameters!$C$27="B",'consumption scenario B'!AC37,IF(parameters!$C$27="C",'consumption scenario C'!AC37,'consumption scenario A'!AC37))</f>
        <v>1.1031526730077824E-3</v>
      </c>
      <c r="AD40" s="66">
        <f>IF(parameters!$C$27="B",'consumption scenario B'!AD37,IF(parameters!$C$27="C",'consumption scenario C'!AD37,'consumption scenario A'!AD37))</f>
        <v>1.0962192774181831E-3</v>
      </c>
      <c r="AE40" s="66">
        <f>IF(parameters!$C$27="B",'consumption scenario B'!AE37,IF(parameters!$C$27="C",'consumption scenario C'!AE37,'consumption scenario A'!AE37))</f>
        <v>1.0901978230664115E-3</v>
      </c>
      <c r="AF40" s="66">
        <f>IF(parameters!$C$27="B",'consumption scenario B'!AF37,IF(parameters!$C$27="C",'consumption scenario C'!AF37,'consumption scenario A'!AF37))</f>
        <v>1.082225708238165E-3</v>
      </c>
      <c r="AG40" s="66">
        <f>IF(parameters!$C$27="B",'consumption scenario B'!AG37,IF(parameters!$C$27="C",'consumption scenario C'!AG37,'consumption scenario A'!AG37))</f>
        <v>1.0843992967356946E-3</v>
      </c>
      <c r="AH40" s="66">
        <f>IF(parameters!$C$27="B",'consumption scenario B'!AH37,IF(parameters!$C$27="C",'consumption scenario C'!AH37,'consumption scenario A'!AH37))</f>
        <v>1.0867196428133974E-3</v>
      </c>
      <c r="AI40" s="66">
        <f>IF(parameters!$C$27="B",'consumption scenario B'!AI37,IF(parameters!$C$27="C",'consumption scenario C'!AI37,'consumption scenario A'!AI37))</f>
        <v>1.0878360568441646E-3</v>
      </c>
      <c r="AJ40" s="66">
        <f>IF(parameters!$C$27="B",'consumption scenario B'!AJ37,IF(parameters!$C$27="C",'consumption scenario C'!AJ37,'consumption scenario A'!AJ37))</f>
        <v>1.0878096597113091E-3</v>
      </c>
      <c r="AK40" s="66">
        <f>IF(parameters!$C$27="B",'consumption scenario B'!AK37,IF(parameters!$C$27="C",'consumption scenario C'!AK37,'consumption scenario A'!AK37))</f>
        <v>1.0898274332096225E-3</v>
      </c>
    </row>
    <row r="41" spans="1:37">
      <c r="A41" s="57" t="s">
        <v>63</v>
      </c>
      <c r="B41" s="66">
        <f>IF(parameters!$C$27="B",'consumption scenario B'!B38,IF(parameters!$C$27="C",'consumption scenario C'!B38,'consumption scenario A'!B38))</f>
        <v>0</v>
      </c>
      <c r="C41" s="66">
        <f>IF(parameters!$C$27="B",'consumption scenario B'!C38,IF(parameters!$C$27="C",'consumption scenario C'!C38,'consumption scenario A'!C38))</f>
        <v>0</v>
      </c>
      <c r="D41" s="66">
        <f>IF(parameters!$C$27="B",'consumption scenario B'!D38,IF(parameters!$C$27="C",'consumption scenario C'!D38,'consumption scenario A'!D38))</f>
        <v>0</v>
      </c>
      <c r="E41" s="66">
        <f>IF(parameters!$C$27="B",'consumption scenario B'!E38,IF(parameters!$C$27="C",'consumption scenario C'!E38,'consumption scenario A'!E38))</f>
        <v>0</v>
      </c>
      <c r="F41" s="66">
        <f>IF(parameters!$C$27="B",'consumption scenario B'!F38,IF(parameters!$C$27="C",'consumption scenario C'!F38,'consumption scenario A'!F38))</f>
        <v>0</v>
      </c>
      <c r="G41" s="66">
        <f>IF(parameters!$C$27="B",'consumption scenario B'!G38,IF(parameters!$C$27="C",'consumption scenario C'!G38,'consumption scenario A'!G38))</f>
        <v>0</v>
      </c>
      <c r="H41" s="66">
        <f>IF(parameters!$C$27="B",'consumption scenario B'!H38,IF(parameters!$C$27="C",'consumption scenario C'!H38,'consumption scenario A'!H38))</f>
        <v>0</v>
      </c>
      <c r="I41" s="66">
        <f>IF(parameters!$C$27="B",'consumption scenario B'!I38,IF(parameters!$C$27="C",'consumption scenario C'!I38,'consumption scenario A'!I38))</f>
        <v>0</v>
      </c>
      <c r="J41" s="66">
        <f>IF(parameters!$C$27="B",'consumption scenario B'!J38,IF(parameters!$C$27="C",'consumption scenario C'!J38,'consumption scenario A'!J38))</f>
        <v>0</v>
      </c>
      <c r="K41" s="538">
        <f>IF(parameters!$C$27="B",'consumption scenario B'!K38,IF(parameters!$C$27="C",'consumption scenario C'!K38,'consumption scenario A'!K38))</f>
        <v>0</v>
      </c>
      <c r="L41" s="538">
        <f>IF(parameters!$C$27="B",'consumption scenario B'!L38,IF(parameters!$C$27="C",'consumption scenario C'!L38,'consumption scenario A'!L38))</f>
        <v>0</v>
      </c>
      <c r="M41" s="449">
        <f>IF(parameters!$C$27="B",'consumption scenario B'!M38,IF(parameters!$C$27="C",'consumption scenario C'!M38,'consumption scenario A'!M38))</f>
        <v>0</v>
      </c>
      <c r="N41" s="66">
        <f>IF(parameters!$C$27="B",'consumption scenario B'!N38,IF(parameters!$C$27="C",'consumption scenario C'!N38,'consumption scenario A'!N38))</f>
        <v>0</v>
      </c>
      <c r="O41" s="66">
        <f>IF(parameters!$C$27="B",'consumption scenario B'!O38,IF(parameters!$C$27="C",'consumption scenario C'!O38,'consumption scenario A'!O38))</f>
        <v>0</v>
      </c>
      <c r="P41" s="66">
        <f>IF(parameters!$C$27="B",'consumption scenario B'!P38,IF(parameters!$C$27="C",'consumption scenario C'!P38,'consumption scenario A'!P38))</f>
        <v>0</v>
      </c>
      <c r="Q41" s="66">
        <f>IF(parameters!$C$27="B",'consumption scenario B'!Q38,IF(parameters!$C$27="C",'consumption scenario C'!Q38,'consumption scenario A'!Q38))</f>
        <v>0</v>
      </c>
      <c r="R41" s="66">
        <f>IF(parameters!$C$27="B",'consumption scenario B'!R38,IF(parameters!$C$27="C",'consumption scenario C'!R38,'consumption scenario A'!R38))</f>
        <v>0</v>
      </c>
      <c r="S41" s="66">
        <f>IF(parameters!$C$27="B",'consumption scenario B'!S38,IF(parameters!$C$27="C",'consumption scenario C'!S38,'consumption scenario A'!S38))</f>
        <v>0</v>
      </c>
      <c r="T41" s="66">
        <f>IF(parameters!$C$27="B",'consumption scenario B'!T38,IF(parameters!$C$27="C",'consumption scenario C'!T38,'consumption scenario A'!T38))</f>
        <v>0</v>
      </c>
      <c r="U41" s="66">
        <f>IF(parameters!$C$27="B",'consumption scenario B'!U38,IF(parameters!$C$27="C",'consumption scenario C'!U38,'consumption scenario A'!U38))</f>
        <v>0</v>
      </c>
      <c r="V41" s="66">
        <f>IF(parameters!$C$27="B",'consumption scenario B'!V38,IF(parameters!$C$27="C",'consumption scenario C'!V38,'consumption scenario A'!V38))</f>
        <v>0</v>
      </c>
      <c r="W41" s="66">
        <f>IF(parameters!$C$27="B",'consumption scenario B'!W38,IF(parameters!$C$27="C",'consumption scenario C'!W38,'consumption scenario A'!W38))</f>
        <v>0</v>
      </c>
      <c r="X41" s="66">
        <f>IF(parameters!$C$27="B",'consumption scenario B'!X38,IF(parameters!$C$27="C",'consumption scenario C'!X38,'consumption scenario A'!X38))</f>
        <v>0</v>
      </c>
      <c r="Y41" s="66">
        <f>IF(parameters!$C$27="B",'consumption scenario B'!Y38,IF(parameters!$C$27="C",'consumption scenario C'!Y38,'consumption scenario A'!Y38))</f>
        <v>0</v>
      </c>
      <c r="Z41" s="66">
        <f>IF(parameters!$C$27="B",'consumption scenario B'!Z38,IF(parameters!$C$27="C",'consumption scenario C'!Z38,'consumption scenario A'!Z38))</f>
        <v>0</v>
      </c>
      <c r="AA41" s="66">
        <f>IF(parameters!$C$27="B",'consumption scenario B'!AA38,IF(parameters!$C$27="C",'consumption scenario C'!AA38,'consumption scenario A'!AA38))</f>
        <v>0</v>
      </c>
      <c r="AB41" s="66">
        <f>IF(parameters!$C$27="B",'consumption scenario B'!AB38,IF(parameters!$C$27="C",'consumption scenario C'!AB38,'consumption scenario A'!AB38))</f>
        <v>0</v>
      </c>
      <c r="AC41" s="66">
        <f>IF(parameters!$C$27="B",'consumption scenario B'!AC38,IF(parameters!$C$27="C",'consumption scenario C'!AC38,'consumption scenario A'!AC38))</f>
        <v>0</v>
      </c>
      <c r="AD41" s="66">
        <f>IF(parameters!$C$27="B",'consumption scenario B'!AD38,IF(parameters!$C$27="C",'consumption scenario C'!AD38,'consumption scenario A'!AD38))</f>
        <v>0</v>
      </c>
      <c r="AE41" s="66">
        <f>IF(parameters!$C$27="B",'consumption scenario B'!AE38,IF(parameters!$C$27="C",'consumption scenario C'!AE38,'consumption scenario A'!AE38))</f>
        <v>0</v>
      </c>
      <c r="AF41" s="66">
        <f>IF(parameters!$C$27="B",'consumption scenario B'!AF38,IF(parameters!$C$27="C",'consumption scenario C'!AF38,'consumption scenario A'!AF38))</f>
        <v>0</v>
      </c>
      <c r="AG41" s="66">
        <f>IF(parameters!$C$27="B",'consumption scenario B'!AG38,IF(parameters!$C$27="C",'consumption scenario C'!AG38,'consumption scenario A'!AG38))</f>
        <v>0</v>
      </c>
      <c r="AH41" s="66">
        <f>IF(parameters!$C$27="B",'consumption scenario B'!AH38,IF(parameters!$C$27="C",'consumption scenario C'!AH38,'consumption scenario A'!AH38))</f>
        <v>0</v>
      </c>
      <c r="AI41" s="66">
        <f>IF(parameters!$C$27="B",'consumption scenario B'!AI38,IF(parameters!$C$27="C",'consumption scenario C'!AI38,'consumption scenario A'!AI38))</f>
        <v>0</v>
      </c>
      <c r="AJ41" s="66">
        <f>IF(parameters!$C$27="B",'consumption scenario B'!AJ38,IF(parameters!$C$27="C",'consumption scenario C'!AJ38,'consumption scenario A'!AJ38))</f>
        <v>0</v>
      </c>
      <c r="AK41" s="66">
        <f>IF(parameters!$C$27="B",'consumption scenario B'!AK38,IF(parameters!$C$27="C",'consumption scenario C'!AK38,'consumption scenario A'!AK38))</f>
        <v>0</v>
      </c>
    </row>
    <row r="42" spans="1:37">
      <c r="A42" s="57" t="s">
        <v>64</v>
      </c>
      <c r="B42" s="66">
        <f>IF(parameters!$C$27="B",'consumption scenario B'!B39,IF(parameters!$C$27="C",'consumption scenario C'!B39,'consumption scenario A'!B39))</f>
        <v>0</v>
      </c>
      <c r="C42" s="66">
        <f>IF(parameters!$C$27="B",'consumption scenario B'!C39,IF(parameters!$C$27="C",'consumption scenario C'!C39,'consumption scenario A'!C39))</f>
        <v>0</v>
      </c>
      <c r="D42" s="66">
        <f>IF(parameters!$C$27="B",'consumption scenario B'!D39,IF(parameters!$C$27="C",'consumption scenario C'!D39,'consumption scenario A'!D39))</f>
        <v>0</v>
      </c>
      <c r="E42" s="66">
        <f>IF(parameters!$C$27="B",'consumption scenario B'!E39,IF(parameters!$C$27="C",'consumption scenario C'!E39,'consumption scenario A'!E39))</f>
        <v>0</v>
      </c>
      <c r="F42" s="66">
        <f>IF(parameters!$C$27="B",'consumption scenario B'!F39,IF(parameters!$C$27="C",'consumption scenario C'!F39,'consumption scenario A'!F39))</f>
        <v>0</v>
      </c>
      <c r="G42" s="66">
        <f>IF(parameters!$C$27="B",'consumption scenario B'!G39,IF(parameters!$C$27="C",'consumption scenario C'!G39,'consumption scenario A'!G39))</f>
        <v>0</v>
      </c>
      <c r="H42" s="66">
        <f>IF(parameters!$C$27="B",'consumption scenario B'!H39,IF(parameters!$C$27="C",'consumption scenario C'!H39,'consumption scenario A'!H39))</f>
        <v>0</v>
      </c>
      <c r="I42" s="66">
        <f>IF(parameters!$C$27="B",'consumption scenario B'!I39,IF(parameters!$C$27="C",'consumption scenario C'!I39,'consumption scenario A'!I39))</f>
        <v>0</v>
      </c>
      <c r="J42" s="66">
        <f>IF(parameters!$C$27="B",'consumption scenario B'!J39,IF(parameters!$C$27="C",'consumption scenario C'!J39,'consumption scenario A'!J39))</f>
        <v>0</v>
      </c>
      <c r="K42" s="538">
        <f>IF(parameters!$C$27="B",'consumption scenario B'!K39,IF(parameters!$C$27="C",'consumption scenario C'!K39,'consumption scenario A'!K39))</f>
        <v>0</v>
      </c>
      <c r="L42" s="538">
        <f>IF(parameters!$C$27="B",'consumption scenario B'!L39,IF(parameters!$C$27="C",'consumption scenario C'!L39,'consumption scenario A'!L39))</f>
        <v>0</v>
      </c>
      <c r="M42" s="449">
        <f>IF(parameters!$C$27="B",'consumption scenario B'!M39,IF(parameters!$C$27="C",'consumption scenario C'!M39,'consumption scenario A'!M39))</f>
        <v>0</v>
      </c>
      <c r="N42" s="66">
        <f>IF(parameters!$C$27="B",'consumption scenario B'!N39,IF(parameters!$C$27="C",'consumption scenario C'!N39,'consumption scenario A'!N39))</f>
        <v>0</v>
      </c>
      <c r="O42" s="66">
        <f>IF(parameters!$C$27="B",'consumption scenario B'!O39,IF(parameters!$C$27="C",'consumption scenario C'!O39,'consumption scenario A'!O39))</f>
        <v>0</v>
      </c>
      <c r="P42" s="66">
        <f>IF(parameters!$C$27="B",'consumption scenario B'!P39,IF(parameters!$C$27="C",'consumption scenario C'!P39,'consumption scenario A'!P39))</f>
        <v>0</v>
      </c>
      <c r="Q42" s="66">
        <f>IF(parameters!$C$27="B",'consumption scenario B'!Q39,IF(parameters!$C$27="C",'consumption scenario C'!Q39,'consumption scenario A'!Q39))</f>
        <v>0</v>
      </c>
      <c r="R42" s="66">
        <f>IF(parameters!$C$27="B",'consumption scenario B'!R39,IF(parameters!$C$27="C",'consumption scenario C'!R39,'consumption scenario A'!R39))</f>
        <v>0</v>
      </c>
      <c r="S42" s="66">
        <f>IF(parameters!$C$27="B",'consumption scenario B'!S39,IF(parameters!$C$27="C",'consumption scenario C'!S39,'consumption scenario A'!S39))</f>
        <v>0</v>
      </c>
      <c r="T42" s="66">
        <f>IF(parameters!$C$27="B",'consumption scenario B'!T39,IF(parameters!$C$27="C",'consumption scenario C'!T39,'consumption scenario A'!T39))</f>
        <v>0</v>
      </c>
      <c r="U42" s="66">
        <f>IF(parameters!$C$27="B",'consumption scenario B'!U39,IF(parameters!$C$27="C",'consumption scenario C'!U39,'consumption scenario A'!U39))</f>
        <v>0</v>
      </c>
      <c r="V42" s="66">
        <f>IF(parameters!$C$27="B",'consumption scenario B'!V39,IF(parameters!$C$27="C",'consumption scenario C'!V39,'consumption scenario A'!V39))</f>
        <v>0</v>
      </c>
      <c r="W42" s="66">
        <f>IF(parameters!$C$27="B",'consumption scenario B'!W39,IF(parameters!$C$27="C",'consumption scenario C'!W39,'consumption scenario A'!W39))</f>
        <v>0</v>
      </c>
      <c r="X42" s="66">
        <f>IF(parameters!$C$27="B",'consumption scenario B'!X39,IF(parameters!$C$27="C",'consumption scenario C'!X39,'consumption scenario A'!X39))</f>
        <v>0</v>
      </c>
      <c r="Y42" s="66">
        <f>IF(parameters!$C$27="B",'consumption scenario B'!Y39,IF(parameters!$C$27="C",'consumption scenario C'!Y39,'consumption scenario A'!Y39))</f>
        <v>0</v>
      </c>
      <c r="Z42" s="66">
        <f>IF(parameters!$C$27="B",'consumption scenario B'!Z39,IF(parameters!$C$27="C",'consumption scenario C'!Z39,'consumption scenario A'!Z39))</f>
        <v>0</v>
      </c>
      <c r="AA42" s="66">
        <f>IF(parameters!$C$27="B",'consumption scenario B'!AA39,IF(parameters!$C$27="C",'consumption scenario C'!AA39,'consumption scenario A'!AA39))</f>
        <v>0</v>
      </c>
      <c r="AB42" s="66">
        <f>IF(parameters!$C$27="B",'consumption scenario B'!AB39,IF(parameters!$C$27="C",'consumption scenario C'!AB39,'consumption scenario A'!AB39))</f>
        <v>0</v>
      </c>
      <c r="AC42" s="66">
        <f>IF(parameters!$C$27="B",'consumption scenario B'!AC39,IF(parameters!$C$27="C",'consumption scenario C'!AC39,'consumption scenario A'!AC39))</f>
        <v>0</v>
      </c>
      <c r="AD42" s="66">
        <f>IF(parameters!$C$27="B",'consumption scenario B'!AD39,IF(parameters!$C$27="C",'consumption scenario C'!AD39,'consumption scenario A'!AD39))</f>
        <v>0</v>
      </c>
      <c r="AE42" s="66">
        <f>IF(parameters!$C$27="B",'consumption scenario B'!AE39,IF(parameters!$C$27="C",'consumption scenario C'!AE39,'consumption scenario A'!AE39))</f>
        <v>0</v>
      </c>
      <c r="AF42" s="66">
        <f>IF(parameters!$C$27="B",'consumption scenario B'!AF39,IF(parameters!$C$27="C",'consumption scenario C'!AF39,'consumption scenario A'!AF39))</f>
        <v>0</v>
      </c>
      <c r="AG42" s="66">
        <f>IF(parameters!$C$27="B",'consumption scenario B'!AG39,IF(parameters!$C$27="C",'consumption scenario C'!AG39,'consumption scenario A'!AG39))</f>
        <v>0</v>
      </c>
      <c r="AH42" s="66">
        <f>IF(parameters!$C$27="B",'consumption scenario B'!AH39,IF(parameters!$C$27="C",'consumption scenario C'!AH39,'consumption scenario A'!AH39))</f>
        <v>0</v>
      </c>
      <c r="AI42" s="66">
        <f>IF(parameters!$C$27="B",'consumption scenario B'!AI39,IF(parameters!$C$27="C",'consumption scenario C'!AI39,'consumption scenario A'!AI39))</f>
        <v>0</v>
      </c>
      <c r="AJ42" s="66">
        <f>IF(parameters!$C$27="B",'consumption scenario B'!AJ39,IF(parameters!$C$27="C",'consumption scenario C'!AJ39,'consumption scenario A'!AJ39))</f>
        <v>0</v>
      </c>
      <c r="AK42" s="66">
        <f>IF(parameters!$C$27="B",'consumption scenario B'!AK39,IF(parameters!$C$27="C",'consumption scenario C'!AK39,'consumption scenario A'!AK39))</f>
        <v>0</v>
      </c>
    </row>
    <row r="43" spans="1:37">
      <c r="A43" s="57" t="s">
        <v>65</v>
      </c>
      <c r="B43" s="66">
        <f>IF(parameters!$C$27="B",'consumption scenario B'!B40,IF(parameters!$C$27="C",'consumption scenario C'!B40,'consumption scenario A'!B40))</f>
        <v>3.578721760051585E-3</v>
      </c>
      <c r="C43" s="66">
        <f>IF(parameters!$C$27="B",'consumption scenario B'!C40,IF(parameters!$C$27="C",'consumption scenario C'!C40,'consumption scenario A'!C40))</f>
        <v>3.5378419884432365E-3</v>
      </c>
      <c r="D43" s="66">
        <f>IF(parameters!$C$27="B",'consumption scenario B'!D40,IF(parameters!$C$27="C",'consumption scenario C'!D40,'consumption scenario A'!D40))</f>
        <v>3.601623417064563E-3</v>
      </c>
      <c r="E43" s="66">
        <f>IF(parameters!$C$27="B",'consumption scenario B'!E40,IF(parameters!$C$27="C",'consumption scenario C'!E40,'consumption scenario A'!E40))</f>
        <v>3.4036628607016814E-3</v>
      </c>
      <c r="F43" s="66">
        <f>IF(parameters!$C$27="B",'consumption scenario B'!F40,IF(parameters!$C$27="C",'consumption scenario C'!F40,'consumption scenario A'!F40))</f>
        <v>2.7874677184969894E-3</v>
      </c>
      <c r="G43" s="66">
        <f>IF(parameters!$C$27="B",'consumption scenario B'!G40,IF(parameters!$C$27="C",'consumption scenario C'!G40,'consumption scenario A'!G40))</f>
        <v>2.8077787004359561E-3</v>
      </c>
      <c r="H43" s="66">
        <f>IF(parameters!$C$27="B",'consumption scenario B'!H40,IF(parameters!$C$27="C",'consumption scenario C'!H40,'consumption scenario A'!H40))</f>
        <v>2.9050425576084703E-3</v>
      </c>
      <c r="I43" s="66">
        <f>IF(parameters!$C$27="B",'consumption scenario B'!I40,IF(parameters!$C$27="C",'consumption scenario C'!I40,'consumption scenario A'!I40))</f>
        <v>2.5746315133900765E-3</v>
      </c>
      <c r="J43" s="66">
        <f>IF(parameters!$C$27="B",'consumption scenario B'!J40,IF(parameters!$C$27="C",'consumption scenario C'!J40,'consumption scenario A'!J40))</f>
        <v>2.360078887274237E-3</v>
      </c>
      <c r="K43" s="538">
        <f>IF(parameters!$C$27="B",'consumption scenario B'!K40,IF(parameters!$C$27="C",'consumption scenario C'!K40,'consumption scenario A'!K40))</f>
        <v>2.549671891218601E-3</v>
      </c>
      <c r="L43" s="538">
        <f>IF(parameters!$C$27="B",'consumption scenario B'!L40,IF(parameters!$C$27="C",'consumption scenario C'!L40,'consumption scenario A'!L40))</f>
        <v>2.522852812954121E-3</v>
      </c>
      <c r="M43" s="449">
        <f>IF(parameters!$C$27="B",'consumption scenario B'!M40,IF(parameters!$C$27="C",'consumption scenario C'!M40,'consumption scenario A'!M40))</f>
        <v>1.6812374124580017E-3</v>
      </c>
      <c r="N43" s="66">
        <f>IF(parameters!$C$27="B",'consumption scenario B'!N40,IF(parameters!$C$27="C",'consumption scenario C'!N40,'consumption scenario A'!N40))</f>
        <v>1.7073423605197776E-3</v>
      </c>
      <c r="O43" s="66">
        <f>IF(parameters!$C$27="B",'consumption scenario B'!O40,IF(parameters!$C$27="C",'consumption scenario C'!O40,'consumption scenario A'!O40))</f>
        <v>1.6249388942578193E-3</v>
      </c>
      <c r="P43" s="66">
        <f>IF(parameters!$C$27="B",'consumption scenario B'!P40,IF(parameters!$C$27="C",'consumption scenario C'!P40,'consumption scenario A'!P40))</f>
        <v>1.6774813139983039E-3</v>
      </c>
      <c r="Q43" s="66">
        <f>IF(parameters!$C$27="B",'consumption scenario B'!Q40,IF(parameters!$C$27="C",'consumption scenario C'!Q40,'consumption scenario A'!Q40))</f>
        <v>1.7753500661154009E-3</v>
      </c>
      <c r="R43" s="66">
        <f>IF(parameters!$C$27="B",'consumption scenario B'!R40,IF(parameters!$C$27="C",'consumption scenario C'!R40,'consumption scenario A'!R40))</f>
        <v>1.7670235848961458E-3</v>
      </c>
      <c r="S43" s="66">
        <f>IF(parameters!$C$27="B",'consumption scenario B'!S40,IF(parameters!$C$27="C",'consumption scenario C'!S40,'consumption scenario A'!S40))</f>
        <v>1.7235493044724976E-3</v>
      </c>
      <c r="T43" s="66">
        <f>IF(parameters!$C$27="B",'consumption scenario B'!T40,IF(parameters!$C$27="C",'consumption scenario C'!T40,'consumption scenario A'!T40))</f>
        <v>1.7276752030412951E-3</v>
      </c>
      <c r="U43" s="66">
        <f>IF(parameters!$C$27="B",'consumption scenario B'!U40,IF(parameters!$C$27="C",'consumption scenario C'!U40,'consumption scenario A'!U40))</f>
        <v>1.7607344135342489E-3</v>
      </c>
      <c r="V43" s="66">
        <f>IF(parameters!$C$27="B",'consumption scenario B'!V40,IF(parameters!$C$27="C",'consumption scenario C'!V40,'consumption scenario A'!V40))</f>
        <v>1.7751831290616184E-3</v>
      </c>
      <c r="W43" s="66">
        <f>IF(parameters!$C$27="B",'consumption scenario B'!W40,IF(parameters!$C$27="C",'consumption scenario C'!W40,'consumption scenario A'!W40))</f>
        <v>1.781588751599067E-3</v>
      </c>
      <c r="X43" s="66">
        <f>IF(parameters!$C$27="B",'consumption scenario B'!X40,IF(parameters!$C$27="C",'consumption scenario C'!X40,'consumption scenario A'!X40))</f>
        <v>1.7918572169962294E-3</v>
      </c>
      <c r="Y43" s="66">
        <f>IF(parameters!$C$27="B",'consumption scenario B'!Y40,IF(parameters!$C$27="C",'consumption scenario C'!Y40,'consumption scenario A'!Y40))</f>
        <v>1.7994689143518644E-3</v>
      </c>
      <c r="Z43" s="66">
        <f>IF(parameters!$C$27="B",'consumption scenario B'!Z40,IF(parameters!$C$27="C",'consumption scenario C'!Z40,'consumption scenario A'!Z40))</f>
        <v>1.7823577865692533E-3</v>
      </c>
      <c r="AA43" s="66">
        <f>IF(parameters!$C$27="B",'consumption scenario B'!AA40,IF(parameters!$C$27="C",'consumption scenario C'!AA40,'consumption scenario A'!AA40))</f>
        <v>1.801061582400144E-3</v>
      </c>
      <c r="AB43" s="66">
        <f>IF(parameters!$C$27="B",'consumption scenario B'!AB40,IF(parameters!$C$27="C",'consumption scenario C'!AB40,'consumption scenario A'!AB40))</f>
        <v>1.8149178440407334E-3</v>
      </c>
      <c r="AC43" s="66">
        <f>IF(parameters!$C$27="B",'consumption scenario B'!AC40,IF(parameters!$C$27="C",'consumption scenario C'!AC40,'consumption scenario A'!AC40))</f>
        <v>1.8153757780613765E-3</v>
      </c>
      <c r="AD43" s="66">
        <f>IF(parameters!$C$27="B",'consumption scenario B'!AD40,IF(parameters!$C$27="C",'consumption scenario C'!AD40,'consumption scenario A'!AD40))</f>
        <v>1.8275255027133609E-3</v>
      </c>
      <c r="AE43" s="66">
        <f>IF(parameters!$C$27="B",'consumption scenario B'!AE40,IF(parameters!$C$27="C",'consumption scenario C'!AE40,'consumption scenario A'!AE40))</f>
        <v>1.8353151326061573E-3</v>
      </c>
      <c r="AF43" s="66">
        <f>IF(parameters!$C$27="B",'consumption scenario B'!AF40,IF(parameters!$C$27="C",'consumption scenario C'!AF40,'consumption scenario A'!AF40))</f>
        <v>1.8435630435607675E-3</v>
      </c>
      <c r="AG43" s="66">
        <f>IF(parameters!$C$27="B",'consumption scenario B'!AG40,IF(parameters!$C$27="C",'consumption scenario C'!AG40,'consumption scenario A'!AG40))</f>
        <v>1.8496015589505124E-3</v>
      </c>
      <c r="AH43" s="66">
        <f>IF(parameters!$C$27="B",'consumption scenario B'!AH40,IF(parameters!$C$27="C",'consumption scenario C'!AH40,'consumption scenario A'!AH40))</f>
        <v>1.8693078956102357E-3</v>
      </c>
      <c r="AI43" s="66">
        <f>IF(parameters!$C$27="B",'consumption scenario B'!AI40,IF(parameters!$C$27="C",'consumption scenario C'!AI40,'consumption scenario A'!AI40))</f>
        <v>1.8686119811866222E-3</v>
      </c>
      <c r="AJ43" s="66">
        <f>IF(parameters!$C$27="B",'consumption scenario B'!AJ40,IF(parameters!$C$27="C",'consumption scenario C'!AJ40,'consumption scenario A'!AJ40))</f>
        <v>1.870934094724559E-3</v>
      </c>
      <c r="AK43" s="66">
        <f>IF(parameters!$C$27="B",'consumption scenario B'!AK40,IF(parameters!$C$27="C",'consumption scenario C'!AK40,'consumption scenario A'!AK40))</f>
        <v>1.8761698600668021E-3</v>
      </c>
    </row>
    <row r="44" spans="1:37">
      <c r="A44" s="57" t="s">
        <v>66</v>
      </c>
      <c r="B44" s="66">
        <f>IF(parameters!$C$27="B",'consumption scenario B'!B41,IF(parameters!$C$27="C",'consumption scenario C'!B41,'consumption scenario A'!B41))</f>
        <v>1.5117250181316221E-4</v>
      </c>
      <c r="C44" s="66">
        <f>IF(parameters!$C$27="B",'consumption scenario B'!C41,IF(parameters!$C$27="C",'consumption scenario C'!C41,'consumption scenario A'!C41))</f>
        <v>3.3037776342387145E-4</v>
      </c>
      <c r="D44" s="66">
        <f>IF(parameters!$C$27="B",'consumption scenario B'!D41,IF(parameters!$C$27="C",'consumption scenario C'!D41,'consumption scenario A'!D41))</f>
        <v>4.8742678527615536E-4</v>
      </c>
      <c r="E44" s="66">
        <f>IF(parameters!$C$27="B",'consumption scenario B'!E41,IF(parameters!$C$27="C",'consumption scenario C'!E41,'consumption scenario A'!E41))</f>
        <v>6.5784096757521247E-3</v>
      </c>
      <c r="F44" s="66">
        <f>IF(parameters!$C$27="B",'consumption scenario B'!F41,IF(parameters!$C$27="C",'consumption scenario C'!F41,'consumption scenario A'!F41))</f>
        <v>4.1496094140132276E-3</v>
      </c>
      <c r="G44" s="66">
        <f>IF(parameters!$C$27="B",'consumption scenario B'!G41,IF(parameters!$C$27="C",'consumption scenario C'!G41,'consumption scenario A'!G41))</f>
        <v>2.2961283206401749E-2</v>
      </c>
      <c r="H44" s="66">
        <f>IF(parameters!$C$27="B",'consumption scenario B'!H41,IF(parameters!$C$27="C",'consumption scenario C'!H41,'consumption scenario A'!H41))</f>
        <v>1.2303822477270977E-2</v>
      </c>
      <c r="I44" s="66">
        <f>IF(parameters!$C$27="B",'consumption scenario B'!I41,IF(parameters!$C$27="C",'consumption scenario C'!I41,'consumption scenario A'!I41))</f>
        <v>1.9445217497718964E-2</v>
      </c>
      <c r="J44" s="66">
        <f>IF(parameters!$C$27="B",'consumption scenario B'!J41,IF(parameters!$C$27="C",'consumption scenario C'!J41,'consumption scenario A'!J41))</f>
        <v>1.9260024950121642E-2</v>
      </c>
      <c r="K44" s="538">
        <f>IF(parameters!$C$27="B",'consumption scenario B'!K41,IF(parameters!$C$27="C",'consumption scenario C'!K41,'consumption scenario A'!K41))</f>
        <v>1.993060716497155E-2</v>
      </c>
      <c r="L44" s="538">
        <f>IF(parameters!$C$27="B",'consumption scenario B'!L41,IF(parameters!$C$27="C",'consumption scenario C'!L41,'consumption scenario A'!L41))</f>
        <v>2.2542748048831798E-2</v>
      </c>
      <c r="M44" s="449">
        <f>IF(parameters!$C$27="B",'consumption scenario B'!M41,IF(parameters!$C$27="C",'consumption scenario C'!M41,'consumption scenario A'!M41))</f>
        <v>1.6021667371164956E-2</v>
      </c>
      <c r="N44" s="66">
        <f>IF(parameters!$C$27="B",'consumption scenario B'!N41,IF(parameters!$C$27="C",'consumption scenario C'!N41,'consumption scenario A'!N41))</f>
        <v>1.5846990168191261E-2</v>
      </c>
      <c r="O44" s="66">
        <f>IF(parameters!$C$27="B",'consumption scenario B'!O41,IF(parameters!$C$27="C",'consumption scenario C'!O41,'consumption scenario A'!O41))</f>
        <v>1.5784325978584965E-2</v>
      </c>
      <c r="P44" s="66">
        <f>IF(parameters!$C$27="B",'consumption scenario B'!P41,IF(parameters!$C$27="C",'consumption scenario C'!P41,'consumption scenario A'!P41))</f>
        <v>1.6598719308774202E-2</v>
      </c>
      <c r="Q44" s="66">
        <f>IF(parameters!$C$27="B",'consumption scenario B'!Q41,IF(parameters!$C$27="C",'consumption scenario C'!Q41,'consumption scenario A'!Q41))</f>
        <v>1.6664429776628509E-2</v>
      </c>
      <c r="R44" s="66">
        <f>IF(parameters!$C$27="B",'consumption scenario B'!R41,IF(parameters!$C$27="C",'consumption scenario C'!R41,'consumption scenario A'!R41))</f>
        <v>1.6730577331595949E-2</v>
      </c>
      <c r="S44" s="66">
        <f>IF(parameters!$C$27="B",'consumption scenario B'!S41,IF(parameters!$C$27="C",'consumption scenario C'!S41,'consumption scenario A'!S41))</f>
        <v>1.6803403385477683E-2</v>
      </c>
      <c r="T44" s="66">
        <f>IF(parameters!$C$27="B",'consumption scenario B'!T41,IF(parameters!$C$27="C",'consumption scenario C'!T41,'consumption scenario A'!T41))</f>
        <v>1.6873169225966198E-2</v>
      </c>
      <c r="U44" s="66">
        <f>IF(parameters!$C$27="B",'consumption scenario B'!U41,IF(parameters!$C$27="C",'consumption scenario C'!U41,'consumption scenario A'!U41))</f>
        <v>1.6795882607752961E-2</v>
      </c>
      <c r="V44" s="66">
        <f>IF(parameters!$C$27="B",'consumption scenario B'!V41,IF(parameters!$C$27="C",'consumption scenario C'!V41,'consumption scenario A'!V41))</f>
        <v>1.7021486125873009E-2</v>
      </c>
      <c r="W44" s="66">
        <f>IF(parameters!$C$27="B",'consumption scenario B'!W41,IF(parameters!$C$27="C",'consumption scenario C'!W41,'consumption scenario A'!W41))</f>
        <v>1.695205730516075E-2</v>
      </c>
      <c r="X44" s="66">
        <f>IF(parameters!$C$27="B",'consumption scenario B'!X41,IF(parameters!$C$27="C",'consumption scenario C'!X41,'consumption scenario A'!X41))</f>
        <v>1.7024405319755659E-2</v>
      </c>
      <c r="Y44" s="66">
        <f>IF(parameters!$C$27="B",'consumption scenario B'!Y41,IF(parameters!$C$27="C",'consumption scenario C'!Y41,'consumption scenario A'!Y41))</f>
        <v>1.7193135986164357E-2</v>
      </c>
      <c r="Z44" s="66">
        <f>IF(parameters!$C$27="B",'consumption scenario B'!Z41,IF(parameters!$C$27="C",'consumption scenario C'!Z41,'consumption scenario A'!Z41))</f>
        <v>1.7260884196344136E-2</v>
      </c>
      <c r="AA44" s="66">
        <f>IF(parameters!$C$27="B",'consumption scenario B'!AA41,IF(parameters!$C$27="C",'consumption scenario C'!AA41,'consumption scenario A'!AA41))</f>
        <v>1.7342071535367119E-2</v>
      </c>
      <c r="AB44" s="66">
        <f>IF(parameters!$C$27="B",'consumption scenario B'!AB41,IF(parameters!$C$27="C",'consumption scenario C'!AB41,'consumption scenario A'!AB41))</f>
        <v>1.7305820781493154E-2</v>
      </c>
      <c r="AC44" s="66">
        <f>IF(parameters!$C$27="B",'consumption scenario B'!AC41,IF(parameters!$C$27="C",'consumption scenario C'!AC41,'consumption scenario A'!AC41))</f>
        <v>1.7396469807169281E-2</v>
      </c>
      <c r="AD44" s="66">
        <f>IF(parameters!$C$27="B",'consumption scenario B'!AD41,IF(parameters!$C$27="C",'consumption scenario C'!AD41,'consumption scenario A'!AD41))</f>
        <v>1.7386673533034105E-2</v>
      </c>
      <c r="AE44" s="66">
        <f>IF(parameters!$C$27="B",'consumption scenario B'!AE41,IF(parameters!$C$27="C",'consumption scenario C'!AE41,'consumption scenario A'!AE41))</f>
        <v>1.7465542262731122E-2</v>
      </c>
      <c r="AF44" s="66">
        <f>IF(parameters!$C$27="B",'consumption scenario B'!AF41,IF(parameters!$C$27="C",'consumption scenario C'!AF41,'consumption scenario A'!AF41))</f>
        <v>1.7537213501070043E-2</v>
      </c>
      <c r="AG44" s="66">
        <f>IF(parameters!$C$27="B",'consumption scenario B'!AG41,IF(parameters!$C$27="C",'consumption scenario C'!AG41,'consumption scenario A'!AG41))</f>
        <v>1.7576631229017127E-2</v>
      </c>
      <c r="AH44" s="66">
        <f>IF(parameters!$C$27="B",'consumption scenario B'!AH41,IF(parameters!$C$27="C",'consumption scenario C'!AH41,'consumption scenario A'!AH41))</f>
        <v>1.7615031012865993E-2</v>
      </c>
      <c r="AI44" s="66">
        <f>IF(parameters!$C$27="B",'consumption scenario B'!AI41,IF(parameters!$C$27="C",'consumption scenario C'!AI41,'consumption scenario A'!AI41))</f>
        <v>1.7654156681392134E-2</v>
      </c>
      <c r="AJ44" s="66">
        <f>IF(parameters!$C$27="B",'consumption scenario B'!AJ41,IF(parameters!$C$27="C",'consumption scenario C'!AJ41,'consumption scenario A'!AJ41))</f>
        <v>1.7693417246214416E-2</v>
      </c>
      <c r="AK44" s="66">
        <f>IF(parameters!$C$27="B",'consumption scenario B'!AK41,IF(parameters!$C$27="C",'consumption scenario C'!AK41,'consumption scenario A'!AK41))</f>
        <v>1.7617627130591864E-2</v>
      </c>
    </row>
    <row r="45" spans="1:37">
      <c r="A45" s="57" t="s">
        <v>67</v>
      </c>
      <c r="B45" s="66">
        <f>IF(parameters!$C$27="B",'consumption scenario B'!B42,IF(parameters!$C$27="C",'consumption scenario C'!B42,'consumption scenario A'!B42))</f>
        <v>5.3688384227431947E-2</v>
      </c>
      <c r="C45" s="66">
        <f>IF(parameters!$C$27="B",'consumption scenario B'!C42,IF(parameters!$C$27="C",'consumption scenario C'!C42,'consumption scenario A'!C42))</f>
        <v>5.4582850634487125E-2</v>
      </c>
      <c r="D45" s="66">
        <f>IF(parameters!$C$27="B",'consumption scenario B'!D42,IF(parameters!$C$27="C",'consumption scenario C'!D42,'consumption scenario A'!D42))</f>
        <v>5.6102381328335907E-2</v>
      </c>
      <c r="E45" s="66">
        <f>IF(parameters!$C$27="B",'consumption scenario B'!E42,IF(parameters!$C$27="C",'consumption scenario C'!E42,'consumption scenario A'!E42))</f>
        <v>5.0265855226827437E-2</v>
      </c>
      <c r="F45" s="66">
        <f>IF(parameters!$C$27="B",'consumption scenario B'!F42,IF(parameters!$C$27="C",'consumption scenario C'!F42,'consumption scenario A'!F42))</f>
        <v>5.0253884754425514E-2</v>
      </c>
      <c r="G45" s="66">
        <f>IF(parameters!$C$27="B",'consumption scenario B'!G42,IF(parameters!$C$27="C",'consumption scenario C'!G42,'consumption scenario A'!G42))</f>
        <v>5.3367128384495741E-2</v>
      </c>
      <c r="H45" s="66">
        <f>IF(parameters!$C$27="B",'consumption scenario B'!H42,IF(parameters!$C$27="C",'consumption scenario C'!H42,'consumption scenario A'!H42))</f>
        <v>5.7006151994681342E-2</v>
      </c>
      <c r="I45" s="66">
        <f>IF(parameters!$C$27="B",'consumption scenario B'!I42,IF(parameters!$C$27="C",'consumption scenario C'!I42,'consumption scenario A'!I42))</f>
        <v>5.7550348086184304E-2</v>
      </c>
      <c r="J45" s="66">
        <f>IF(parameters!$C$27="B",'consumption scenario B'!J42,IF(parameters!$C$27="C",'consumption scenario C'!J42,'consumption scenario A'!J42))</f>
        <v>5.8931556440252726E-2</v>
      </c>
      <c r="K45" s="538">
        <f>IF(parameters!$C$27="B",'consumption scenario B'!K42,IF(parameters!$C$27="C",'consumption scenario C'!K42,'consumption scenario A'!K42))</f>
        <v>6.2370304839098417E-2</v>
      </c>
      <c r="L45" s="538">
        <f>IF(parameters!$C$27="B",'consumption scenario B'!L42,IF(parameters!$C$27="C",'consumption scenario C'!L42,'consumption scenario A'!L42))</f>
        <v>5.8454579155314428E-2</v>
      </c>
      <c r="M45" s="449">
        <f>IF(parameters!$C$27="B",'consumption scenario B'!M42,IF(parameters!$C$27="C",'consumption scenario C'!M42,'consumption scenario A'!M42))</f>
        <v>0</v>
      </c>
      <c r="N45" s="66">
        <f>IF(parameters!$C$27="B",'consumption scenario B'!N42,IF(parameters!$C$27="C",'consumption scenario C'!N42,'consumption scenario A'!N42))</f>
        <v>0</v>
      </c>
      <c r="O45" s="66">
        <f>IF(parameters!$C$27="B",'consumption scenario B'!O42,IF(parameters!$C$27="C",'consumption scenario C'!O42,'consumption scenario A'!O42))</f>
        <v>0</v>
      </c>
      <c r="P45" s="66">
        <f>IF(parameters!$C$27="B",'consumption scenario B'!P42,IF(parameters!$C$27="C",'consumption scenario C'!P42,'consumption scenario A'!P42))</f>
        <v>0</v>
      </c>
      <c r="Q45" s="66">
        <f>IF(parameters!$C$27="B",'consumption scenario B'!Q42,IF(parameters!$C$27="C",'consumption scenario C'!Q42,'consumption scenario A'!Q42))</f>
        <v>0</v>
      </c>
      <c r="R45" s="66">
        <f>IF(parameters!$C$27="B",'consumption scenario B'!R42,IF(parameters!$C$27="C",'consumption scenario C'!R42,'consumption scenario A'!R42))</f>
        <v>0</v>
      </c>
      <c r="S45" s="66">
        <f>IF(parameters!$C$27="B",'consumption scenario B'!S42,IF(parameters!$C$27="C",'consumption scenario C'!S42,'consumption scenario A'!S42))</f>
        <v>0</v>
      </c>
      <c r="T45" s="66">
        <f>IF(parameters!$C$27="B",'consumption scenario B'!T42,IF(parameters!$C$27="C",'consumption scenario C'!T42,'consumption scenario A'!T42))</f>
        <v>0</v>
      </c>
      <c r="U45" s="66">
        <f>IF(parameters!$C$27="B",'consumption scenario B'!U42,IF(parameters!$C$27="C",'consumption scenario C'!U42,'consumption scenario A'!U42))</f>
        <v>0</v>
      </c>
      <c r="V45" s="66">
        <f>IF(parameters!$C$27="B",'consumption scenario B'!V42,IF(parameters!$C$27="C",'consumption scenario C'!V42,'consumption scenario A'!V42))</f>
        <v>0</v>
      </c>
      <c r="W45" s="66">
        <f>IF(parameters!$C$27="B",'consumption scenario B'!W42,IF(parameters!$C$27="C",'consumption scenario C'!W42,'consumption scenario A'!W42))</f>
        <v>0</v>
      </c>
      <c r="X45" s="66">
        <f>IF(parameters!$C$27="B",'consumption scenario B'!X42,IF(parameters!$C$27="C",'consumption scenario C'!X42,'consumption scenario A'!X42))</f>
        <v>0</v>
      </c>
      <c r="Y45" s="66">
        <f>IF(parameters!$C$27="B",'consumption scenario B'!Y42,IF(parameters!$C$27="C",'consumption scenario C'!Y42,'consumption scenario A'!Y42))</f>
        <v>0</v>
      </c>
      <c r="Z45" s="66">
        <f>IF(parameters!$C$27="B",'consumption scenario B'!Z42,IF(parameters!$C$27="C",'consumption scenario C'!Z42,'consumption scenario A'!Z42))</f>
        <v>0</v>
      </c>
      <c r="AA45" s="66">
        <f>IF(parameters!$C$27="B",'consumption scenario B'!AA42,IF(parameters!$C$27="C",'consumption scenario C'!AA42,'consumption scenario A'!AA42))</f>
        <v>0</v>
      </c>
      <c r="AB45" s="66">
        <f>IF(parameters!$C$27="B",'consumption scenario B'!AB42,IF(parameters!$C$27="C",'consumption scenario C'!AB42,'consumption scenario A'!AB42))</f>
        <v>0</v>
      </c>
      <c r="AC45" s="66">
        <f>IF(parameters!$C$27="B",'consumption scenario B'!AC42,IF(parameters!$C$27="C",'consumption scenario C'!AC42,'consumption scenario A'!AC42))</f>
        <v>0</v>
      </c>
      <c r="AD45" s="66">
        <f>IF(parameters!$C$27="B",'consumption scenario B'!AD42,IF(parameters!$C$27="C",'consumption scenario C'!AD42,'consumption scenario A'!AD42))</f>
        <v>0</v>
      </c>
      <c r="AE45" s="66">
        <f>IF(parameters!$C$27="B",'consumption scenario B'!AE42,IF(parameters!$C$27="C",'consumption scenario C'!AE42,'consumption scenario A'!AE42))</f>
        <v>0</v>
      </c>
      <c r="AF45" s="66">
        <f>IF(parameters!$C$27="B",'consumption scenario B'!AF42,IF(parameters!$C$27="C",'consumption scenario C'!AF42,'consumption scenario A'!AF42))</f>
        <v>0</v>
      </c>
      <c r="AG45" s="66">
        <f>IF(parameters!$C$27="B",'consumption scenario B'!AG42,IF(parameters!$C$27="C",'consumption scenario C'!AG42,'consumption scenario A'!AG42))</f>
        <v>0</v>
      </c>
      <c r="AH45" s="66">
        <f>IF(parameters!$C$27="B",'consumption scenario B'!AH42,IF(parameters!$C$27="C",'consumption scenario C'!AH42,'consumption scenario A'!AH42))</f>
        <v>0</v>
      </c>
      <c r="AI45" s="66">
        <f>IF(parameters!$C$27="B",'consumption scenario B'!AI42,IF(parameters!$C$27="C",'consumption scenario C'!AI42,'consumption scenario A'!AI42))</f>
        <v>0</v>
      </c>
      <c r="AJ45" s="66">
        <f>IF(parameters!$C$27="B",'consumption scenario B'!AJ42,IF(parameters!$C$27="C",'consumption scenario C'!AJ42,'consumption scenario A'!AJ42))</f>
        <v>0</v>
      </c>
      <c r="AK45" s="66">
        <f>IF(parameters!$C$27="B",'consumption scenario B'!AK42,IF(parameters!$C$27="C",'consumption scenario C'!AK42,'consumption scenario A'!AK42))</f>
        <v>0</v>
      </c>
    </row>
    <row r="46" spans="1:37">
      <c r="A46" s="57" t="s">
        <v>27</v>
      </c>
      <c r="B46" s="66">
        <f>IF(parameters!$C$27="B",'consumption scenario B'!B43,IF(parameters!$C$27="C",'consumption scenario C'!B43,'consumption scenario A'!B43))</f>
        <v>7.5499011523687584E-2</v>
      </c>
      <c r="C46" s="66">
        <f>IF(parameters!$C$27="B",'consumption scenario B'!C43,IF(parameters!$C$27="C",'consumption scenario C'!C43,'consumption scenario A'!C43))</f>
        <v>7.5163093469910375E-2</v>
      </c>
      <c r="D46" s="66">
        <f>IF(parameters!$C$27="B",'consumption scenario B'!D43,IF(parameters!$C$27="C",'consumption scenario C'!D43,'consumption scenario A'!D43))</f>
        <v>7.085822620571916E-2</v>
      </c>
      <c r="E46" s="66">
        <f>IF(parameters!$C$27="B",'consumption scenario B'!E43,IF(parameters!$C$27="C",'consumption scenario C'!E43,'consumption scenario A'!E43))</f>
        <v>7.2103067861715761E-2</v>
      </c>
      <c r="F46" s="66">
        <f>IF(parameters!$C$27="B",'consumption scenario B'!F43,IF(parameters!$C$27="C",'consumption scenario C'!F43,'consumption scenario A'!F43))</f>
        <v>7.979690994451559E-2</v>
      </c>
      <c r="G46" s="66">
        <f>IF(parameters!$C$27="B",'consumption scenario B'!G43,IF(parameters!$C$27="C",'consumption scenario C'!G43,'consumption scenario A'!G43))</f>
        <v>9.0935771233461374E-2</v>
      </c>
      <c r="H46" s="66">
        <f>IF(parameters!$C$27="B",'consumption scenario B'!H43,IF(parameters!$C$27="C",'consumption scenario C'!H43,'consumption scenario A'!H43))</f>
        <v>9.5374432778489129E-2</v>
      </c>
      <c r="I46" s="66">
        <f>IF(parameters!$C$27="B",'consumption scenario B'!I43,IF(parameters!$C$27="C",'consumption scenario C'!I43,'consumption scenario A'!I43))</f>
        <v>9.4166125480153656E-2</v>
      </c>
      <c r="J46" s="66">
        <f>IF(parameters!$C$27="B",'consumption scenario B'!J43,IF(parameters!$C$27="C",'consumption scenario C'!J43,'consumption scenario A'!J43))</f>
        <v>9.4166125480153656E-2</v>
      </c>
      <c r="K46" s="538">
        <f>IF(parameters!$C$27="B",'consumption scenario B'!K43,IF(parameters!$C$27="C",'consumption scenario C'!K43,'consumption scenario A'!K43))</f>
        <v>9.2990613743064443E-2</v>
      </c>
      <c r="L46" s="538">
        <f>IF(parameters!$C$27="B",'consumption scenario B'!L43,IF(parameters!$C$27="C",'consumption scenario C'!L43,'consumption scenario A'!L43))</f>
        <v>9.3353380281690171E-2</v>
      </c>
      <c r="M46" s="449">
        <f>IF(parameters!$C$27="B",'consumption scenario B'!M43,IF(parameters!$C$27="C",'consumption scenario C'!M43,'consumption scenario A'!M43))</f>
        <v>9.7945154075970986E-2</v>
      </c>
      <c r="N46" s="404">
        <f>IF(parameters!$C$27="B",'consumption scenario B'!N43,IF(parameters!$C$27="C",'consumption scenario C'!N43,'consumption scenario A'!N83))</f>
        <v>7.3349520635301757E-2</v>
      </c>
      <c r="O46" s="66">
        <f>IF(parameters!$C$27="B",'consumption scenario B'!O43,IF(parameters!$C$27="C",'consumption scenario C'!O43,'consumption scenario A'!O83))</f>
        <v>7.6022063870470336E-2</v>
      </c>
      <c r="P46" s="66">
        <f>IF(parameters!$C$27="B",'consumption scenario B'!P43,IF(parameters!$C$27="C",'consumption scenario C'!P43,'consumption scenario A'!P83))</f>
        <v>7.6752025458178413E-2</v>
      </c>
      <c r="Q46" s="66">
        <f>IF(parameters!$C$27="B",'consumption scenario B'!Q43,IF(parameters!$C$27="C",'consumption scenario C'!Q43,'consumption scenario A'!Q83))</f>
        <v>7.7126403264409726E-2</v>
      </c>
      <c r="R46" s="66">
        <f>IF(parameters!$C$27="B",'consumption scenario B'!R43,IF(parameters!$C$27="C",'consumption scenario C'!R43,'consumption scenario A'!R43))</f>
        <v>7.7667531049300867E-2</v>
      </c>
      <c r="S46" s="66">
        <f>IF(parameters!$C$27="B",'consumption scenario B'!S43,IF(parameters!$C$27="C",'consumption scenario C'!S43,'consumption scenario A'!S43))</f>
        <v>7.8198788753099435E-2</v>
      </c>
      <c r="T46" s="66">
        <f>IF(parameters!$C$27="B",'consumption scenario B'!T43,IF(parameters!$C$27="C",'consumption scenario C'!T43,'consumption scenario A'!T43))</f>
        <v>7.8785154950282557E-2</v>
      </c>
      <c r="U46" s="66">
        <f>IF(parameters!$C$27="B",'consumption scenario B'!U43,IF(parameters!$C$27="C",'consumption scenario C'!U43,'consumption scenario A'!U43))</f>
        <v>7.9442426141063602E-2</v>
      </c>
      <c r="V46" s="66">
        <f>IF(parameters!$C$27="B",'consumption scenario B'!V43,IF(parameters!$C$27="C",'consumption scenario C'!V43,'consumption scenario A'!V43))</f>
        <v>8.0167909367696105E-2</v>
      </c>
      <c r="W46" s="66">
        <f>IF(parameters!$C$27="B",'consumption scenario B'!W43,IF(parameters!$C$27="C",'consumption scenario C'!W43,'consumption scenario A'!W43))</f>
        <v>8.0897593021131892E-2</v>
      </c>
      <c r="X46" s="66">
        <f>IF(parameters!$C$27="B",'consumption scenario B'!X43,IF(parameters!$C$27="C",'consumption scenario C'!X43,'consumption scenario A'!X43))</f>
        <v>8.1679270870043535E-2</v>
      </c>
      <c r="Y46" s="66">
        <f>IF(parameters!$C$27="B",'consumption scenario B'!Y43,IF(parameters!$C$27="C",'consumption scenario C'!Y43,'consumption scenario A'!Y43))</f>
        <v>8.2424902624204877E-2</v>
      </c>
      <c r="Z46" s="66">
        <f>IF(parameters!$C$27="B",'consumption scenario B'!Z43,IF(parameters!$C$27="C",'consumption scenario C'!Z43,'consumption scenario A'!Z43))</f>
        <v>8.3391899465860869E-2</v>
      </c>
      <c r="AA46" s="66">
        <f>IF(parameters!$C$27="B",'consumption scenario B'!AA43,IF(parameters!$C$27="C",'consumption scenario C'!AA43,'consumption scenario A'!AA43))</f>
        <v>8.4586700660909953E-2</v>
      </c>
      <c r="AB46" s="66">
        <f>IF(parameters!$C$27="B",'consumption scenario B'!AB43,IF(parameters!$C$27="C",'consumption scenario C'!AB43,'consumption scenario A'!AB43))</f>
        <v>8.4860235445374313E-2</v>
      </c>
      <c r="AC46" s="66">
        <f>IF(parameters!$C$27="B",'consumption scenario B'!AC43,IF(parameters!$C$27="C",'consumption scenario C'!AC43,'consumption scenario A'!AC43))</f>
        <v>8.6125154608839974E-2</v>
      </c>
      <c r="AD46" s="66">
        <f>IF(parameters!$C$27="B",'consumption scenario B'!AD43,IF(parameters!$C$27="C",'consumption scenario C'!AD43,'consumption scenario A'!AD43))</f>
        <v>8.7401336939185684E-2</v>
      </c>
      <c r="AE46" s="66">
        <f>IF(parameters!$C$27="B",'consumption scenario B'!AE43,IF(parameters!$C$27="C",'consumption scenario C'!AE43,'consumption scenario A'!AE43))</f>
        <v>8.8691843127832709E-2</v>
      </c>
      <c r="AF46" s="66">
        <f>IF(parameters!$C$27="B",'consumption scenario B'!AF43,IF(parameters!$C$27="C",'consumption scenario C'!AF43,'consumption scenario A'!AF43))</f>
        <v>9.0064827165391381E-2</v>
      </c>
      <c r="AG46" s="66">
        <f>IF(parameters!$C$27="B",'consumption scenario B'!AG43,IF(parameters!$C$27="C",'consumption scenario C'!AG43,'consumption scenario A'!AG43))</f>
        <v>9.132144104503255E-2</v>
      </c>
      <c r="AH46" s="66">
        <f>IF(parameters!$C$27="B",'consumption scenario B'!AH43,IF(parameters!$C$27="C",'consumption scenario C'!AH43,'consumption scenario A'!AH43))</f>
        <v>9.2619028240935181E-2</v>
      </c>
      <c r="AI46" s="66">
        <f>IF(parameters!$C$27="B",'consumption scenario B'!AI43,IF(parameters!$C$27="C",'consumption scenario C'!AI43,'consumption scenario A'!AI43))</f>
        <v>9.3916615436837797E-2</v>
      </c>
      <c r="AJ46" s="66">
        <f>IF(parameters!$C$27="B",'consumption scenario B'!AJ43,IF(parameters!$C$27="C",'consumption scenario C'!AJ43,'consumption scenario A'!AJ43))</f>
        <v>9.5214202632740816E-2</v>
      </c>
      <c r="AK46" s="66">
        <f>IF(parameters!$C$27="B",'consumption scenario B'!AK43,IF(parameters!$C$27="C",'consumption scenario C'!AK43,'consumption scenario A'!AK43))</f>
        <v>9.6511789828643446E-2</v>
      </c>
    </row>
    <row r="47" spans="1:37">
      <c r="A47" s="57" t="s">
        <v>4</v>
      </c>
      <c r="B47" s="85">
        <f>SUM(B29:B37,B43:B46)</f>
        <v>0.34549679102811737</v>
      </c>
      <c r="C47" s="85">
        <f t="shared" ref="C47:AK47" si="3">SUM(C29:C37,C43:C46)</f>
        <v>0.34461566326519788</v>
      </c>
      <c r="D47" s="85">
        <f t="shared" si="3"/>
        <v>0.32235835942727931</v>
      </c>
      <c r="E47" s="85">
        <f t="shared" si="3"/>
        <v>0.31452169903080485</v>
      </c>
      <c r="F47" s="85">
        <f t="shared" si="3"/>
        <v>0.30212851686658904</v>
      </c>
      <c r="G47" s="85">
        <f t="shared" si="3"/>
        <v>0.33677479495763413</v>
      </c>
      <c r="H47" s="85">
        <f>SUM(H29:H37,H43:H46)</f>
        <v>0.33320283774262022</v>
      </c>
      <c r="I47" s="85">
        <f t="shared" si="3"/>
        <v>0.3400981600766203</v>
      </c>
      <c r="J47" s="85">
        <f t="shared" si="3"/>
        <v>0.35421933970967101</v>
      </c>
      <c r="K47" s="85">
        <f>SUM(K29:K37,K43:K46)</f>
        <v>0.35491789095410103</v>
      </c>
      <c r="L47" s="85">
        <f t="shared" si="3"/>
        <v>0.34718519367787209</v>
      </c>
      <c r="M47" s="375">
        <f>SUM(M29:M37,M43:M46)</f>
        <v>0.30652894336267972</v>
      </c>
      <c r="N47" s="85">
        <f t="shared" si="3"/>
        <v>0.28442826973324209</v>
      </c>
      <c r="O47" s="85">
        <f t="shared" si="3"/>
        <v>0.29557490871672543</v>
      </c>
      <c r="P47" s="85">
        <f t="shared" si="3"/>
        <v>0.30238071791264753</v>
      </c>
      <c r="Q47" s="85">
        <f t="shared" si="3"/>
        <v>0.30458967201864406</v>
      </c>
      <c r="R47" s="85">
        <f t="shared" si="3"/>
        <v>0.30603195540251382</v>
      </c>
      <c r="S47" s="85">
        <f t="shared" si="3"/>
        <v>0.30883793346834909</v>
      </c>
      <c r="T47" s="85">
        <f t="shared" si="3"/>
        <v>0.31167267506224722</v>
      </c>
      <c r="U47" s="85">
        <f t="shared" si="3"/>
        <v>0.31361201154862661</v>
      </c>
      <c r="V47" s="85">
        <f t="shared" si="3"/>
        <v>0.31572304797525197</v>
      </c>
      <c r="W47" s="85">
        <f t="shared" si="3"/>
        <v>0.31690956842083273</v>
      </c>
      <c r="X47" s="85">
        <f t="shared" si="3"/>
        <v>0.3199992559625644</v>
      </c>
      <c r="Y47" s="85">
        <f t="shared" si="3"/>
        <v>0.32301480975980457</v>
      </c>
      <c r="Z47" s="85">
        <f t="shared" si="3"/>
        <v>0.32591260932758714</v>
      </c>
      <c r="AA47" s="85">
        <f t="shared" si="3"/>
        <v>0.32896497229339561</v>
      </c>
      <c r="AB47" s="85">
        <f t="shared" si="3"/>
        <v>0.33220142997175489</v>
      </c>
      <c r="AC47" s="85">
        <f t="shared" si="3"/>
        <v>0.3352994465260461</v>
      </c>
      <c r="AD47" s="85">
        <f t="shared" si="3"/>
        <v>0.33856415627033454</v>
      </c>
      <c r="AE47" s="85">
        <f t="shared" si="3"/>
        <v>0.34217590546984333</v>
      </c>
      <c r="AF47" s="85">
        <f t="shared" si="3"/>
        <v>0.34618338848649438</v>
      </c>
      <c r="AG47" s="85">
        <f t="shared" si="3"/>
        <v>0.34938588337815574</v>
      </c>
      <c r="AH47" s="85">
        <f t="shared" si="3"/>
        <v>0.35309757965089383</v>
      </c>
      <c r="AI47" s="85">
        <f t="shared" si="3"/>
        <v>0.35723446210971577</v>
      </c>
      <c r="AJ47" s="85">
        <f t="shared" si="3"/>
        <v>0.36086791373659677</v>
      </c>
      <c r="AK47" s="85">
        <f t="shared" si="3"/>
        <v>0.3645732272537025</v>
      </c>
    </row>
    <row r="48" spans="1:37">
      <c r="A48" s="579" t="s">
        <v>1113</v>
      </c>
      <c r="B48" s="371">
        <v>6.8900000000000003E-2</v>
      </c>
      <c r="C48" s="371">
        <v>7.2900000000000006E-2</v>
      </c>
      <c r="D48" s="371">
        <v>7.5399999999999995E-2</v>
      </c>
      <c r="E48" s="371">
        <v>7.8E-2</v>
      </c>
      <c r="F48" s="371">
        <v>7.3400000000000007E-2</v>
      </c>
      <c r="G48" s="371">
        <v>7.3599999999999999E-2</v>
      </c>
      <c r="H48" s="371">
        <v>7.85E-2</v>
      </c>
      <c r="I48" s="371">
        <v>8.0500000000000002E-2</v>
      </c>
      <c r="J48" s="371">
        <v>8.3570000000000005E-2</v>
      </c>
      <c r="K48" s="371">
        <v>8.3000000000000004E-2</v>
      </c>
      <c r="L48" s="371">
        <v>8.1470000000000001E-2</v>
      </c>
      <c r="M48" s="751"/>
      <c r="N48" s="60"/>
      <c r="O48" s="60"/>
      <c r="P48" s="60"/>
      <c r="Q48" s="60"/>
      <c r="R48" s="60"/>
      <c r="S48" s="60"/>
      <c r="T48" s="60"/>
      <c r="U48" s="60"/>
      <c r="V48" s="60"/>
      <c r="W48" s="60"/>
      <c r="X48" s="60"/>
      <c r="Y48" s="60"/>
      <c r="Z48" s="60"/>
      <c r="AA48" s="60"/>
      <c r="AB48" s="60"/>
      <c r="AC48" s="60"/>
      <c r="AD48" s="60"/>
      <c r="AE48" s="60"/>
      <c r="AF48" s="60"/>
    </row>
    <row r="49" spans="1:37" ht="17.850000000000001" customHeight="1">
      <c r="A49" s="57" t="s">
        <v>38</v>
      </c>
      <c r="B49" s="57">
        <f>B6</f>
        <v>2005</v>
      </c>
      <c r="C49" s="321">
        <f t="shared" ref="C49:AK49" si="4">C6</f>
        <v>2006</v>
      </c>
      <c r="D49" s="321">
        <f t="shared" si="4"/>
        <v>2007</v>
      </c>
      <c r="E49" s="321">
        <f t="shared" si="4"/>
        <v>2008</v>
      </c>
      <c r="F49" s="321">
        <f t="shared" si="4"/>
        <v>2009</v>
      </c>
      <c r="G49" s="321">
        <f t="shared" si="4"/>
        <v>2010</v>
      </c>
      <c r="H49" s="321">
        <f t="shared" si="4"/>
        <v>2011</v>
      </c>
      <c r="I49" s="321">
        <f t="shared" si="4"/>
        <v>2012</v>
      </c>
      <c r="J49" s="321">
        <f t="shared" si="4"/>
        <v>2013</v>
      </c>
      <c r="K49" s="2">
        <f t="shared" si="4"/>
        <v>2014</v>
      </c>
      <c r="L49" s="2">
        <f t="shared" si="4"/>
        <v>2015</v>
      </c>
      <c r="M49" s="18">
        <f t="shared" si="4"/>
        <v>2016</v>
      </c>
      <c r="N49" s="321">
        <f t="shared" si="4"/>
        <v>2017</v>
      </c>
      <c r="O49" s="321">
        <f t="shared" si="4"/>
        <v>2018</v>
      </c>
      <c r="P49" s="321">
        <f t="shared" si="4"/>
        <v>2019</v>
      </c>
      <c r="Q49" s="321">
        <f t="shared" si="4"/>
        <v>2020</v>
      </c>
      <c r="R49" s="321">
        <f t="shared" si="4"/>
        <v>2021</v>
      </c>
      <c r="S49" s="321">
        <f t="shared" si="4"/>
        <v>2022</v>
      </c>
      <c r="T49" s="321">
        <f t="shared" si="4"/>
        <v>2023</v>
      </c>
      <c r="U49" s="321">
        <f t="shared" si="4"/>
        <v>2024</v>
      </c>
      <c r="V49" s="321">
        <f t="shared" si="4"/>
        <v>2025</v>
      </c>
      <c r="W49" s="321">
        <f t="shared" si="4"/>
        <v>2026</v>
      </c>
      <c r="X49" s="321">
        <f t="shared" si="4"/>
        <v>2027</v>
      </c>
      <c r="Y49" s="321">
        <f t="shared" si="4"/>
        <v>2028</v>
      </c>
      <c r="Z49" s="321">
        <f t="shared" si="4"/>
        <v>2029</v>
      </c>
      <c r="AA49" s="321">
        <f t="shared" si="4"/>
        <v>2030</v>
      </c>
      <c r="AB49" s="321">
        <f t="shared" si="4"/>
        <v>2031</v>
      </c>
      <c r="AC49" s="321">
        <f t="shared" si="4"/>
        <v>2032</v>
      </c>
      <c r="AD49" s="321">
        <f t="shared" si="4"/>
        <v>2033</v>
      </c>
      <c r="AE49" s="321">
        <f t="shared" si="4"/>
        <v>2034</v>
      </c>
      <c r="AF49" s="321">
        <f t="shared" si="4"/>
        <v>2035</v>
      </c>
      <c r="AG49" s="321">
        <f t="shared" si="4"/>
        <v>2036</v>
      </c>
      <c r="AH49" s="321">
        <f t="shared" si="4"/>
        <v>2037</v>
      </c>
      <c r="AI49" s="321">
        <f t="shared" si="4"/>
        <v>2038</v>
      </c>
      <c r="AJ49" s="321">
        <f t="shared" si="4"/>
        <v>2039</v>
      </c>
      <c r="AK49" s="321">
        <f t="shared" si="4"/>
        <v>2040</v>
      </c>
    </row>
    <row r="50" spans="1:37">
      <c r="A50" s="57" t="s">
        <v>24</v>
      </c>
      <c r="B50" s="115">
        <f>IF(parameters!$C$27="B",'consumption scenario B'!B46,IF(parameters!$C$27="C",'consumption scenario C'!B46,'consumption scenario A'!B46))</f>
        <v>4.2423761954981981E-4</v>
      </c>
      <c r="C50" s="66">
        <f>IF(parameters!$C$27="B",'consumption scenario B'!C46,IF(parameters!$C$27="C",'consumption scenario C'!C46,'consumption scenario A'!C46))</f>
        <v>6.351856816031574E-4</v>
      </c>
      <c r="D50" s="66">
        <f>IF(parameters!$C$27="B",'consumption scenario B'!D46,IF(parameters!$C$27="C",'consumption scenario C'!D46,'consumption scenario A'!D46))</f>
        <v>1.212686392762524E-3</v>
      </c>
      <c r="E50" s="66">
        <f>IF(parameters!$C$27="B",'consumption scenario B'!E46,IF(parameters!$C$27="C",'consumption scenario C'!E46,'consumption scenario A'!E46))</f>
        <v>8.6348350479425789E-4</v>
      </c>
      <c r="F50" s="66">
        <f>IF(parameters!$C$27="B",'consumption scenario B'!F46,IF(parameters!$C$27="C",'consumption scenario C'!F46,'consumption scenario A'!F46))</f>
        <v>1.6922451315234894E-3</v>
      </c>
      <c r="G50" s="66">
        <f>IF(parameters!$C$27="B",'consumption scenario B'!G46,IF(parameters!$C$27="C",'consumption scenario C'!G46,'consumption scenario A'!G46))</f>
        <v>1.4259779294476865E-3</v>
      </c>
      <c r="H50" s="66">
        <f>IF(parameters!$C$27="B",'consumption scenario B'!H46,IF(parameters!$C$27="C",'consumption scenario C'!H46,'consumption scenario A'!H46))</f>
        <v>1.7364907247149229E-3</v>
      </c>
      <c r="I50" s="66">
        <f>IF(parameters!$C$27="B",'consumption scenario B'!I46,IF(parameters!$C$27="C",'consumption scenario C'!I46,'consumption scenario A'!I46))</f>
        <v>1.5872858544012094E-3</v>
      </c>
      <c r="J50" s="66">
        <f>IF(parameters!$C$27="B",'consumption scenario B'!J46,IF(parameters!$C$27="C",'consumption scenario C'!J46,'consumption scenario A'!J46))</f>
        <v>1.3888751226010583E-3</v>
      </c>
      <c r="K50" s="538">
        <f>IF(parameters!$C$27="B",'consumption scenario B'!K46,IF(parameters!$C$27="C",'consumption scenario C'!K46,'consumption scenario A'!K46))</f>
        <v>3.1130643819443719E-4</v>
      </c>
      <c r="L50" s="538">
        <f>IF(parameters!$C$27="B",'consumption scenario B'!L46,IF(parameters!$C$27="C",'consumption scenario C'!L46,'consumption scenario A'!L46))</f>
        <v>3.3590936893765594E-4</v>
      </c>
      <c r="M50" s="449">
        <f>IF(parameters!$C$27="B",'consumption scenario B'!M46,IF(parameters!$C$27="C",'consumption scenario C'!M46,'consumption scenario A'!M46))</f>
        <v>1.491881664744835E-4</v>
      </c>
      <c r="N50" s="66">
        <f>IF(parameters!$C$27="B",'consumption scenario B'!N46,IF(parameters!$C$27="C",'consumption scenario C'!N46,'consumption scenario A'!N46))</f>
        <v>1.5697356446000264E-4</v>
      </c>
      <c r="O50" s="66">
        <f>IF(parameters!$C$27="B",'consumption scenario B'!O46,IF(parameters!$C$27="C",'consumption scenario C'!O46,'consumption scenario A'!O46))</f>
        <v>1.6732329834186614E-4</v>
      </c>
      <c r="P50" s="66">
        <f>IF(parameters!$C$27="B",'consumption scenario B'!P46,IF(parameters!$C$27="C",'consumption scenario C'!P46,'consumption scenario A'!P46))</f>
        <v>1.7558466947696451E-4</v>
      </c>
      <c r="Q50" s="66">
        <f>IF(parameters!$C$27="B",'consumption scenario B'!Q46,IF(parameters!$C$27="C",'consumption scenario C'!Q46,'consumption scenario A'!Q46))</f>
        <v>1.9297382064006825E-4</v>
      </c>
      <c r="R50" s="66">
        <f>IF(parameters!$C$27="B",'consumption scenario B'!R46,IF(parameters!$C$27="C",'consumption scenario C'!R46,'consumption scenario A'!R46))</f>
        <v>1.977478770074279E-4</v>
      </c>
      <c r="S50" s="66">
        <f>IF(parameters!$C$27="B",'consumption scenario B'!S46,IF(parameters!$C$27="C",'consumption scenario C'!S46,'consumption scenario A'!S46))</f>
        <v>1.9412527732358246E-4</v>
      </c>
      <c r="T50" s="66">
        <f>IF(parameters!$C$27="B",'consumption scenario B'!T46,IF(parameters!$C$27="C",'consumption scenario C'!T46,'consumption scenario A'!T46))</f>
        <v>1.9217200362959652E-4</v>
      </c>
      <c r="U50" s="66">
        <f>IF(parameters!$C$27="B",'consumption scenario B'!U46,IF(parameters!$C$27="C",'consumption scenario C'!U46,'consumption scenario A'!U46))</f>
        <v>1.9153865117420323E-4</v>
      </c>
      <c r="V50" s="66">
        <f>IF(parameters!$C$27="B",'consumption scenario B'!V46,IF(parameters!$C$27="C",'consumption scenario C'!V46,'consumption scenario A'!V46))</f>
        <v>1.8989069564679628E-4</v>
      </c>
      <c r="W50" s="66">
        <f>IF(parameters!$C$27="B",'consumption scenario B'!W46,IF(parameters!$C$27="C",'consumption scenario C'!W46,'consumption scenario A'!W46))</f>
        <v>1.9039661107947664E-4</v>
      </c>
      <c r="X50" s="66">
        <f>IF(parameters!$C$27="B",'consumption scenario B'!X46,IF(parameters!$C$27="C",'consumption scenario C'!X46,'consumption scenario A'!X46))</f>
        <v>1.9419361141182238E-4</v>
      </c>
      <c r="Y50" s="66">
        <f>IF(parameters!$C$27="B",'consumption scenario B'!Y46,IF(parameters!$C$27="C",'consumption scenario C'!Y46,'consumption scenario A'!Y46))</f>
        <v>1.9875164580928297E-4</v>
      </c>
      <c r="Z50" s="66">
        <f>IF(parameters!$C$27="B",'consumption scenario B'!Z46,IF(parameters!$C$27="C",'consumption scenario C'!Z46,'consumption scenario A'!Z46))</f>
        <v>2.0266920468615425E-4</v>
      </c>
      <c r="AA50" s="66">
        <f>IF(parameters!$C$27="B",'consumption scenario B'!AA46,IF(parameters!$C$27="C",'consumption scenario C'!AA46,'consumption scenario A'!AA46))</f>
        <v>2.0636235341348226E-4</v>
      </c>
      <c r="AB50" s="66">
        <f>IF(parameters!$C$27="B",'consumption scenario B'!AB46,IF(parameters!$C$27="C",'consumption scenario C'!AB46,'consumption scenario A'!AB46))</f>
        <v>2.1016047187724616E-4</v>
      </c>
      <c r="AC50" s="66">
        <f>IF(parameters!$C$27="B",'consumption scenario B'!AC46,IF(parameters!$C$27="C",'consumption scenario C'!AC46,'consumption scenario A'!AC46))</f>
        <v>2.1309993899097762E-4</v>
      </c>
      <c r="AD50" s="66">
        <f>IF(parameters!$C$27="B",'consumption scenario B'!AD46,IF(parameters!$C$27="C",'consumption scenario C'!AD46,'consumption scenario A'!AD46))</f>
        <v>2.1578770551045393E-4</v>
      </c>
      <c r="AE50" s="66">
        <f>IF(parameters!$C$27="B",'consumption scenario B'!AE46,IF(parameters!$C$27="C",'consumption scenario C'!AE46,'consumption scenario A'!AE46))</f>
        <v>2.1917642516436646E-4</v>
      </c>
      <c r="AF50" s="66">
        <f>IF(parameters!$C$27="B",'consumption scenario B'!AF46,IF(parameters!$C$27="C",'consumption scenario C'!AF46,'consumption scenario A'!AF46))</f>
        <v>2.2214917593523385E-4</v>
      </c>
      <c r="AG50" s="66">
        <f>IF(parameters!$C$27="B",'consumption scenario B'!AG46,IF(parameters!$C$27="C",'consumption scenario C'!AG46,'consumption scenario A'!AG46))</f>
        <v>2.2535008144127311E-4</v>
      </c>
      <c r="AH50" s="66">
        <f>IF(parameters!$C$27="B",'consumption scenario B'!AH46,IF(parameters!$C$27="C",'consumption scenario C'!AH46,'consumption scenario A'!AH46))</f>
        <v>2.3114306675682214E-4</v>
      </c>
      <c r="AI50" s="66">
        <f>IF(parameters!$C$27="B",'consumption scenario B'!AI46,IF(parameters!$C$27="C",'consumption scenario C'!AI46,'consumption scenario A'!AI46))</f>
        <v>2.3436896097649422E-4</v>
      </c>
      <c r="AJ50" s="66">
        <f>IF(parameters!$C$27="B",'consumption scenario B'!AJ46,IF(parameters!$C$27="C",'consumption scenario C'!AJ46,'consumption scenario A'!AJ46))</f>
        <v>2.393160218013722E-4</v>
      </c>
      <c r="AK50" s="66">
        <f>IF(parameters!$C$27="B",'consumption scenario B'!AK46,IF(parameters!$C$27="C",'consumption scenario C'!AK46,'consumption scenario A'!AK46))</f>
        <v>2.4503497023373882E-4</v>
      </c>
    </row>
    <row r="51" spans="1:37">
      <c r="A51" s="57" t="s">
        <v>68</v>
      </c>
      <c r="B51" s="66">
        <f>IF(parameters!$C$27="B",'consumption scenario B'!B47,IF(parameters!$C$27="C",'consumption scenario C'!B47,'consumption scenario A'!B47))</f>
        <v>3.23656049637422E-5</v>
      </c>
      <c r="C51" s="66">
        <f>IF(parameters!$C$27="B",'consumption scenario B'!C47,IF(parameters!$C$27="C",'consumption scenario C'!C47,'consumption scenario A'!C47))</f>
        <v>2.7250798186578767E-5</v>
      </c>
      <c r="D51" s="66">
        <f>IF(parameters!$C$27="B",'consumption scenario B'!D47,IF(parameters!$C$27="C",'consumption scenario C'!D47,'consumption scenario A'!D47))</f>
        <v>3.5721331171286214E-5</v>
      </c>
      <c r="E51" s="66">
        <f>IF(parameters!$C$27="B",'consumption scenario B'!E47,IF(parameters!$C$27="C",'consumption scenario C'!E47,'consumption scenario A'!E47))</f>
        <v>5.688453492182183E-5</v>
      </c>
      <c r="F51" s="66">
        <f>IF(parameters!$C$27="B",'consumption scenario B'!F47,IF(parameters!$C$27="C",'consumption scenario C'!F47,'consumption scenario A'!F47))</f>
        <v>4.9605471211446521E-5</v>
      </c>
      <c r="G51" s="66">
        <f>IF(parameters!$C$27="B",'consumption scenario B'!G47,IF(parameters!$C$27="C",'consumption scenario C'!G47,'consumption scenario A'!G47))</f>
        <v>1.4719884392092283E-4</v>
      </c>
      <c r="H51" s="66">
        <f>IF(parameters!$C$27="B",'consumption scenario B'!H47,IF(parameters!$C$27="C",'consumption scenario C'!H47,'consumption scenario A'!H47))</f>
        <v>3.531693874293204E-5</v>
      </c>
      <c r="I51" s="66">
        <f>IF(parameters!$C$27="B",'consumption scenario B'!I47,IF(parameters!$C$27="C",'consumption scenario C'!I47,'consumption scenario A'!I47))</f>
        <v>1.3479747611806121E-4</v>
      </c>
      <c r="J51" s="66">
        <f>IF(parameters!$C$27="B",'consumption scenario B'!J47,IF(parameters!$C$27="C",'consumption scenario C'!J47,'consumption scenario A'!J47))</f>
        <v>4.0439242835418361E-4</v>
      </c>
      <c r="K51" s="538">
        <f>IF(parameters!$C$27="B",'consumption scenario B'!K47,IF(parameters!$C$27="C",'consumption scenario C'!K47,'consumption scenario A'!K47))</f>
        <v>6.4230997370256159E-4</v>
      </c>
      <c r="L51" s="538">
        <f>IF(parameters!$C$27="B",'consumption scenario B'!L47,IF(parameters!$C$27="C",'consumption scenario C'!L47,'consumption scenario A'!L47))</f>
        <v>7.8088177915192861E-4</v>
      </c>
      <c r="M51" s="449">
        <f>IF(parameters!$C$27="B",'consumption scenario B'!M47,IF(parameters!$C$27="C",'consumption scenario C'!M47,'consumption scenario A'!M47))</f>
        <v>1.670670376527204E-4</v>
      </c>
      <c r="N51" s="66">
        <f>IF(parameters!$C$27="B",'consumption scenario B'!N47,IF(parameters!$C$27="C",'consumption scenario C'!N47,'consumption scenario A'!N47))</f>
        <v>2.0257023898642186E-4</v>
      </c>
      <c r="O51" s="66">
        <f>IF(parameters!$C$27="B",'consumption scenario B'!O47,IF(parameters!$C$27="C",'consumption scenario C'!O47,'consumption scenario A'!O47))</f>
        <v>7.8349229760606197E-4</v>
      </c>
      <c r="P51" s="66">
        <f>IF(parameters!$C$27="B",'consumption scenario B'!P47,IF(parameters!$C$27="C",'consumption scenario C'!P47,'consumption scenario A'!P47))</f>
        <v>1.0256073676866834E-3</v>
      </c>
      <c r="Q51" s="66">
        <f>IF(parameters!$C$27="B",'consumption scenario B'!Q47,IF(parameters!$C$27="C",'consumption scenario C'!Q47,'consumption scenario A'!Q47))</f>
        <v>1.2242324681677982E-3</v>
      </c>
      <c r="R51" s="66">
        <f>IF(parameters!$C$27="B",'consumption scenario B'!R47,IF(parameters!$C$27="C",'consumption scenario C'!R47,'consumption scenario A'!R47))</f>
        <v>1.4546290611169765E-3</v>
      </c>
      <c r="S51" s="66">
        <f>IF(parameters!$C$27="B",'consumption scenario B'!S47,IF(parameters!$C$27="C",'consumption scenario C'!S47,'consumption scenario A'!S47))</f>
        <v>1.8546619287057068E-3</v>
      </c>
      <c r="T51" s="66">
        <f>IF(parameters!$C$27="B",'consumption scenario B'!T47,IF(parameters!$C$27="C",'consumption scenario C'!T47,'consumption scenario A'!T47))</f>
        <v>2.6626119450295859E-3</v>
      </c>
      <c r="U51" s="66">
        <f>IF(parameters!$C$27="B",'consumption scenario B'!U47,IF(parameters!$C$27="C",'consumption scenario C'!U47,'consumption scenario A'!U47))</f>
        <v>3.4837360369380857E-3</v>
      </c>
      <c r="V51" s="66">
        <f>IF(parameters!$C$27="B",'consumption scenario B'!V47,IF(parameters!$C$27="C",'consumption scenario C'!V47,'consumption scenario A'!V47))</f>
        <v>4.428421503900516E-3</v>
      </c>
      <c r="W51" s="66">
        <f>IF(parameters!$C$27="B",'consumption scenario B'!W47,IF(parameters!$C$27="C",'consumption scenario C'!W47,'consumption scenario A'!W47))</f>
        <v>4.6500354563682941E-3</v>
      </c>
      <c r="X51" s="66">
        <f>IF(parameters!$C$27="B",'consumption scenario B'!X47,IF(parameters!$C$27="C",'consumption scenario C'!X47,'consumption scenario A'!X47))</f>
        <v>5.1357465218078062E-3</v>
      </c>
      <c r="Y51" s="66">
        <f>IF(parameters!$C$27="B",'consumption scenario B'!Y47,IF(parameters!$C$27="C",'consumption scenario C'!Y47,'consumption scenario A'!Y47))</f>
        <v>5.3564731837323215E-3</v>
      </c>
      <c r="Z51" s="66">
        <f>IF(parameters!$C$27="B",'consumption scenario B'!Z47,IF(parameters!$C$27="C",'consumption scenario C'!Z47,'consumption scenario A'!Z47))</f>
        <v>5.513596180288829E-3</v>
      </c>
      <c r="AA51" s="66">
        <f>IF(parameters!$C$27="B",'consumption scenario B'!AA47,IF(parameters!$C$27="C",'consumption scenario C'!AA47,'consumption scenario A'!AA47))</f>
        <v>5.6830856137823548E-3</v>
      </c>
      <c r="AB51" s="66">
        <f>IF(parameters!$C$27="B",'consumption scenario B'!AB47,IF(parameters!$C$27="C",'consumption scenario C'!AB47,'consumption scenario A'!AB47))</f>
        <v>5.4376123997212063E-3</v>
      </c>
      <c r="AC51" s="66">
        <f>IF(parameters!$C$27="B",'consumption scenario B'!AC47,IF(parameters!$C$27="C",'consumption scenario C'!AC47,'consumption scenario A'!AC47))</f>
        <v>5.4336672447182627E-3</v>
      </c>
      <c r="AD51" s="66">
        <f>IF(parameters!$C$27="B",'consumption scenario B'!AD47,IF(parameters!$C$27="C",'consumption scenario C'!AD47,'consumption scenario A'!AD47))</f>
        <v>5.6842585913972309E-3</v>
      </c>
      <c r="AE51" s="66">
        <f>IF(parameters!$C$27="B",'consumption scenario B'!AE47,IF(parameters!$C$27="C",'consumption scenario C'!AE47,'consumption scenario A'!AE47))</f>
        <v>5.9511111575877539E-3</v>
      </c>
      <c r="AF51" s="66">
        <f>IF(parameters!$C$27="B",'consumption scenario B'!AF47,IF(parameters!$C$27="C",'consumption scenario C'!AF47,'consumption scenario A'!AF47))</f>
        <v>6.2071762281608253E-3</v>
      </c>
      <c r="AG51" s="66">
        <f>IF(parameters!$C$27="B",'consumption scenario B'!AG47,IF(parameters!$C$27="C",'consumption scenario C'!AG47,'consumption scenario A'!AG47))</f>
        <v>6.3287606430811614E-3</v>
      </c>
      <c r="AH51" s="66">
        <f>IF(parameters!$C$27="B",'consumption scenario B'!AH47,IF(parameters!$C$27="C",'consumption scenario C'!AH47,'consumption scenario A'!AH47))</f>
        <v>6.4464408018222088E-3</v>
      </c>
      <c r="AI51" s="66">
        <f>IF(parameters!$C$27="B",'consumption scenario B'!AI47,IF(parameters!$C$27="C",'consumption scenario C'!AI47,'consumption scenario A'!AI47))</f>
        <v>6.5111528347804098E-3</v>
      </c>
      <c r="AJ51" s="66">
        <f>IF(parameters!$C$27="B",'consumption scenario B'!AJ47,IF(parameters!$C$27="C",'consumption scenario C'!AJ47,'consumption scenario A'!AJ47))</f>
        <v>6.4890546323443203E-3</v>
      </c>
      <c r="AK51" s="66">
        <f>IF(parameters!$C$27="B",'consumption scenario B'!AK47,IF(parameters!$C$27="C",'consumption scenario C'!AK47,'consumption scenario A'!AK47))</f>
        <v>6.3782610553968864E-3</v>
      </c>
    </row>
    <row r="52" spans="1:37">
      <c r="A52" s="57" t="s">
        <v>30</v>
      </c>
      <c r="B52" s="66">
        <f>IF(parameters!$C$27="B",'consumption scenario B'!B48,IF(parameters!$C$27="C",'consumption scenario C'!B48,'consumption scenario A'!B48))</f>
        <v>0.3288840165780807</v>
      </c>
      <c r="C52" s="537">
        <f>IF(parameters!$C$27="B",'consumption scenario B'!C48,IF(parameters!$C$27="C",'consumption scenario C'!C48,'consumption scenario A'!C48))</f>
        <v>0.33236966393812284</v>
      </c>
      <c r="D52" s="537">
        <f>IF(parameters!$C$27="B",'consumption scenario B'!D48,IF(parameters!$C$27="C",'consumption scenario C'!D48,'consumption scenario A'!D48))</f>
        <v>0.33205525300390565</v>
      </c>
      <c r="E52" s="537">
        <f>IF(parameters!$C$27="B",'consumption scenario B'!E48,IF(parameters!$C$27="C",'consumption scenario C'!E48,'consumption scenario A'!E48))</f>
        <v>0.31909734686139546</v>
      </c>
      <c r="F52" s="537">
        <f>IF(parameters!$C$27="B",'consumption scenario B'!F48,IF(parameters!$C$27="C",'consumption scenario C'!F48,'consumption scenario A'!F48))</f>
        <v>0.31042139929978291</v>
      </c>
      <c r="G52" s="537">
        <f>IF(parameters!$C$27="B",'consumption scenario B'!G48,IF(parameters!$C$27="C",'consumption scenario C'!G48,'consumption scenario A'!G48))</f>
        <v>0.30726998323761218</v>
      </c>
      <c r="H52" s="537">
        <f>IF(parameters!$C$27="B",'consumption scenario B'!H48,IF(parameters!$C$27="C",'consumption scenario C'!H48,'consumption scenario A'!H48))</f>
        <v>0.29763627441844603</v>
      </c>
      <c r="I52" s="537">
        <f>IF(parameters!$C$27="B",'consumption scenario B'!I48,IF(parameters!$C$27="C",'consumption scenario C'!I48,'consumption scenario A'!I48))</f>
        <v>0.28716494445773966</v>
      </c>
      <c r="J52" s="537">
        <f>IF(parameters!$C$27="B",'consumption scenario B'!J48,IF(parameters!$C$27="C",'consumption scenario C'!J48,'consumption scenario A'!J48))</f>
        <v>0.28909530736618266</v>
      </c>
      <c r="K52" s="537">
        <f>IF(parameters!$C$27="B",'consumption scenario B'!K48,IF(parameters!$C$27="C",'consumption scenario C'!K48,'consumption scenario A'!K48))</f>
        <v>0.30345336248962124</v>
      </c>
      <c r="L52" s="538">
        <f>IF(parameters!$C$27="B",'consumption scenario B'!L48,IF(parameters!$C$27="C",'consumption scenario C'!L48,'consumption scenario A'!L48))</f>
        <v>0.30733013761578848</v>
      </c>
      <c r="M52" s="449">
        <f>IF(parameters!$C$27="B",'consumption scenario B'!M48,IF(parameters!$C$27="C",'consumption scenario C'!M48,'consumption scenario A'!M48))</f>
        <v>0.33025304377186565</v>
      </c>
      <c r="N52" s="537">
        <f>IF(parameters!$C$27="B",'consumption scenario B'!N48,IF(parameters!$C$27="C",'consumption scenario C'!N48,'consumption scenario A'!N48))</f>
        <v>0.33210312797970093</v>
      </c>
      <c r="O52" s="537">
        <f>IF(parameters!$C$27="B",'consumption scenario B'!O48,IF(parameters!$C$27="C",'consumption scenario C'!O48,'consumption scenario A'!O48))</f>
        <v>0.33148804554469402</v>
      </c>
      <c r="P52" s="537">
        <f>IF(parameters!$C$27="B",'consumption scenario B'!P48,IF(parameters!$C$27="C",'consumption scenario C'!P48,'consumption scenario A'!P48))</f>
        <v>0.33084071714157182</v>
      </c>
      <c r="Q52" s="537">
        <f>IF(parameters!$C$27="B",'consumption scenario B'!Q48,IF(parameters!$C$27="C",'consumption scenario C'!Q48,'consumption scenario A'!Q48))</f>
        <v>0.32705803852613996</v>
      </c>
      <c r="R52" s="537">
        <f>IF(parameters!$C$27="B",'consumption scenario B'!R48,IF(parameters!$C$27="C",'consumption scenario C'!R48,'consumption scenario A'!R48))</f>
        <v>0.32054764726215557</v>
      </c>
      <c r="S52" s="537">
        <f>IF(parameters!$C$27="B",'consumption scenario B'!S48,IF(parameters!$C$27="C",'consumption scenario C'!S48,'consumption scenario A'!S48))</f>
        <v>0.31345232049523525</v>
      </c>
      <c r="T52" s="537">
        <f>IF(parameters!$C$27="B",'consumption scenario B'!T48,IF(parameters!$C$27="C",'consumption scenario C'!T48,'consumption scenario A'!T48))</f>
        <v>0.30536588615939342</v>
      </c>
      <c r="U52" s="537">
        <f>IF(parameters!$C$27="B",'consumption scenario B'!U48,IF(parameters!$C$27="C",'consumption scenario C'!U48,'consumption scenario A'!U48))</f>
        <v>0.29671543996691097</v>
      </c>
      <c r="V52" s="537">
        <f>IF(parameters!$C$27="B",'consumption scenario B'!V48,IF(parameters!$C$27="C",'consumption scenario C'!V48,'consumption scenario A'!V48))</f>
        <v>0.2880470096460595</v>
      </c>
      <c r="W52" s="537">
        <f>IF(parameters!$C$27="B",'consumption scenario B'!W48,IF(parameters!$C$27="C",'consumption scenario C'!W48,'consumption scenario A'!W48))</f>
        <v>0.28127529462088269</v>
      </c>
      <c r="X52" s="537">
        <f>IF(parameters!$C$27="B",'consumption scenario B'!X48,IF(parameters!$C$27="C",'consumption scenario C'!X48,'consumption scenario A'!X48))</f>
        <v>0.27532400237208698</v>
      </c>
      <c r="Y52" s="537">
        <f>IF(parameters!$C$27="B",'consumption scenario B'!Y48,IF(parameters!$C$27="C",'consumption scenario C'!Y48,'consumption scenario A'!Y48))</f>
        <v>0.27012294897461542</v>
      </c>
      <c r="Z52" s="537">
        <f>IF(parameters!$C$27="B",'consumption scenario B'!Z48,IF(parameters!$C$27="C",'consumption scenario C'!Z48,'consumption scenario A'!Z48))</f>
        <v>0.26541218614363138</v>
      </c>
      <c r="AA52" s="537">
        <f>IF(parameters!$C$27="B",'consumption scenario B'!AA48,IF(parameters!$C$27="C",'consumption scenario C'!AA48,'consumption scenario A'!AA48))</f>
        <v>0.26117564725956172</v>
      </c>
      <c r="AB52" s="537">
        <f>IF(parameters!$C$27="B",'consumption scenario B'!AB48,IF(parameters!$C$27="C",'consumption scenario C'!AB48,'consumption scenario A'!AB48))</f>
        <v>0.25750042603389822</v>
      </c>
      <c r="AC52" s="537">
        <f>IF(parameters!$C$27="B",'consumption scenario B'!AC48,IF(parameters!$C$27="C",'consumption scenario C'!AC48,'consumption scenario A'!AC48))</f>
        <v>0.25421851704435638</v>
      </c>
      <c r="AD52" s="537">
        <f>IF(parameters!$C$27="B",'consumption scenario B'!AD48,IF(parameters!$C$27="C",'consumption scenario C'!AD48,'consumption scenario A'!AD48))</f>
        <v>0.25117318822952694</v>
      </c>
      <c r="AE52" s="537">
        <f>IF(parameters!$C$27="B",'consumption scenario B'!AE48,IF(parameters!$C$27="C",'consumption scenario C'!AE48,'consumption scenario A'!AE48))</f>
        <v>0.24849568552467205</v>
      </c>
      <c r="AF52" s="537">
        <f>IF(parameters!$C$27="B",'consumption scenario B'!AF48,IF(parameters!$C$27="C",'consumption scenario C'!AF48,'consumption scenario A'!AF48))</f>
        <v>0.24614148161238666</v>
      </c>
      <c r="AG52" s="537">
        <f>IF(parameters!$C$27="B",'consumption scenario B'!AG48,IF(parameters!$C$27="C",'consumption scenario C'!AG48,'consumption scenario A'!AG48))</f>
        <v>0.24457742639612881</v>
      </c>
      <c r="AH52" s="537">
        <f>IF(parameters!$C$27="B",'consumption scenario B'!AH48,IF(parameters!$C$27="C",'consumption scenario C'!AH48,'consumption scenario A'!AH48))</f>
        <v>0.24311021135379024</v>
      </c>
      <c r="AI52" s="537">
        <f>IF(parameters!$C$27="B",'consumption scenario B'!AI48,IF(parameters!$C$27="C",'consumption scenario C'!AI48,'consumption scenario A'!AI48))</f>
        <v>0.24204660360315208</v>
      </c>
      <c r="AJ52" s="537">
        <f>IF(parameters!$C$27="B",'consumption scenario B'!AJ48,IF(parameters!$C$27="C",'consumption scenario C'!AJ48,'consumption scenario A'!AJ48))</f>
        <v>0.24132278656998729</v>
      </c>
      <c r="AK52" s="537">
        <f>IF(parameters!$C$27="B",'consumption scenario B'!AK48,IF(parameters!$C$27="C",'consumption scenario C'!AK48,'consumption scenario A'!AK48))</f>
        <v>0.24106162411741122</v>
      </c>
    </row>
    <row r="53" spans="1:37">
      <c r="A53" s="57" t="s">
        <v>39</v>
      </c>
      <c r="B53" s="66">
        <f>IF(parameters!$C$27="B",'consumption scenario B'!B49,IF(parameters!$C$27="C",'consumption scenario C'!B49,'consumption scenario A'!B49))</f>
        <v>0.10127037937244192</v>
      </c>
      <c r="C53" s="66">
        <f>IF(parameters!$C$27="B",'consumption scenario B'!C49,IF(parameters!$C$27="C",'consumption scenario C'!C49,'consumption scenario A'!C49))</f>
        <v>0.10402792971190883</v>
      </c>
      <c r="D53" s="66">
        <f>IF(parameters!$C$27="B",'consumption scenario B'!D49,IF(parameters!$C$27="C",'consumption scenario C'!D49,'consumption scenario A'!D49))</f>
        <v>0.10277475906699299</v>
      </c>
      <c r="E53" s="66">
        <f>IF(parameters!$C$27="B",'consumption scenario B'!E49,IF(parameters!$C$27="C",'consumption scenario C'!E49,'consumption scenario A'!E49))</f>
        <v>0.10831517199779481</v>
      </c>
      <c r="F53" s="66">
        <f>IF(parameters!$C$27="B",'consumption scenario B'!F49,IF(parameters!$C$27="C",'consumption scenario C'!F49,'consumption scenario A'!F49))</f>
        <v>9.3546300530767693E-2</v>
      </c>
      <c r="G53" s="66">
        <f>IF(parameters!$C$27="B",'consumption scenario B'!G49,IF(parameters!$C$27="C",'consumption scenario C'!G49,'consumption scenario A'!G49))</f>
        <v>0.10303396444940638</v>
      </c>
      <c r="H53" s="66">
        <f>IF(parameters!$C$27="B",'consumption scenario B'!H49,IF(parameters!$C$27="C",'consumption scenario C'!H49,'consumption scenario A'!H49))</f>
        <v>0.10135397278806429</v>
      </c>
      <c r="I53" s="66">
        <f>IF(parameters!$C$27="B",'consumption scenario B'!I49,IF(parameters!$C$27="C",'consumption scenario C'!I49,'consumption scenario A'!I49))</f>
        <v>9.7683433174249115E-2</v>
      </c>
      <c r="J53" s="66">
        <f>IF(parameters!$C$27="B",'consumption scenario B'!J49,IF(parameters!$C$27="C",'consumption scenario C'!J49,'consumption scenario A'!J49))</f>
        <v>9.5466007570532585E-2</v>
      </c>
      <c r="K53" s="538">
        <f>IF(parameters!$C$27="B",'consumption scenario B'!K49,IF(parameters!$C$27="C",'consumption scenario C'!K49,'consumption scenario A'!K49))</f>
        <v>9.4401059747695054E-2</v>
      </c>
      <c r="L53" s="538">
        <f>IF(parameters!$C$27="B",'consumption scenario B'!L49,IF(parameters!$C$27="C",'consumption scenario C'!L49,'consumption scenario A'!L49))</f>
        <v>9.6108010636113891E-2</v>
      </c>
      <c r="M53" s="449">
        <f>IF(parameters!$C$27="B",'consumption scenario B'!M49,IF(parameters!$C$27="C",'consumption scenario C'!M49,'consumption scenario A'!M49))</f>
        <v>9.2591951033572983E-2</v>
      </c>
      <c r="N53" s="66">
        <f>IF(parameters!$C$27="B",'consumption scenario B'!N49,IF(parameters!$C$27="C",'consumption scenario C'!N49,'consumption scenario A'!N49))</f>
        <v>9.3923884179557104E-2</v>
      </c>
      <c r="O53" s="66">
        <f>IF(parameters!$C$27="B",'consumption scenario B'!O49,IF(parameters!$C$27="C",'consumption scenario C'!O49,'consumption scenario A'!O49))</f>
        <v>9.6407081055749452E-2</v>
      </c>
      <c r="P53" s="66">
        <f>IF(parameters!$C$27="B",'consumption scenario B'!P49,IF(parameters!$C$27="C",'consumption scenario C'!P49,'consumption scenario A'!P49))</f>
        <v>9.8601504981134652E-2</v>
      </c>
      <c r="Q53" s="66">
        <f>IF(parameters!$C$27="B",'consumption scenario B'!Q49,IF(parameters!$C$27="C",'consumption scenario C'!Q49,'consumption scenario A'!Q49))</f>
        <v>0.1002152809994887</v>
      </c>
      <c r="R53" s="66">
        <f>IF(parameters!$C$27="B",'consumption scenario B'!R49,IF(parameters!$C$27="C",'consumption scenario C'!R49,'consumption scenario A'!R49))</f>
        <v>0.10205480771245974</v>
      </c>
      <c r="S53" s="66">
        <f>IF(parameters!$C$27="B",'consumption scenario B'!S49,IF(parameters!$C$27="C",'consumption scenario C'!S49,'consumption scenario A'!S49))</f>
        <v>0.10381728888249281</v>
      </c>
      <c r="T53" s="66">
        <f>IF(parameters!$C$27="B",'consumption scenario B'!T49,IF(parameters!$C$27="C",'consumption scenario C'!T49,'consumption scenario A'!T49))</f>
        <v>0.10533892302901665</v>
      </c>
      <c r="U53" s="66">
        <f>IF(parameters!$C$27="B",'consumption scenario B'!U49,IF(parameters!$C$27="C",'consumption scenario C'!U49,'consumption scenario A'!U49))</f>
        <v>0.10709355334683636</v>
      </c>
      <c r="V53" s="66">
        <f>IF(parameters!$C$27="B",'consumption scenario B'!V49,IF(parameters!$C$27="C",'consumption scenario C'!V49,'consumption scenario A'!V49))</f>
        <v>0.10891323338143244</v>
      </c>
      <c r="W53" s="66">
        <f>IF(parameters!$C$27="B",'consumption scenario B'!W49,IF(parameters!$C$27="C",'consumption scenario C'!W49,'consumption scenario A'!W49))</f>
        <v>0.11079698895624089</v>
      </c>
      <c r="X53" s="66">
        <f>IF(parameters!$C$27="B",'consumption scenario B'!X49,IF(parameters!$C$27="C",'consumption scenario C'!X49,'consumption scenario A'!X49))</f>
        <v>0.1128197084014574</v>
      </c>
      <c r="Y53" s="66">
        <f>IF(parameters!$C$27="B",'consumption scenario B'!Y49,IF(parameters!$C$27="C",'consumption scenario C'!Y49,'consumption scenario A'!Y49))</f>
        <v>0.11511926868254535</v>
      </c>
      <c r="Z53" s="66">
        <f>IF(parameters!$C$27="B",'consumption scenario B'!Z49,IF(parameters!$C$27="C",'consumption scenario C'!Z49,'consumption scenario A'!Z49))</f>
        <v>0.11742600769714995</v>
      </c>
      <c r="AA53" s="66">
        <f>IF(parameters!$C$27="B",'consumption scenario B'!AA49,IF(parameters!$C$27="C",'consumption scenario C'!AA49,'consumption scenario A'!AA49))</f>
        <v>0.11965730153988634</v>
      </c>
      <c r="AB53" s="66">
        <f>IF(parameters!$C$27="B",'consumption scenario B'!AB49,IF(parameters!$C$27="C",'consumption scenario C'!AB49,'consumption scenario A'!AB49))</f>
        <v>0.12186576405349303</v>
      </c>
      <c r="AC53" s="66">
        <f>IF(parameters!$C$27="B",'consumption scenario B'!AC49,IF(parameters!$C$27="C",'consumption scenario C'!AC49,'consumption scenario A'!AC49))</f>
        <v>0.12414882251238447</v>
      </c>
      <c r="AD53" s="66">
        <f>IF(parameters!$C$27="B",'consumption scenario B'!AD49,IF(parameters!$C$27="C",'consumption scenario C'!AD49,'consumption scenario A'!AD49))</f>
        <v>0.12635515681892287</v>
      </c>
      <c r="AE53" s="66">
        <f>IF(parameters!$C$27="B",'consumption scenario B'!AE49,IF(parameters!$C$27="C",'consumption scenario C'!AE49,'consumption scenario A'!AE49))</f>
        <v>0.1285724413546499</v>
      </c>
      <c r="AF53" s="66">
        <f>IF(parameters!$C$27="B",'consumption scenario B'!AF49,IF(parameters!$C$27="C",'consumption scenario C'!AF49,'consumption scenario A'!AF49))</f>
        <v>0.1308082994591574</v>
      </c>
      <c r="AG53" s="66">
        <f>IF(parameters!$C$27="B",'consumption scenario B'!AG49,IF(parameters!$C$27="C",'consumption scenario C'!AG49,'consumption scenario A'!AG49))</f>
        <v>0.13305522187963989</v>
      </c>
      <c r="AH53" s="66">
        <f>IF(parameters!$C$27="B",'consumption scenario B'!AH49,IF(parameters!$C$27="C",'consumption scenario C'!AH49,'consumption scenario A'!AH49))</f>
        <v>0.13520467022718069</v>
      </c>
      <c r="AI53" s="66">
        <f>IF(parameters!$C$27="B",'consumption scenario B'!AI49,IF(parameters!$C$27="C",'consumption scenario C'!AI49,'consumption scenario A'!AI49))</f>
        <v>0.13742597620566535</v>
      </c>
      <c r="AJ53" s="66">
        <f>IF(parameters!$C$27="B",'consumption scenario B'!AJ49,IF(parameters!$C$27="C",'consumption scenario C'!AJ49,'consumption scenario A'!AJ49))</f>
        <v>0.13968324666861481</v>
      </c>
      <c r="AK53" s="66">
        <f>IF(parameters!$C$27="B",'consumption scenario B'!AK49,IF(parameters!$C$27="C",'consumption scenario C'!AK49,'consumption scenario A'!AK49))</f>
        <v>0.1419738392575865</v>
      </c>
    </row>
    <row r="54" spans="1:37">
      <c r="A54" s="57" t="s">
        <v>40</v>
      </c>
      <c r="B54" s="66">
        <f>IF(parameters!$C$27="B",'consumption scenario B'!B50,IF(parameters!$C$27="C",'consumption scenario C'!B50,'consumption scenario A'!B50))</f>
        <v>0.12187213456153871</v>
      </c>
      <c r="C54" s="66">
        <f>IF(parameters!$C$27="B",'consumption scenario B'!C50,IF(parameters!$C$27="C",'consumption scenario C'!C50,'consumption scenario A'!C50))</f>
        <v>0.12577856082797045</v>
      </c>
      <c r="D54" s="66">
        <f>IF(parameters!$C$27="B",'consumption scenario B'!D50,IF(parameters!$C$27="C",'consumption scenario C'!D50,'consumption scenario A'!D50))</f>
        <v>0.13503152459999998</v>
      </c>
      <c r="E54" s="66">
        <f>IF(parameters!$C$27="B",'consumption scenario B'!E50,IF(parameters!$C$27="C",'consumption scenario C'!E50,'consumption scenario A'!E50))</f>
        <v>0.12729394327999999</v>
      </c>
      <c r="F54" s="66">
        <f>IF(parameters!$C$27="B",'consumption scenario B'!F50,IF(parameters!$C$27="C",'consumption scenario C'!F50,'consumption scenario A'!F50))</f>
        <v>0.11741454759999999</v>
      </c>
      <c r="G54" s="66">
        <f>IF(parameters!$C$27="B",'consumption scenario B'!G50,IF(parameters!$C$27="C",'consumption scenario C'!G50,'consumption scenario A'!G50))</f>
        <v>0.11879844339999998</v>
      </c>
      <c r="H54" s="66">
        <f>IF(parameters!$C$27="B",'consumption scenario B'!H50,IF(parameters!$C$27="C",'consumption scenario C'!H50,'consumption scenario A'!H50))</f>
        <v>0.11856862079999998</v>
      </c>
      <c r="I54" s="66">
        <f>IF(parameters!$C$27="B",'consumption scenario B'!I50,IF(parameters!$C$27="C",'consumption scenario C'!I50,'consumption scenario A'!I50))</f>
        <v>0.11309255999999999</v>
      </c>
      <c r="J54" s="66">
        <f>IF(parameters!$C$27="B",'consumption scenario B'!J50,IF(parameters!$C$27="C",'consumption scenario C'!J50,'consumption scenario A'!J50))</f>
        <v>0.12665044</v>
      </c>
      <c r="K54" s="538">
        <f>IF(parameters!$C$27="B",'consumption scenario B'!K50,IF(parameters!$C$27="C",'consumption scenario C'!K50,'consumption scenario A'!K50))</f>
        <v>0.12487419237999998</v>
      </c>
      <c r="L54" s="538">
        <f>IF(parameters!$C$27="B",'consumption scenario B'!L50,IF(parameters!$C$27="C",'consumption scenario C'!L50,'consumption scenario A'!L50))</f>
        <v>0.12593633654</v>
      </c>
      <c r="M54" s="449">
        <f>IF(parameters!$C$27="B",'consumption scenario B'!M50,IF(parameters!$C$27="C",'consumption scenario C'!M50,'consumption scenario A'!M50))</f>
        <v>0.12647417422911944</v>
      </c>
      <c r="N54" s="66">
        <f>IF(parameters!$C$27="B",'consumption scenario B'!N50,IF(parameters!$C$27="C",'consumption scenario C'!N50,'consumption scenario A'!N50))</f>
        <v>0.1291737124310853</v>
      </c>
      <c r="O54" s="66">
        <f>IF(parameters!$C$27="B",'consumption scenario B'!O50,IF(parameters!$C$27="C",'consumption scenario C'!O50,'consumption scenario A'!O50))</f>
        <v>0.12829634471855178</v>
      </c>
      <c r="P54" s="66">
        <f>IF(parameters!$C$27="B",'consumption scenario B'!P50,IF(parameters!$C$27="C",'consumption scenario C'!P50,'consumption scenario A'!P50))</f>
        <v>0.12915090227764767</v>
      </c>
      <c r="Q54" s="66">
        <f>IF(parameters!$C$27="B",'consumption scenario B'!Q50,IF(parameters!$C$27="C",'consumption scenario C'!Q50,'consumption scenario A'!Q50))</f>
        <v>0.13028966914948548</v>
      </c>
      <c r="R54" s="66">
        <f>IF(parameters!$C$27="B",'consumption scenario B'!R50,IF(parameters!$C$27="C",'consumption scenario C'!R50,'consumption scenario A'!R50))</f>
        <v>0.12728422853433002</v>
      </c>
      <c r="S54" s="66">
        <f>IF(parameters!$C$27="B",'consumption scenario B'!S50,IF(parameters!$C$27="C",'consumption scenario C'!S50,'consumption scenario A'!S50))</f>
        <v>0.12761106225883642</v>
      </c>
      <c r="T54" s="66">
        <f>IF(parameters!$C$27="B",'consumption scenario B'!T50,IF(parameters!$C$27="C",'consumption scenario C'!T50,'consumption scenario A'!T50))</f>
        <v>0.12768635075231899</v>
      </c>
      <c r="U54" s="66">
        <f>IF(parameters!$C$27="B",'consumption scenario B'!U50,IF(parameters!$C$27="C",'consumption scenario C'!U50,'consumption scenario A'!U50))</f>
        <v>0.12757060022793756</v>
      </c>
      <c r="V54" s="66">
        <f>IF(parameters!$C$27="B",'consumption scenario B'!V50,IF(parameters!$C$27="C",'consumption scenario C'!V50,'consumption scenario A'!V50))</f>
        <v>0.12724301410777894</v>
      </c>
      <c r="W54" s="66">
        <f>IF(parameters!$C$27="B",'consumption scenario B'!W50,IF(parameters!$C$27="C",'consumption scenario C'!W50,'consumption scenario A'!W50))</f>
        <v>0.12704774033236987</v>
      </c>
      <c r="X54" s="66">
        <f>IF(parameters!$C$27="B",'consumption scenario B'!X50,IF(parameters!$C$27="C",'consumption scenario C'!X50,'consumption scenario A'!X50))</f>
        <v>0.12658444900508395</v>
      </c>
      <c r="Y54" s="66">
        <f>IF(parameters!$C$27="B",'consumption scenario B'!Y50,IF(parameters!$C$27="C",'consumption scenario C'!Y50,'consumption scenario A'!Y50))</f>
        <v>0.12602529519094671</v>
      </c>
      <c r="Z54" s="66">
        <f>IF(parameters!$C$27="B",'consumption scenario B'!Z50,IF(parameters!$C$27="C",'consumption scenario C'!Z50,'consumption scenario A'!Z50))</f>
        <v>0.12546236692776408</v>
      </c>
      <c r="AA54" s="66">
        <f>IF(parameters!$C$27="B",'consumption scenario B'!AA50,IF(parameters!$C$27="C",'consumption scenario C'!AA50,'consumption scenario A'!AA50))</f>
        <v>0.12508936073549712</v>
      </c>
      <c r="AB54" s="66">
        <f>IF(parameters!$C$27="B",'consumption scenario B'!AB50,IF(parameters!$C$27="C",'consumption scenario C'!AB50,'consumption scenario A'!AB50))</f>
        <v>0.12472877188124602</v>
      </c>
      <c r="AC54" s="66">
        <f>IF(parameters!$C$27="B",'consumption scenario B'!AC50,IF(parameters!$C$27="C",'consumption scenario C'!AC50,'consumption scenario A'!AC50))</f>
        <v>0.12438267176129063</v>
      </c>
      <c r="AD54" s="66">
        <f>IF(parameters!$C$27="B",'consumption scenario B'!AD50,IF(parameters!$C$27="C",'consumption scenario C'!AD50,'consumption scenario A'!AD50))</f>
        <v>0.12411262250316557</v>
      </c>
      <c r="AE54" s="66">
        <f>IF(parameters!$C$27="B",'consumption scenario B'!AE50,IF(parameters!$C$27="C",'consumption scenario C'!AE50,'consumption scenario A'!AE50))</f>
        <v>0.12413204383269709</v>
      </c>
      <c r="AF54" s="66">
        <f>IF(parameters!$C$27="B",'consumption scenario B'!AF50,IF(parameters!$C$27="C",'consumption scenario C'!AF50,'consumption scenario A'!AF50))</f>
        <v>0.12440671364349694</v>
      </c>
      <c r="AG54" s="66">
        <f>IF(parameters!$C$27="B",'consumption scenario B'!AG50,IF(parameters!$C$27="C",'consumption scenario C'!AG50,'consumption scenario A'!AG50))</f>
        <v>0.12486603489745247</v>
      </c>
      <c r="AH54" s="66">
        <f>IF(parameters!$C$27="B",'consumption scenario B'!AH50,IF(parameters!$C$27="C",'consumption scenario C'!AH50,'consumption scenario A'!AH50))</f>
        <v>0.12529183158022492</v>
      </c>
      <c r="AI54" s="66">
        <f>IF(parameters!$C$27="B",'consumption scenario B'!AI50,IF(parameters!$C$27="C",'consumption scenario C'!AI50,'consumption scenario A'!AI50))</f>
        <v>0.12584992526853445</v>
      </c>
      <c r="AJ54" s="66">
        <f>IF(parameters!$C$27="B",'consumption scenario B'!AJ50,IF(parameters!$C$27="C",'consumption scenario C'!AJ50,'consumption scenario A'!AJ50))</f>
        <v>0.1263670913922128</v>
      </c>
      <c r="AK54" s="66">
        <f>IF(parameters!$C$27="B",'consumption scenario B'!AK50,IF(parameters!$C$27="C",'consumption scenario C'!AK50,'consumption scenario A'!AK50))</f>
        <v>0.12690656712764764</v>
      </c>
    </row>
    <row r="55" spans="1:37">
      <c r="A55" s="57" t="s">
        <v>31</v>
      </c>
      <c r="B55" s="66">
        <f>IF(parameters!$C$27="B",'consumption scenario B'!B51,IF(parameters!$C$27="C",'consumption scenario C'!B51,'consumption scenario A'!B51))</f>
        <v>4.7050949345592286E-2</v>
      </c>
      <c r="C55" s="66">
        <f>IF(parameters!$C$27="B",'consumption scenario B'!C51,IF(parameters!$C$27="C",'consumption scenario C'!C51,'consumption scenario A'!C51))</f>
        <v>4.7278247000739647E-2</v>
      </c>
      <c r="D55" s="66">
        <f>IF(parameters!$C$27="B",'consumption scenario B'!D51,IF(parameters!$C$27="C",'consumption scenario C'!D51,'consumption scenario A'!D51))</f>
        <v>6.3369836323745182E-2</v>
      </c>
      <c r="E55" s="66">
        <f>IF(parameters!$C$27="B",'consumption scenario B'!E51,IF(parameters!$C$27="C",'consumption scenario C'!E51,'consumption scenario A'!E51))</f>
        <v>5.9616316745857635E-2</v>
      </c>
      <c r="F55" s="66">
        <f>IF(parameters!$C$27="B",'consumption scenario B'!F51,IF(parameters!$C$27="C",'consumption scenario C'!F51,'consumption scenario A'!F51))</f>
        <v>5.3657109687319141E-2</v>
      </c>
      <c r="G55" s="66">
        <f>IF(parameters!$C$27="B",'consumption scenario B'!G51,IF(parameters!$C$27="C",'consumption scenario C'!G51,'consumption scenario A'!G51))</f>
        <v>5.0014837198659373E-2</v>
      </c>
      <c r="H55" s="66">
        <f>IF(parameters!$C$27="B",'consumption scenario B'!H51,IF(parameters!$C$27="C",'consumption scenario C'!H51,'consumption scenario A'!H51))</f>
        <v>4.425637408638769E-2</v>
      </c>
      <c r="I55" s="66">
        <f>IF(parameters!$C$27="B",'consumption scenario B'!I51,IF(parameters!$C$27="C",'consumption scenario C'!I51,'consumption scenario A'!I51))</f>
        <v>4.2787342010687422E-2</v>
      </c>
      <c r="J55" s="66">
        <f>IF(parameters!$C$27="B",'consumption scenario B'!J51,IF(parameters!$C$27="C",'consumption scenario C'!J51,'consumption scenario A'!J51))</f>
        <v>3.6190960117373112E-2</v>
      </c>
      <c r="K55" s="538">
        <f>IF(parameters!$C$27="B",'consumption scenario B'!K51,IF(parameters!$C$27="C",'consumption scenario C'!K51,'consumption scenario A'!K51))</f>
        <v>2.8244637583621612E-2</v>
      </c>
      <c r="L55" s="538">
        <f>IF(parameters!$C$27="B",'consumption scenario B'!L51,IF(parameters!$C$27="C",'consumption scenario C'!L51,'consumption scenario A'!L51))</f>
        <v>2.3722906936050506E-2</v>
      </c>
      <c r="M55" s="449">
        <f>IF(parameters!$C$27="B",'consumption scenario B'!M51,IF(parameters!$C$27="C",'consumption scenario C'!M51,'consumption scenario A'!M51))</f>
        <v>5.6361689951724608E-2</v>
      </c>
      <c r="N55" s="66">
        <f>IF(parameters!$C$27="B",'consumption scenario B'!N51,IF(parameters!$C$27="C",'consumption scenario C'!N51,'consumption scenario A'!N51))</f>
        <v>5.6926909025486298E-2</v>
      </c>
      <c r="O55" s="66">
        <f>IF(parameters!$C$27="B",'consumption scenario B'!O51,IF(parameters!$C$27="C",'consumption scenario C'!O51,'consumption scenario A'!O51))</f>
        <v>5.6538735540234572E-2</v>
      </c>
      <c r="P55" s="66">
        <f>IF(parameters!$C$27="B",'consumption scenario B'!P51,IF(parameters!$C$27="C",'consumption scenario C'!P51,'consumption scenario A'!P51))</f>
        <v>5.5431963453969044E-2</v>
      </c>
      <c r="Q55" s="66">
        <f>IF(parameters!$C$27="B",'consumption scenario B'!Q51,IF(parameters!$C$27="C",'consumption scenario C'!Q51,'consumption scenario A'!Q51))</f>
        <v>4.0565602008360228E-2</v>
      </c>
      <c r="R55" s="66">
        <f>IF(parameters!$C$27="B",'consumption scenario B'!R51,IF(parameters!$C$27="C",'consumption scenario C'!R51,'consumption scenario A'!R51))</f>
        <v>5.9344564257219498E-2</v>
      </c>
      <c r="S55" s="66">
        <f>IF(parameters!$C$27="B",'consumption scenario B'!S51,IF(parameters!$C$27="C",'consumption scenario C'!S51,'consumption scenario A'!S51))</f>
        <v>5.4948692496144466E-2</v>
      </c>
      <c r="T55" s="66">
        <f>IF(parameters!$C$27="B",'consumption scenario B'!T51,IF(parameters!$C$27="C",'consumption scenario C'!T51,'consumption scenario A'!T51))</f>
        <v>5.3997522135673146E-2</v>
      </c>
      <c r="U55" s="66">
        <f>IF(parameters!$C$27="B",'consumption scenario B'!U51,IF(parameters!$C$27="C",'consumption scenario C'!U51,'consumption scenario A'!U51))</f>
        <v>5.6971768012058797E-2</v>
      </c>
      <c r="V55" s="66">
        <f>IF(parameters!$C$27="B",'consumption scenario B'!V51,IF(parameters!$C$27="C",'consumption scenario C'!V51,'consumption scenario A'!V51))</f>
        <v>5.7810926767138358E-2</v>
      </c>
      <c r="W55" s="66">
        <f>IF(parameters!$C$27="B",'consumption scenario B'!W51,IF(parameters!$C$27="C",'consumption scenario C'!W51,'consumption scenario A'!W51))</f>
        <v>5.5952998970460674E-2</v>
      </c>
      <c r="X55" s="66">
        <f>IF(parameters!$C$27="B",'consumption scenario B'!X51,IF(parameters!$C$27="C",'consumption scenario C'!X51,'consumption scenario A'!X51))</f>
        <v>5.6245378665438286E-2</v>
      </c>
      <c r="Y55" s="66">
        <f>IF(parameters!$C$27="B",'consumption scenario B'!Y51,IF(parameters!$C$27="C",'consumption scenario C'!Y51,'consumption scenario A'!Y51))</f>
        <v>5.629111185238142E-2</v>
      </c>
      <c r="Z55" s="66">
        <f>IF(parameters!$C$27="B",'consumption scenario B'!Z51,IF(parameters!$C$27="C",'consumption scenario C'!Z51,'consumption scenario A'!Z51))</f>
        <v>5.6251134734818117E-2</v>
      </c>
      <c r="AA55" s="66">
        <f>IF(parameters!$C$27="B",'consumption scenario B'!AA51,IF(parameters!$C$27="C",'consumption scenario C'!AA51,'consumption scenario A'!AA51))</f>
        <v>5.6167191669178974E-2</v>
      </c>
      <c r="AB55" s="66">
        <f>IF(parameters!$C$27="B",'consumption scenario B'!AB51,IF(parameters!$C$27="C",'consumption scenario C'!AB51,'consumption scenario A'!AB51))</f>
        <v>5.5964486806369937E-2</v>
      </c>
      <c r="AC55" s="66">
        <f>IF(parameters!$C$27="B",'consumption scenario B'!AC51,IF(parameters!$C$27="C",'consumption scenario C'!AC51,'consumption scenario A'!AC51))</f>
        <v>5.5690718890435621E-2</v>
      </c>
      <c r="AD55" s="66">
        <f>IF(parameters!$C$27="B",'consumption scenario B'!AD51,IF(parameters!$C$27="C",'consumption scenario C'!AD51,'consumption scenario A'!AD51))</f>
        <v>5.539895810390074E-2</v>
      </c>
      <c r="AE55" s="66">
        <f>IF(parameters!$C$27="B",'consumption scenario B'!AE51,IF(parameters!$C$27="C",'consumption scenario C'!AE51,'consumption scenario A'!AE51))</f>
        <v>5.5054090799546228E-2</v>
      </c>
      <c r="AF55" s="66">
        <f>IF(parameters!$C$27="B",'consumption scenario B'!AF51,IF(parameters!$C$27="C",'consumption scenario C'!AF51,'consumption scenario A'!AF51))</f>
        <v>5.4695104354693075E-2</v>
      </c>
      <c r="AG55" s="66">
        <f>IF(parameters!$C$27="B",'consumption scenario B'!AG51,IF(parameters!$C$27="C",'consumption scenario C'!AG51,'consumption scenario A'!AG51))</f>
        <v>5.4600170766989461E-2</v>
      </c>
      <c r="AH55" s="66">
        <f>IF(parameters!$C$27="B",'consumption scenario B'!AH51,IF(parameters!$C$27="C",'consumption scenario C'!AH51,'consumption scenario A'!AH51))</f>
        <v>5.3347164125971451E-2</v>
      </c>
      <c r="AI55" s="66">
        <f>IF(parameters!$C$27="B",'consumption scenario B'!AI51,IF(parameters!$C$27="C",'consumption scenario C'!AI51,'consumption scenario A'!AI51))</f>
        <v>5.292627088638386E-2</v>
      </c>
      <c r="AJ55" s="66">
        <f>IF(parameters!$C$27="B",'consumption scenario B'!AJ51,IF(parameters!$C$27="C",'consumption scenario C'!AJ51,'consumption scenario A'!AJ51))</f>
        <v>5.2277746469349358E-2</v>
      </c>
      <c r="AK55" s="66">
        <f>IF(parameters!$C$27="B",'consumption scenario B'!AK51,IF(parameters!$C$27="C",'consumption scenario C'!AK51,'consumption scenario A'!AK51))</f>
        <v>5.1603856439153252E-2</v>
      </c>
    </row>
    <row r="56" spans="1:37">
      <c r="A56" s="57" t="s">
        <v>69</v>
      </c>
      <c r="B56" s="66">
        <f>IF(parameters!$C$27="B",'consumption scenario B'!B52,IF(parameters!$C$27="C",'consumption scenario C'!B52,'consumption scenario A'!B52))</f>
        <v>5.4660960326839078E-3</v>
      </c>
      <c r="C56" s="66">
        <f>IF(parameters!$C$27="B",'consumption scenario B'!C52,IF(parameters!$C$27="C",'consumption scenario C'!C52,'consumption scenario A'!C52))</f>
        <v>5.3572287190000178E-3</v>
      </c>
      <c r="D56" s="66">
        <f>IF(parameters!$C$27="B",'consumption scenario B'!D52,IF(parameters!$C$27="C",'consumption scenario C'!D52,'consumption scenario A'!D52))</f>
        <v>5.4529945640031897E-3</v>
      </c>
      <c r="E56" s="66">
        <f>IF(parameters!$C$27="B",'consumption scenario B'!E52,IF(parameters!$C$27="C",'consumption scenario C'!E52,'consumption scenario A'!E52))</f>
        <v>5.3444717311111585E-3</v>
      </c>
      <c r="F56" s="66">
        <f>IF(parameters!$C$27="B",'consumption scenario B'!F52,IF(parameters!$C$27="C",'consumption scenario C'!F52,'consumption scenario A'!F52))</f>
        <v>4.7609300136319923E-3</v>
      </c>
      <c r="G56" s="66">
        <f>IF(parameters!$C$27="B",'consumption scenario B'!G52,IF(parameters!$C$27="C",'consumption scenario C'!G52,'consumption scenario A'!G52))</f>
        <v>5.2840989605944305E-3</v>
      </c>
      <c r="H56" s="66">
        <f>IF(parameters!$C$27="B",'consumption scenario B'!H52,IF(parameters!$C$27="C",'consumption scenario C'!H52,'consumption scenario A'!H52))</f>
        <v>5.0794611954993888E-3</v>
      </c>
      <c r="I56" s="66">
        <f>IF(parameters!$C$27="B",'consumption scenario B'!I52,IF(parameters!$C$27="C",'consumption scenario C'!I52,'consumption scenario A'!I52))</f>
        <v>4.6298136899330872E-3</v>
      </c>
      <c r="J56" s="66">
        <f>IF(parameters!$C$27="B",'consumption scenario B'!J52,IF(parameters!$C$27="C",'consumption scenario C'!J52,'consumption scenario A'!J52))</f>
        <v>4.6298136899330872E-3</v>
      </c>
      <c r="K56" s="538">
        <f>IF(parameters!$C$27="B",'consumption scenario B'!K52,IF(parameters!$C$27="C",'consumption scenario C'!K52,'consumption scenario A'!K52))</f>
        <v>4.7251878519457089E-3</v>
      </c>
      <c r="L56" s="538">
        <f>IF(parameters!$C$27="B",'consumption scenario B'!L52,IF(parameters!$C$27="C",'consumption scenario C'!L52,'consumption scenario A'!L52))</f>
        <v>4.7577817403228369E-3</v>
      </c>
      <c r="M56" s="449">
        <f>IF(parameters!$C$27="B",'consumption scenario B'!M52,IF(parameters!$C$27="C",'consumption scenario C'!M52,'consumption scenario A'!M52))</f>
        <v>3.5240396970298319E-3</v>
      </c>
      <c r="N56" s="66">
        <f>IF(parameters!$C$27="B",'consumption scenario B'!N52,IF(parameters!$C$27="C",'consumption scenario C'!N52,'consumption scenario A'!N52))</f>
        <v>3.5438157725992147E-3</v>
      </c>
      <c r="O56" s="66">
        <f>IF(parameters!$C$27="B",'consumption scenario B'!O52,IF(parameters!$C$27="C",'consumption scenario C'!O52,'consumption scenario A'!O52))</f>
        <v>3.5543983351104791E-3</v>
      </c>
      <c r="P56" s="66">
        <f>IF(parameters!$C$27="B",'consumption scenario B'!P52,IF(parameters!$C$27="C",'consumption scenario C'!P52,'consumption scenario A'!P52))</f>
        <v>3.566748094986335E-3</v>
      </c>
      <c r="Q56" s="66">
        <f>IF(parameters!$C$27="B",'consumption scenario B'!Q52,IF(parameters!$C$27="C",'consumption scenario C'!Q52,'consumption scenario A'!Q52))</f>
        <v>3.5823927282644394E-3</v>
      </c>
      <c r="R56" s="66">
        <f>IF(parameters!$C$27="B",'consumption scenario B'!R52,IF(parameters!$C$27="C",'consumption scenario C'!R52,'consumption scenario A'!R52))</f>
        <v>3.5872017302463182E-3</v>
      </c>
      <c r="S56" s="66">
        <f>IF(parameters!$C$27="B",'consumption scenario B'!S52,IF(parameters!$C$27="C",'consumption scenario C'!S52,'consumption scenario A'!S52))</f>
        <v>3.591591837125702E-3</v>
      </c>
      <c r="T56" s="66">
        <f>IF(parameters!$C$27="B",'consumption scenario B'!T52,IF(parameters!$C$27="C",'consumption scenario C'!T52,'consumption scenario A'!T52))</f>
        <v>3.5983861411953348E-3</v>
      </c>
      <c r="U56" s="66">
        <f>IF(parameters!$C$27="B",'consumption scenario B'!U52,IF(parameters!$C$27="C",'consumption scenario C'!U52,'consumption scenario A'!U52))</f>
        <v>3.6104747171313688E-3</v>
      </c>
      <c r="V56" s="66">
        <f>IF(parameters!$C$27="B",'consumption scenario B'!V52,IF(parameters!$C$27="C",'consumption scenario C'!V52,'consumption scenario A'!V52))</f>
        <v>3.6235404416828714E-3</v>
      </c>
      <c r="W56" s="66">
        <f>IF(parameters!$C$27="B",'consumption scenario B'!W52,IF(parameters!$C$27="C",'consumption scenario C'!W52,'consumption scenario A'!W52))</f>
        <v>3.6377031120788813E-3</v>
      </c>
      <c r="X56" s="66">
        <f>IF(parameters!$C$27="B",'consumption scenario B'!X52,IF(parameters!$C$27="C",'consumption scenario C'!X52,'consumption scenario A'!X52))</f>
        <v>3.6523619365472293E-3</v>
      </c>
      <c r="Y56" s="66">
        <f>IF(parameters!$C$27="B",'consumption scenario B'!Y52,IF(parameters!$C$27="C",'consumption scenario C'!Y52,'consumption scenario A'!Y52))</f>
        <v>3.6680907174766399E-3</v>
      </c>
      <c r="Z56" s="66">
        <f>IF(parameters!$C$27="B",'consumption scenario B'!Z52,IF(parameters!$C$27="C",'consumption scenario C'!Z52,'consumption scenario A'!Z52))</f>
        <v>3.6829547944741909E-3</v>
      </c>
      <c r="AA56" s="66">
        <f>IF(parameters!$C$27="B",'consumption scenario B'!AA52,IF(parameters!$C$27="C",'consumption scenario C'!AA52,'consumption scenario A'!AA52))</f>
        <v>3.6984451297202305E-3</v>
      </c>
      <c r="AB56" s="66">
        <f>IF(parameters!$C$27="B",'consumption scenario B'!AB52,IF(parameters!$C$27="C",'consumption scenario C'!AB52,'consumption scenario A'!AB52))</f>
        <v>3.7125014139280993E-3</v>
      </c>
      <c r="AC56" s="66">
        <f>IF(parameters!$C$27="B",'consumption scenario B'!AC52,IF(parameters!$C$27="C",'consumption scenario C'!AC52,'consumption scenario A'!AC52))</f>
        <v>3.7252509909949023E-3</v>
      </c>
      <c r="AD56" s="66">
        <f>IF(parameters!$C$27="B",'consumption scenario B'!AD52,IF(parameters!$C$27="C",'consumption scenario C'!AD52,'consumption scenario A'!AD52))</f>
        <v>3.7360909638991372E-3</v>
      </c>
      <c r="AE56" s="66">
        <f>IF(parameters!$C$27="B",'consumption scenario B'!AE52,IF(parameters!$C$27="C",'consumption scenario C'!AE52,'consumption scenario A'!AE52))</f>
        <v>3.747075525172984E-3</v>
      </c>
      <c r="AF56" s="66">
        <f>IF(parameters!$C$27="B",'consumption scenario B'!AF52,IF(parameters!$C$27="C",'consumption scenario C'!AF52,'consumption scenario A'!AF52))</f>
        <v>3.7592579278710827E-3</v>
      </c>
      <c r="AG56" s="66">
        <f>IF(parameters!$C$27="B",'consumption scenario B'!AG52,IF(parameters!$C$27="C",'consumption scenario C'!AG52,'consumption scenario A'!AG52))</f>
        <v>3.772941377247963E-3</v>
      </c>
      <c r="AH56" s="66">
        <f>IF(parameters!$C$27="B",'consumption scenario B'!AH52,IF(parameters!$C$27="C",'consumption scenario C'!AH52,'consumption scenario A'!AH52))</f>
        <v>3.7870078829111272E-3</v>
      </c>
      <c r="AI56" s="66">
        <f>IF(parameters!$C$27="B",'consumption scenario B'!AI52,IF(parameters!$C$27="C",'consumption scenario C'!AI52,'consumption scenario A'!AI52))</f>
        <v>3.8032314347736219E-3</v>
      </c>
      <c r="AJ56" s="66">
        <f>IF(parameters!$C$27="B",'consumption scenario B'!AJ52,IF(parameters!$C$27="C",'consumption scenario C'!AJ52,'consumption scenario A'!AJ52))</f>
        <v>3.8214774861605972E-3</v>
      </c>
      <c r="AK56" s="66">
        <f>IF(parameters!$C$27="B",'consumption scenario B'!AK52,IF(parameters!$C$27="C",'consumption scenario C'!AK52,'consumption scenario A'!AK52))</f>
        <v>3.8407442828911498E-3</v>
      </c>
    </row>
    <row r="57" spans="1:37">
      <c r="A57" s="57" t="s">
        <v>70</v>
      </c>
      <c r="B57" s="66">
        <f>IF(parameters!$C$27="B",'consumption scenario B'!B53,IF(parameters!$C$27="C",'consumption scenario C'!B53,'consumption scenario A'!B53))</f>
        <v>8.6381205803119539E-3</v>
      </c>
      <c r="C57" s="66">
        <f>IF(parameters!$C$27="B",'consumption scenario B'!C53,IF(parameters!$C$27="C",'consumption scenario C'!C53,'consumption scenario A'!C53))</f>
        <v>8.4491107344529335E-3</v>
      </c>
      <c r="D57" s="66">
        <f>IF(parameters!$C$27="B",'consumption scenario B'!D53,IF(parameters!$C$27="C",'consumption scenario C'!D53,'consumption scenario A'!D53))</f>
        <v>8.3943832865140591E-3</v>
      </c>
      <c r="E57" s="66">
        <f>IF(parameters!$C$27="B",'consumption scenario B'!E53,IF(parameters!$C$27="C",'consumption scenario C'!E53,'consumption scenario A'!E53))</f>
        <v>8.4112704645730174E-3</v>
      </c>
      <c r="F57" s="66">
        <f>IF(parameters!$C$27="B",'consumption scenario B'!F53,IF(parameters!$C$27="C",'consumption scenario C'!F53,'consumption scenario A'!F53))</f>
        <v>7.0786391891273217E-3</v>
      </c>
      <c r="G57" s="66">
        <f>IF(parameters!$C$27="B",'consumption scenario B'!G53,IF(parameters!$C$27="C",'consumption scenario C'!G53,'consumption scenario A'!G53))</f>
        <v>8.0444110791542765E-3</v>
      </c>
      <c r="H57" s="66">
        <f>IF(parameters!$C$27="B",'consumption scenario B'!H53,IF(parameters!$C$27="C",'consumption scenario C'!H53,'consumption scenario A'!H53))</f>
        <v>7.4620945943626241E-3</v>
      </c>
      <c r="I57" s="66">
        <f>IF(parameters!$C$27="B",'consumption scenario B'!I53,IF(parameters!$C$27="C",'consumption scenario C'!I53,'consumption scenario A'!I53))</f>
        <v>9.025905514270606E-3</v>
      </c>
      <c r="J57" s="66">
        <f>IF(parameters!$C$27="B",'consumption scenario B'!J53,IF(parameters!$C$27="C",'consumption scenario C'!J53,'consumption scenario A'!J53))</f>
        <v>1.0481696726249734E-2</v>
      </c>
      <c r="K57" s="538">
        <f>IF(parameters!$C$27="B",'consumption scenario B'!K53,IF(parameters!$C$27="C",'consumption scenario C'!K53,'consumption scenario A'!K53))</f>
        <v>7.6542590343438698E-3</v>
      </c>
      <c r="L57" s="538">
        <f>IF(parameters!$C$27="B",'consumption scenario B'!L53,IF(parameters!$C$27="C",'consumption scenario C'!L53,'consumption scenario A'!L53))</f>
        <v>1.0491304948248799E-2</v>
      </c>
      <c r="M57" s="449">
        <f>IF(parameters!$C$27="B",'consumption scenario B'!M53,IF(parameters!$C$27="C",'consumption scenario C'!M53,'consumption scenario A'!M53))</f>
        <v>9.5635689109968107E-3</v>
      </c>
      <c r="N57" s="66">
        <f>IF(parameters!$C$27="B",'consumption scenario B'!N53,IF(parameters!$C$27="C",'consumption scenario C'!N53,'consumption scenario A'!N53))</f>
        <v>8.6732216644605006E-3</v>
      </c>
      <c r="O57" s="66">
        <f>IF(parameters!$C$27="B",'consumption scenario B'!O53,IF(parameters!$C$27="C",'consumption scenario C'!O53,'consumption scenario A'!O53))</f>
        <v>9.1173418278275055E-3</v>
      </c>
      <c r="P57" s="66">
        <f>IF(parameters!$C$27="B",'consumption scenario B'!P53,IF(parameters!$C$27="C",'consumption scenario C'!P53,'consumption scenario A'!P53))</f>
        <v>9.3710883476949489E-3</v>
      </c>
      <c r="Q57" s="66">
        <f>IF(parameters!$C$27="B",'consumption scenario B'!Q53,IF(parameters!$C$27="C",'consumption scenario C'!Q53,'consumption scenario A'!Q53))</f>
        <v>9.4283929014485086E-3</v>
      </c>
      <c r="R57" s="66">
        <f>IF(parameters!$C$27="B",'consumption scenario B'!R53,IF(parameters!$C$27="C",'consumption scenario C'!R53,'consumption scenario A'!R53))</f>
        <v>9.4041011827094446E-3</v>
      </c>
      <c r="S57" s="66">
        <f>IF(parameters!$C$27="B",'consumption scenario B'!S53,IF(parameters!$C$27="C",'consumption scenario C'!S53,'consumption scenario A'!S53))</f>
        <v>9.5106704865247031E-3</v>
      </c>
      <c r="T57" s="66">
        <f>IF(parameters!$C$27="B",'consumption scenario B'!T53,IF(parameters!$C$27="C",'consumption scenario C'!T53,'consumption scenario A'!T53))</f>
        <v>9.6156125672047614E-3</v>
      </c>
      <c r="U57" s="66">
        <f>IF(parameters!$C$27="B",'consumption scenario B'!U53,IF(parameters!$C$27="C",'consumption scenario C'!U53,'consumption scenario A'!U53))</f>
        <v>9.7112638858900101E-3</v>
      </c>
      <c r="V57" s="66">
        <f>IF(parameters!$C$27="B",'consumption scenario B'!V53,IF(parameters!$C$27="C",'consumption scenario C'!V53,'consumption scenario A'!V53))</f>
        <v>9.7892044303754845E-3</v>
      </c>
      <c r="W57" s="66">
        <f>IF(parameters!$C$27="B",'consumption scenario B'!W53,IF(parameters!$C$27="C",'consumption scenario C'!W53,'consumption scenario A'!W53))</f>
        <v>9.770536810050176E-3</v>
      </c>
      <c r="X57" s="66">
        <f>IF(parameters!$C$27="B",'consumption scenario B'!X53,IF(parameters!$C$27="C",'consumption scenario C'!X53,'consumption scenario A'!X53))</f>
        <v>9.8381728569374646E-3</v>
      </c>
      <c r="Y57" s="66">
        <f>IF(parameters!$C$27="B",'consumption scenario B'!Y53,IF(parameters!$C$27="C",'consumption scenario C'!Y53,'consumption scenario A'!Y53))</f>
        <v>9.8999873514067551E-3</v>
      </c>
      <c r="Z57" s="66">
        <f>IF(parameters!$C$27="B",'consumption scenario B'!Z53,IF(parameters!$C$27="C",'consumption scenario C'!Z53,'consumption scenario A'!Z53))</f>
        <v>9.945425390115387E-3</v>
      </c>
      <c r="AA57" s="66">
        <f>IF(parameters!$C$27="B",'consumption scenario B'!AA53,IF(parameters!$C$27="C",'consumption scenario C'!AA53,'consumption scenario A'!AA53))</f>
        <v>9.9456254067786642E-3</v>
      </c>
      <c r="AB57" s="66">
        <f>IF(parameters!$C$27="B",'consumption scenario B'!AB53,IF(parameters!$C$27="C",'consumption scenario C'!AB53,'consumption scenario A'!AB53))</f>
        <v>9.9755516886462624E-3</v>
      </c>
      <c r="AC57" s="66">
        <f>IF(parameters!$C$27="B",'consumption scenario B'!AC53,IF(parameters!$C$27="C",'consumption scenario C'!AC53,'consumption scenario A'!AC53))</f>
        <v>1.0023654712598723E-2</v>
      </c>
      <c r="AD57" s="66">
        <f>IF(parameters!$C$27="B",'consumption scenario B'!AD53,IF(parameters!$C$27="C",'consumption scenario C'!AD53,'consumption scenario A'!AD53))</f>
        <v>1.0041174008383795E-2</v>
      </c>
      <c r="AE57" s="66">
        <f>IF(parameters!$C$27="B",'consumption scenario B'!AE53,IF(parameters!$C$27="C",'consumption scenario C'!AE53,'consumption scenario A'!AE53))</f>
        <v>1.0088542027877387E-2</v>
      </c>
      <c r="AF57" s="66">
        <f>IF(parameters!$C$27="B",'consumption scenario B'!AF53,IF(parameters!$C$27="C",'consumption scenario C'!AF53,'consumption scenario A'!AF53))</f>
        <v>1.0138345213746404E-2</v>
      </c>
      <c r="AG57" s="66">
        <f>IF(parameters!$C$27="B",'consumption scenario B'!AG53,IF(parameters!$C$27="C",'consumption scenario C'!AG53,'consumption scenario A'!AG53))</f>
        <v>1.0213809922456213E-2</v>
      </c>
      <c r="AH57" s="66">
        <f>IF(parameters!$C$27="B",'consumption scenario B'!AH53,IF(parameters!$C$27="C",'consumption scenario C'!AH53,'consumption scenario A'!AH53))</f>
        <v>1.0261753259902955E-2</v>
      </c>
      <c r="AI57" s="66">
        <f>IF(parameters!$C$27="B",'consumption scenario B'!AI53,IF(parameters!$C$27="C",'consumption scenario C'!AI53,'consumption scenario A'!AI53))</f>
        <v>1.0307541185928016E-2</v>
      </c>
      <c r="AJ57" s="66">
        <f>IF(parameters!$C$27="B",'consumption scenario B'!AJ53,IF(parameters!$C$27="C",'consumption scenario C'!AJ53,'consumption scenario A'!AJ53))</f>
        <v>1.0356491404989603E-2</v>
      </c>
      <c r="AK57" s="66">
        <f>IF(parameters!$C$27="B",'consumption scenario B'!AK53,IF(parameters!$C$27="C",'consumption scenario C'!AK53,'consumption scenario A'!AK53))</f>
        <v>1.0381611402598948E-2</v>
      </c>
    </row>
    <row r="58" spans="1:37">
      <c r="A58" s="57" t="s">
        <v>71</v>
      </c>
      <c r="B58" s="66">
        <f>IF(parameters!$C$27="B",'consumption scenario B'!B54,IF(parameters!$C$27="C",'consumption scenario C'!B54,'consumption scenario A'!B54))</f>
        <v>6.4141530715026635E-5</v>
      </c>
      <c r="C58" s="66">
        <f>IF(parameters!$C$27="B",'consumption scenario B'!C54,IF(parameters!$C$27="C",'consumption scenario C'!C54,'consumption scenario A'!C54))</f>
        <v>8.7799011018190325E-5</v>
      </c>
      <c r="D58" s="66">
        <f>IF(parameters!$C$27="B",'consumption scenario B'!D54,IF(parameters!$C$27="C",'consumption scenario C'!D54,'consumption scenario A'!D54))</f>
        <v>1.9140456863198728E-4</v>
      </c>
      <c r="E58" s="66">
        <f>IF(parameters!$C$27="B",'consumption scenario B'!E54,IF(parameters!$C$27="C",'consumption scenario C'!E54,'consumption scenario A'!E54))</f>
        <v>2.0314737129663481E-4</v>
      </c>
      <c r="F58" s="66">
        <f>IF(parameters!$C$27="B",'consumption scenario B'!F54,IF(parameters!$C$27="C",'consumption scenario C'!F54,'consumption scenario A'!F54))</f>
        <v>2.5195631499823356E-4</v>
      </c>
      <c r="G58" s="66">
        <f>IF(parameters!$C$27="B",'consumption scenario B'!G54,IF(parameters!$C$27="C",'consumption scenario C'!G54,'consumption scenario A'!G54))</f>
        <v>2.4329716608371889E-4</v>
      </c>
      <c r="H58" s="66">
        <f>IF(parameters!$C$27="B",'consumption scenario B'!H54,IF(parameters!$C$27="C",'consumption scenario C'!H54,'consumption scenario A'!H54))</f>
        <v>2.7257630270114249E-4</v>
      </c>
      <c r="I58" s="66">
        <f>IF(parameters!$C$27="B",'consumption scenario B'!I54,IF(parameters!$C$27="C",'consumption scenario C'!I54,'consumption scenario A'!I54))</f>
        <v>2.4918414142488174E-4</v>
      </c>
      <c r="J58" s="66">
        <f>IF(parameters!$C$27="B",'consumption scenario B'!J54,IF(parameters!$C$27="C",'consumption scenario C'!J54,'consumption scenario A'!J54))</f>
        <v>3.1148017678110212E-4</v>
      </c>
      <c r="K58" s="538">
        <f>IF(parameters!$C$27="B",'consumption scenario B'!K54,IF(parameters!$C$27="C",'consumption scenario C'!K54,'consumption scenario A'!K54))</f>
        <v>2.7980264280246404E-4</v>
      </c>
      <c r="L58" s="538">
        <f>IF(parameters!$C$27="B",'consumption scenario B'!L54,IF(parameters!$C$27="C",'consumption scenario C'!L54,'consumption scenario A'!L54))</f>
        <v>3.1085721642753989E-4</v>
      </c>
      <c r="M58" s="449">
        <f>IF(parameters!$C$27="B",'consumption scenario B'!M54,IF(parameters!$C$27="C",'consumption scenario C'!M54,'consumption scenario A'!M54))</f>
        <v>1.0680664930692984E-3</v>
      </c>
      <c r="N58" s="66">
        <f>IF(parameters!$C$27="B",'consumption scenario B'!N54,IF(parameters!$C$27="C",'consumption scenario C'!N54,'consumption scenario A'!N54))</f>
        <v>1.1991705929665461E-3</v>
      </c>
      <c r="O58" s="66">
        <f>IF(parameters!$C$27="B",'consumption scenario B'!O54,IF(parameters!$C$27="C",'consumption scenario C'!O54,'consumption scenario A'!O54))</f>
        <v>1.3625559005886482E-3</v>
      </c>
      <c r="P58" s="66">
        <f>IF(parameters!$C$27="B",'consumption scenario B'!P54,IF(parameters!$C$27="C",'consumption scenario C'!P54,'consumption scenario A'!P54))</f>
        <v>1.5119247856123467E-3</v>
      </c>
      <c r="Q58" s="66">
        <f>IF(parameters!$C$27="B",'consumption scenario B'!Q54,IF(parameters!$C$27="C",'consumption scenario C'!Q54,'consumption scenario A'!Q54))</f>
        <v>1.5918008520478598E-3</v>
      </c>
      <c r="R58" s="66">
        <f>IF(parameters!$C$27="B",'consumption scenario B'!R54,IF(parameters!$C$27="C",'consumption scenario C'!R54,'consumption scenario A'!R54))</f>
        <v>2.1677019067323404E-3</v>
      </c>
      <c r="S58" s="66">
        <f>IF(parameters!$C$27="B",'consumption scenario B'!S54,IF(parameters!$C$27="C",'consumption scenario C'!S54,'consumption scenario A'!S54))</f>
        <v>2.3595533233048164E-3</v>
      </c>
      <c r="T58" s="66">
        <f>IF(parameters!$C$27="B",'consumption scenario B'!T54,IF(parameters!$C$27="C",'consumption scenario C'!T54,'consumption scenario A'!T54))</f>
        <v>2.4938761171925915E-3</v>
      </c>
      <c r="U58" s="66">
        <f>IF(parameters!$C$27="B",'consumption scenario B'!U54,IF(parameters!$C$27="C",'consumption scenario C'!U54,'consumption scenario A'!U54))</f>
        <v>2.5356916028963618E-3</v>
      </c>
      <c r="V58" s="66">
        <f>IF(parameters!$C$27="B",'consumption scenario B'!V54,IF(parameters!$C$27="C",'consumption scenario C'!V54,'consumption scenario A'!V54))</f>
        <v>2.6675872520856886E-3</v>
      </c>
      <c r="W58" s="66">
        <f>IF(parameters!$C$27="B",'consumption scenario B'!W54,IF(parameters!$C$27="C",'consumption scenario C'!W54,'consumption scenario A'!W54))</f>
        <v>2.8702696736976935E-3</v>
      </c>
      <c r="X58" s="66">
        <f>IF(parameters!$C$27="B",'consumption scenario B'!X54,IF(parameters!$C$27="C",'consumption scenario C'!X54,'consumption scenario A'!X54))</f>
        <v>3.0551466490352126E-3</v>
      </c>
      <c r="Y58" s="66">
        <f>IF(parameters!$C$27="B",'consumption scenario B'!Y54,IF(parameters!$C$27="C",'consumption scenario C'!Y54,'consumption scenario A'!Y54))</f>
        <v>3.2527166058740828E-3</v>
      </c>
      <c r="Z58" s="66">
        <f>IF(parameters!$C$27="B",'consumption scenario B'!Z54,IF(parameters!$C$27="C",'consumption scenario C'!Z54,'consumption scenario A'!Z54))</f>
        <v>3.453301956007614E-3</v>
      </c>
      <c r="AA58" s="66">
        <f>IF(parameters!$C$27="B",'consumption scenario B'!AA54,IF(parameters!$C$27="C",'consumption scenario C'!AA54,'consumption scenario A'!AA54))</f>
        <v>3.6586321658800412E-3</v>
      </c>
      <c r="AB58" s="66">
        <f>IF(parameters!$C$27="B",'consumption scenario B'!AB54,IF(parameters!$C$27="C",'consumption scenario C'!AB54,'consumption scenario A'!AB54))</f>
        <v>3.8772706342459357E-3</v>
      </c>
      <c r="AC58" s="66">
        <f>IF(parameters!$C$27="B",'consumption scenario B'!AC54,IF(parameters!$C$27="C",'consumption scenario C'!AC54,'consumption scenario A'!AC54))</f>
        <v>4.0912964608937332E-3</v>
      </c>
      <c r="AD58" s="66">
        <f>IF(parameters!$C$27="B",'consumption scenario B'!AD54,IF(parameters!$C$27="C",'consumption scenario C'!AD54,'consumption scenario A'!AD54))</f>
        <v>4.3123909015732051E-3</v>
      </c>
      <c r="AE58" s="66">
        <f>IF(parameters!$C$27="B",'consumption scenario B'!AE54,IF(parameters!$C$27="C",'consumption scenario C'!AE54,'consumption scenario A'!AE54))</f>
        <v>4.5518376999878667E-3</v>
      </c>
      <c r="AF58" s="66">
        <f>IF(parameters!$C$27="B",'consumption scenario B'!AF54,IF(parameters!$C$27="C",'consumption scenario C'!AF54,'consumption scenario A'!AF54))</f>
        <v>4.7798192708668275E-3</v>
      </c>
      <c r="AG58" s="66">
        <f>IF(parameters!$C$27="B",'consumption scenario B'!AG54,IF(parameters!$C$27="C",'consumption scenario C'!AG54,'consumption scenario A'!AG54))</f>
        <v>5.000531218905431E-3</v>
      </c>
      <c r="AH58" s="66">
        <f>IF(parameters!$C$27="B",'consumption scenario B'!AH54,IF(parameters!$C$27="C",'consumption scenario C'!AH54,'consumption scenario A'!AH54))</f>
        <v>5.3138319443982122E-3</v>
      </c>
      <c r="AI58" s="66">
        <f>IF(parameters!$C$27="B",'consumption scenario B'!AI54,IF(parameters!$C$27="C",'consumption scenario C'!AI54,'consumption scenario A'!AI54))</f>
        <v>5.5652323183254145E-3</v>
      </c>
      <c r="AJ58" s="66">
        <f>IF(parameters!$C$27="B",'consumption scenario B'!AJ54,IF(parameters!$C$27="C",'consumption scenario C'!AJ54,'consumption scenario A'!AJ54))</f>
        <v>5.8366122504585121E-3</v>
      </c>
      <c r="AK58" s="66">
        <f>IF(parameters!$C$27="B",'consumption scenario B'!AK54,IF(parameters!$C$27="C",'consumption scenario C'!AK54,'consumption scenario A'!AK54))</f>
        <v>6.1378262509239811E-3</v>
      </c>
    </row>
    <row r="59" spans="1:37">
      <c r="A59" s="57" t="s">
        <v>72</v>
      </c>
      <c r="B59" s="66">
        <f>IF(parameters!$C$27="B",'consumption scenario B'!B55,IF(parameters!$C$27="C",'consumption scenario C'!B55,'consumption scenario A'!B55))</f>
        <v>0</v>
      </c>
      <c r="C59" s="66">
        <f>IF(parameters!$C$27="B",'consumption scenario B'!C55,IF(parameters!$C$27="C",'consumption scenario C'!C55,'consumption scenario A'!C55))</f>
        <v>0</v>
      </c>
      <c r="D59" s="66">
        <f>IF(parameters!$C$27="B",'consumption scenario B'!D55,IF(parameters!$C$27="C",'consumption scenario C'!D55,'consumption scenario A'!D55))</f>
        <v>0</v>
      </c>
      <c r="E59" s="66">
        <f>IF(parameters!$C$27="B",'consumption scenario B'!E55,IF(parameters!$C$27="C",'consumption scenario C'!E55,'consumption scenario A'!E55))</f>
        <v>0</v>
      </c>
      <c r="F59" s="66">
        <f>IF(parameters!$C$27="B",'consumption scenario B'!F55,IF(parameters!$C$27="C",'consumption scenario C'!F55,'consumption scenario A'!F55))</f>
        <v>0</v>
      </c>
      <c r="G59" s="66">
        <f>IF(parameters!$C$27="B",'consumption scenario B'!G55,IF(parameters!$C$27="C",'consumption scenario C'!G55,'consumption scenario A'!G55))</f>
        <v>0</v>
      </c>
      <c r="H59" s="66">
        <f>IF(parameters!$C$27="B",'consumption scenario B'!H55,IF(parameters!$C$27="C",'consumption scenario C'!H55,'consumption scenario A'!H55))</f>
        <v>0</v>
      </c>
      <c r="I59" s="66">
        <f>IF(parameters!$C$27="B",'consumption scenario B'!I55,IF(parameters!$C$27="C",'consumption scenario C'!I55,'consumption scenario A'!I55))</f>
        <v>0</v>
      </c>
      <c r="J59" s="66">
        <f>IF(parameters!$C$27="B",'consumption scenario B'!J55,IF(parameters!$C$27="C",'consumption scenario C'!J55,'consumption scenario A'!J55))</f>
        <v>0</v>
      </c>
      <c r="K59" s="538">
        <f>IF(parameters!$C$27="B",'consumption scenario B'!K55,IF(parameters!$C$27="C",'consumption scenario C'!K55,'consumption scenario A'!K55))</f>
        <v>1.8519254759732349E-7</v>
      </c>
      <c r="L59" s="538">
        <f>IF(parameters!$C$27="B",'consumption scenario B'!L55,IF(parameters!$C$27="C",'consumption scenario C'!L55,'consumption scenario A'!L55))</f>
        <v>8.5188571894768807E-6</v>
      </c>
      <c r="M59" s="449">
        <f>IF(parameters!$C$27="B",'consumption scenario B'!M55,IF(parameters!$C$27="C",'consumption scenario C'!M55,'consumption scenario A'!M55))</f>
        <v>7.6812258118750917E-6</v>
      </c>
      <c r="N59" s="66">
        <f>IF(parameters!$C$27="B",'consumption scenario B'!N55,IF(parameters!$C$27="C",'consumption scenario C'!N55,'consumption scenario A'!N55))</f>
        <v>1.1681789790085217E-5</v>
      </c>
      <c r="O59" s="66">
        <f>IF(parameters!$C$27="B",'consumption scenario B'!O55,IF(parameters!$C$27="C",'consumption scenario C'!O55,'consumption scenario A'!O55))</f>
        <v>2.3390265893364494E-5</v>
      </c>
      <c r="P59" s="66">
        <f>IF(parameters!$C$27="B",'consumption scenario B'!P55,IF(parameters!$C$27="C",'consumption scenario C'!P55,'consumption scenario A'!P55))</f>
        <v>4.0271768787402663E-5</v>
      </c>
      <c r="Q59" s="66">
        <f>IF(parameters!$C$27="B",'consumption scenario B'!Q55,IF(parameters!$C$27="C",'consumption scenario C'!Q55,'consumption scenario A'!Q55))</f>
        <v>6.7563927536998274E-5</v>
      </c>
      <c r="R59" s="66">
        <f>IF(parameters!$C$27="B",'consumption scenario B'!R55,IF(parameters!$C$27="C",'consumption scenario C'!R55,'consumption scenario A'!R55))</f>
        <v>1.0255306961137048E-4</v>
      </c>
      <c r="S59" s="66">
        <f>IF(parameters!$C$27="B",'consumption scenario B'!S55,IF(parameters!$C$27="C",'consumption scenario C'!S55,'consumption scenario A'!S55))</f>
        <v>1.4116481658685756E-4</v>
      </c>
      <c r="T59" s="66">
        <f>IF(parameters!$C$27="B",'consumption scenario B'!T55,IF(parameters!$C$27="C",'consumption scenario C'!T55,'consumption scenario A'!T55))</f>
        <v>1.7950551258727237E-4</v>
      </c>
      <c r="U59" s="66">
        <f>IF(parameters!$C$27="B",'consumption scenario B'!U55,IF(parameters!$C$27="C",'consumption scenario C'!U55,'consumption scenario A'!U55))</f>
        <v>2.2030225940287916E-4</v>
      </c>
      <c r="V59" s="66">
        <f>IF(parameters!$C$27="B",'consumption scenario B'!V55,IF(parameters!$C$27="C",'consumption scenario C'!V55,'consumption scenario A'!V55))</f>
        <v>2.6648087784777969E-4</v>
      </c>
      <c r="W59" s="66">
        <f>IF(parameters!$C$27="B",'consumption scenario B'!W55,IF(parameters!$C$27="C",'consumption scenario C'!W55,'consumption scenario A'!W55))</f>
        <v>3.1016375665115223E-4</v>
      </c>
      <c r="X59" s="66">
        <f>IF(parameters!$C$27="B",'consumption scenario B'!X55,IF(parameters!$C$27="C",'consumption scenario C'!X55,'consumption scenario A'!X55))</f>
        <v>3.4819834307924771E-4</v>
      </c>
      <c r="Y59" s="66">
        <f>IF(parameters!$C$27="B",'consumption scenario B'!Y55,IF(parameters!$C$27="C",'consumption scenario C'!Y55,'consumption scenario A'!Y55))</f>
        <v>3.8058720010738167E-4</v>
      </c>
      <c r="Z59" s="66">
        <f>IF(parameters!$C$27="B",'consumption scenario B'!Z55,IF(parameters!$C$27="C",'consumption scenario C'!Z55,'consumption scenario A'!Z55))</f>
        <v>4.11428260228219E-4</v>
      </c>
      <c r="AA59" s="66">
        <f>IF(parameters!$C$27="B",'consumption scenario B'!AA55,IF(parameters!$C$27="C",'consumption scenario C'!AA55,'consumption scenario A'!AA55))</f>
        <v>4.4127654810609458E-4</v>
      </c>
      <c r="AB59" s="66">
        <f>IF(parameters!$C$27="B",'consumption scenario B'!AB55,IF(parameters!$C$27="C",'consumption scenario C'!AB55,'consumption scenario A'!AB55))</f>
        <v>4.6912161724447642E-4</v>
      </c>
      <c r="AC59" s="66">
        <f>IF(parameters!$C$27="B",'consumption scenario B'!AC55,IF(parameters!$C$27="C",'consumption scenario C'!AC55,'consumption scenario A'!AC55))</f>
        <v>4.9546893733998221E-4</v>
      </c>
      <c r="AD59" s="66">
        <f>IF(parameters!$C$27="B",'consumption scenario B'!AD55,IF(parameters!$C$27="C",'consumption scenario C'!AD55,'consumption scenario A'!AD55))</f>
        <v>5.2060703441858482E-4</v>
      </c>
      <c r="AE59" s="66">
        <f>IF(parameters!$C$27="B",'consumption scenario B'!AE55,IF(parameters!$C$27="C",'consumption scenario C'!AE55,'consumption scenario A'!AE55))</f>
        <v>5.44796251843379E-4</v>
      </c>
      <c r="AF59" s="66">
        <f>IF(parameters!$C$27="B",'consumption scenario B'!AF55,IF(parameters!$C$27="C",'consumption scenario C'!AF55,'consumption scenario A'!AF55))</f>
        <v>5.6764274446841068E-4</v>
      </c>
      <c r="AG59" s="66">
        <f>IF(parameters!$C$27="B",'consumption scenario B'!AG55,IF(parameters!$C$27="C",'consumption scenario C'!AG55,'consumption scenario A'!AG55))</f>
        <v>5.9001049482059137E-4</v>
      </c>
      <c r="AH59" s="66">
        <f>IF(parameters!$C$27="B",'consumption scenario B'!AH55,IF(parameters!$C$27="C",'consumption scenario C'!AH55,'consumption scenario A'!AH55))</f>
        <v>6.1066574628897401E-4</v>
      </c>
      <c r="AI59" s="66">
        <f>IF(parameters!$C$27="B",'consumption scenario B'!AI55,IF(parameters!$C$27="C",'consumption scenario C'!AI55,'consumption scenario A'!AI55))</f>
        <v>6.2997048540308859E-4</v>
      </c>
      <c r="AJ59" s="66">
        <f>IF(parameters!$C$27="B",'consumption scenario B'!AJ55,IF(parameters!$C$27="C",'consumption scenario C'!AJ55,'consumption scenario A'!AJ55))</f>
        <v>6.4786557278247463E-4</v>
      </c>
      <c r="AK59" s="66">
        <f>IF(parameters!$C$27="B",'consumption scenario B'!AK55,IF(parameters!$C$27="C",'consumption scenario C'!AK55,'consumption scenario A'!AK55))</f>
        <v>6.655663437938375E-4</v>
      </c>
    </row>
    <row r="60" spans="1:37">
      <c r="A60" s="57" t="s">
        <v>27</v>
      </c>
      <c r="B60" s="66">
        <f>IF(parameters!$C$27="B",'consumption scenario B'!B56,IF(parameters!$C$27="C",'consumption scenario C'!B56,'consumption scenario A'!B56))</f>
        <v>5.6235595390524971E-6</v>
      </c>
      <c r="C60" s="66">
        <f>IF(parameters!$C$27="B",'consumption scenario B'!C56,IF(parameters!$C$27="C",'consumption scenario C'!C56,'consumption scenario A'!C56))</f>
        <v>3.8583013230900555E-6</v>
      </c>
      <c r="D60" s="66">
        <f>IF(parameters!$C$27="B",'consumption scenario B'!D56,IF(parameters!$C$27="C",'consumption scenario C'!D56,'consumption scenario A'!D56))</f>
        <v>5.2343149807938542E-6</v>
      </c>
      <c r="E60" s="66">
        <f>IF(parameters!$C$27="B",'consumption scenario B'!E56,IF(parameters!$C$27="C",'consumption scenario C'!E56,'consumption scenario A'!E56))</f>
        <v>5.3367477592829711E-6</v>
      </c>
      <c r="F60" s="66">
        <f>IF(parameters!$C$27="B",'consumption scenario B'!F56,IF(parameters!$C$27="C",'consumption scenario C'!F56,'consumption scenario A'!F56))</f>
        <v>8.9594536918480589E-6</v>
      </c>
      <c r="G60" s="66">
        <f>IF(parameters!$C$27="B",'consumption scenario B'!G56,IF(parameters!$C$27="C",'consumption scenario C'!G56,'consumption scenario A'!G56))</f>
        <v>2.3726845924029026E-5</v>
      </c>
      <c r="H60" s="66">
        <f>IF(parameters!$C$27="B",'consumption scenario B'!H56,IF(parameters!$C$27="C",'consumption scenario C'!H56,'consumption scenario A'!H56))</f>
        <v>2.4184379001280413E-5</v>
      </c>
      <c r="I60" s="66">
        <f>IF(parameters!$C$27="B",'consumption scenario B'!I56,IF(parameters!$C$27="C",'consumption scenario C'!I56,'consumption scenario A'!I56))</f>
        <v>2.3805377720870681E-5</v>
      </c>
      <c r="J60" s="66">
        <f>IF(parameters!$C$27="B",'consumption scenario B'!J56,IF(parameters!$C$27="C",'consumption scenario C'!J56,'consumption scenario A'!J56))</f>
        <v>2.9188476312419975E-4</v>
      </c>
      <c r="K60" s="538">
        <f>IF(parameters!$C$27="B",'consumption scenario B'!K56,IF(parameters!$C$27="C",'consumption scenario C'!K56,'consumption scenario A'!K56))</f>
        <v>5.7637900128040972E-4</v>
      </c>
      <c r="L60" s="538">
        <f>IF(parameters!$C$27="B",'consumption scenario B'!L56,IF(parameters!$C$27="C",'consumption scenario C'!L56,'consumption scenario A'!L56))</f>
        <v>1.1620145113102858E-4</v>
      </c>
      <c r="M60" s="449">
        <f>IF(parameters!$C$27="B",'consumption scenario B'!M56,IF(parameters!$C$27="C",'consumption scenario C'!M56,'consumption scenario A'!M56))</f>
        <v>1.3979172001707217E-4</v>
      </c>
      <c r="N60" s="66">
        <f>IF(parameters!$C$27="B",'consumption scenario B'!N56,IF(parameters!$C$27="C",'consumption scenario C'!N56,'consumption scenario A'!N56))</f>
        <v>6.172356807511738E-4</v>
      </c>
      <c r="O60" s="66">
        <f>IF(parameters!$C$27="B",'consumption scenario B'!O56,IF(parameters!$C$27="C",'consumption scenario C'!O56,'consumption scenario A'!O56))</f>
        <v>8.5457311139564669E-4</v>
      </c>
      <c r="P60" s="66">
        <f>IF(parameters!$C$27="B",'consumption scenario B'!P56,IF(parameters!$C$27="C",'consumption scenario C'!P56,'consumption scenario A'!P56))</f>
        <v>1.1288348271446863E-3</v>
      </c>
      <c r="Q60" s="66">
        <f>IF(parameters!$C$27="B",'consumption scenario B'!Q56,IF(parameters!$C$27="C",'consumption scenario C'!Q56,'consumption scenario A'!Q56))</f>
        <v>1.4242055484421684E-3</v>
      </c>
      <c r="R60" s="66">
        <f>IF(parameters!$C$27="B",'consumption scenario B'!R56,IF(parameters!$C$27="C",'consumption scenario C'!R56,'consumption scenario A'!R56))</f>
        <v>1.7494842509603072E-3</v>
      </c>
      <c r="S60" s="66">
        <f>IF(parameters!$C$27="B",'consumption scenario B'!S56,IF(parameters!$C$27="C",'consumption scenario C'!S56,'consumption scenario A'!S56))</f>
        <v>2.0987107127614169E-3</v>
      </c>
      <c r="T60" s="66">
        <f>IF(parameters!$C$27="B",'consumption scenario B'!T56,IF(parameters!$C$27="C",'consumption scenario C'!T56,'consumption scenario A'!T56))</f>
        <v>2.4682461801109694E-3</v>
      </c>
      <c r="U60" s="66">
        <f>IF(parameters!$C$27="B",'consumption scenario B'!U56,IF(parameters!$C$27="C",'consumption scenario C'!U56,'consumption scenario A'!U56))</f>
        <v>2.8554704225352114E-3</v>
      </c>
      <c r="V60" s="66">
        <f>IF(parameters!$C$27="B",'consumption scenario B'!V56,IF(parameters!$C$27="C",'consumption scenario C'!V56,'consumption scenario A'!V56))</f>
        <v>3.2612732394366193E-3</v>
      </c>
      <c r="W60" s="66">
        <f>IF(parameters!$C$27="B",'consumption scenario B'!W56,IF(parameters!$C$27="C",'consumption scenario C'!W56,'consumption scenario A'!W56))</f>
        <v>3.6836431924882631E-3</v>
      </c>
      <c r="X60" s="66">
        <f>IF(parameters!$C$27="B",'consumption scenario B'!X56,IF(parameters!$C$27="C",'consumption scenario C'!X56,'consumption scenario A'!X56))</f>
        <v>4.1007153222364506E-3</v>
      </c>
      <c r="Y60" s="66">
        <f>IF(parameters!$C$27="B",'consumption scenario B'!Y56,IF(parameters!$C$27="C",'consumption scenario C'!Y56,'consumption scenario A'!Y56))</f>
        <v>4.5081075544174138E-3</v>
      </c>
      <c r="Z60" s="66">
        <f>IF(parameters!$C$27="B",'consumption scenario B'!Z56,IF(parameters!$C$27="C",'consumption scenario C'!Z56,'consumption scenario A'!Z56))</f>
        <v>4.9006675202731527E-3</v>
      </c>
      <c r="AA60" s="66">
        <f>IF(parameters!$C$27="B",'consumption scenario B'!AA56,IF(parameters!$C$27="C",'consumption scenario C'!AA56,'consumption scenario A'!AA56))</f>
        <v>5.2743320529236026E-3</v>
      </c>
      <c r="AB60" s="66">
        <f>IF(parameters!$C$27="B",'consumption scenario B'!AB56,IF(parameters!$C$27="C",'consumption scenario C'!AB56,'consumption scenario A'!AB56))</f>
        <v>5.567743918053778E-3</v>
      </c>
      <c r="AC60" s="66">
        <f>IF(parameters!$C$27="B",'consumption scenario B'!AC56,IF(parameters!$C$27="C",'consumption scenario C'!AC56,'consumption scenario A'!AC56))</f>
        <v>5.8514246692274868E-3</v>
      </c>
      <c r="AD60" s="66">
        <f>IF(parameters!$C$27="B",'consumption scenario B'!AD56,IF(parameters!$C$27="C",'consumption scenario C'!AD56,'consumption scenario A'!AD56))</f>
        <v>6.0934221084080259E-3</v>
      </c>
      <c r="AE60" s="66">
        <f>IF(parameters!$C$27="B",'consumption scenario B'!AE56,IF(parameters!$C$27="C",'consumption scenario C'!AE56,'consumption scenario A'!AE56))</f>
        <v>6.3314622279129328E-3</v>
      </c>
      <c r="AF60" s="66">
        <f>IF(parameters!$C$27="B",'consumption scenario B'!AF56,IF(parameters!$C$27="C",'consumption scenario C'!AF56,'consumption scenario A'!AF56))</f>
        <v>6.4979496372172428E-3</v>
      </c>
      <c r="AG60" s="66">
        <f>IF(parameters!$C$27="B",'consumption scenario B'!AG56,IF(parameters!$C$27="C",'consumption scenario C'!AG56,'consumption scenario A'!AG56))</f>
        <v>6.7705352112675315E-3</v>
      </c>
      <c r="AH60" s="66">
        <f>IF(parameters!$C$27="B",'consumption scenario B'!AH56,IF(parameters!$C$27="C",'consumption scenario C'!AH56,'consumption scenario A'!AH56))</f>
        <v>7.0045801109687609E-3</v>
      </c>
      <c r="AI60" s="66">
        <f>IF(parameters!$C$27="B",'consumption scenario B'!AI56,IF(parameters!$C$27="C",'consumption scenario C'!AI56,'consumption scenario A'!AI56))</f>
        <v>7.2386250106699895E-3</v>
      </c>
      <c r="AJ60" s="66">
        <f>IF(parameters!$C$27="B",'consumption scenario B'!AJ56,IF(parameters!$C$27="C",'consumption scenario C'!AJ56,'consumption scenario A'!AJ56))</f>
        <v>7.472669910371218E-3</v>
      </c>
      <c r="AK60" s="66">
        <f>IF(parameters!$C$27="B",'consumption scenario B'!AK56,IF(parameters!$C$27="C",'consumption scenario C'!AK56,'consumption scenario A'!AK56))</f>
        <v>7.7067148100724474E-3</v>
      </c>
    </row>
    <row r="61" spans="1:37">
      <c r="A61" s="57" t="s">
        <v>28</v>
      </c>
      <c r="B61" s="85">
        <f t="shared" ref="B61:AK61" si="5">SUM(B50:B60)</f>
        <v>0.61370806478541706</v>
      </c>
      <c r="C61" s="85">
        <f t="shared" si="5"/>
        <v>0.62401483472432584</v>
      </c>
      <c r="D61" s="85">
        <f t="shared" si="5"/>
        <v>0.64852379745270761</v>
      </c>
      <c r="E61" s="85">
        <f t="shared" si="5"/>
        <v>0.62920737323950415</v>
      </c>
      <c r="F61" s="85">
        <f t="shared" si="5"/>
        <v>0.58888169269205404</v>
      </c>
      <c r="G61" s="85">
        <f t="shared" si="5"/>
        <v>0.59428593911080307</v>
      </c>
      <c r="H61" s="85">
        <f t="shared" si="5"/>
        <v>0.5764253662279204</v>
      </c>
      <c r="I61" s="85">
        <f t="shared" si="5"/>
        <v>0.55637907169654488</v>
      </c>
      <c r="J61" s="85">
        <f t="shared" si="5"/>
        <v>0.56491085796113183</v>
      </c>
      <c r="K61" s="85">
        <f t="shared" si="5"/>
        <v>0.56516268233575506</v>
      </c>
      <c r="L61" s="85">
        <f t="shared" si="5"/>
        <v>0.56989884708936211</v>
      </c>
      <c r="M61" s="375">
        <f t="shared" si="5"/>
        <v>0.62030026223733492</v>
      </c>
      <c r="N61" s="85">
        <f t="shared" si="5"/>
        <v>0.62653230291984363</v>
      </c>
      <c r="O61" s="85">
        <f t="shared" si="5"/>
        <v>0.62859328189599351</v>
      </c>
      <c r="P61" s="85">
        <f t="shared" si="5"/>
        <v>0.63084514771571254</v>
      </c>
      <c r="Q61" s="85">
        <f t="shared" si="5"/>
        <v>0.61564015293002228</v>
      </c>
      <c r="R61" s="85">
        <f t="shared" si="5"/>
        <v>0.62789466684454898</v>
      </c>
      <c r="S61" s="85">
        <f t="shared" si="5"/>
        <v>0.61957984251504172</v>
      </c>
      <c r="T61" s="85">
        <f t="shared" si="5"/>
        <v>0.61359909254335221</v>
      </c>
      <c r="U61" s="85">
        <f t="shared" si="5"/>
        <v>0.61095983912971186</v>
      </c>
      <c r="V61" s="85">
        <f t="shared" si="5"/>
        <v>0.60624058234338496</v>
      </c>
      <c r="W61" s="85">
        <f t="shared" si="5"/>
        <v>0.60018577149236818</v>
      </c>
      <c r="X61" s="85">
        <f t="shared" si="5"/>
        <v>0.59729807368512178</v>
      </c>
      <c r="Y61" s="85">
        <f t="shared" si="5"/>
        <v>0.59482333895931283</v>
      </c>
      <c r="Z61" s="85">
        <f t="shared" si="5"/>
        <v>0.59266173880943707</v>
      </c>
      <c r="AA61" s="85">
        <f t="shared" si="5"/>
        <v>0.59099726047472867</v>
      </c>
      <c r="AB61" s="85">
        <f t="shared" si="5"/>
        <v>0.58930941091872413</v>
      </c>
      <c r="AC61" s="85">
        <f t="shared" si="5"/>
        <v>0.58827459316323105</v>
      </c>
      <c r="AD61" s="85">
        <f t="shared" si="5"/>
        <v>0.58764365696910648</v>
      </c>
      <c r="AE61" s="85">
        <f t="shared" si="5"/>
        <v>0.58768826282711184</v>
      </c>
      <c r="AF61" s="85">
        <f t="shared" si="5"/>
        <v>0.58822393926800021</v>
      </c>
      <c r="AG61" s="85">
        <f t="shared" si="5"/>
        <v>0.59000079288943075</v>
      </c>
      <c r="AH61" s="85">
        <f t="shared" si="5"/>
        <v>0.59060930010021617</v>
      </c>
      <c r="AI61" s="85">
        <f t="shared" si="5"/>
        <v>0.59253889819459282</v>
      </c>
      <c r="AJ61" s="85">
        <f t="shared" si="5"/>
        <v>0.59451435837907241</v>
      </c>
      <c r="AK61" s="85">
        <f t="shared" si="5"/>
        <v>0.59690164605770957</v>
      </c>
    </row>
    <row r="62" spans="1:37">
      <c r="K62" s="2"/>
      <c r="L62" s="2"/>
      <c r="M62" s="18"/>
    </row>
    <row r="63" spans="1:37">
      <c r="A63" s="57" t="s">
        <v>448</v>
      </c>
      <c r="B63" s="66">
        <f t="shared" ref="B63:AK63" si="6">B13+B25+B46+B60</f>
        <v>0.2848491677336748</v>
      </c>
      <c r="C63" s="66">
        <f t="shared" si="6"/>
        <v>0.29034002560819466</v>
      </c>
      <c r="D63" s="66">
        <f t="shared" si="6"/>
        <v>0.29275952880921896</v>
      </c>
      <c r="E63" s="66">
        <f t="shared" si="6"/>
        <v>0.29819166538625697</v>
      </c>
      <c r="F63" s="66">
        <f t="shared" si="6"/>
        <v>0.30801537174562527</v>
      </c>
      <c r="G63" s="66">
        <f t="shared" si="6"/>
        <v>0.30859571489543325</v>
      </c>
      <c r="H63" s="66">
        <f t="shared" si="6"/>
        <v>0.32001678873239436</v>
      </c>
      <c r="I63" s="66">
        <f t="shared" si="6"/>
        <v>0.31527594024754596</v>
      </c>
      <c r="J63" s="66">
        <f t="shared" si="6"/>
        <v>0.32321395390524971</v>
      </c>
      <c r="K63" s="538">
        <f t="shared" si="6"/>
        <v>0.32423589244558265</v>
      </c>
      <c r="L63" s="538">
        <f t="shared" si="6"/>
        <v>0.31953592573623563</v>
      </c>
      <c r="M63" s="449">
        <f t="shared" si="6"/>
        <v>0.31488841923550687</v>
      </c>
      <c r="N63" s="66">
        <f t="shared" si="6"/>
        <v>0.30332012857384211</v>
      </c>
      <c r="O63" s="66">
        <f t="shared" si="6"/>
        <v>0.30390001248335979</v>
      </c>
      <c r="P63" s="66">
        <f t="shared" si="6"/>
        <v>0.30205822264127702</v>
      </c>
      <c r="Q63" s="66">
        <f t="shared" si="6"/>
        <v>0.29961273463444821</v>
      </c>
      <c r="R63" s="66">
        <f t="shared" si="6"/>
        <v>0.29730729750256596</v>
      </c>
      <c r="S63" s="66">
        <f t="shared" si="6"/>
        <v>0.29493961982437561</v>
      </c>
      <c r="T63" s="66">
        <f t="shared" si="6"/>
        <v>0.29257811611118739</v>
      </c>
      <c r="U63" s="66">
        <f t="shared" si="6"/>
        <v>0.29022460830068803</v>
      </c>
      <c r="V63" s="66">
        <f t="shared" si="6"/>
        <v>0.28815215281626633</v>
      </c>
      <c r="W63" s="66">
        <f t="shared" si="6"/>
        <v>0.28621517424178922</v>
      </c>
      <c r="X63" s="66">
        <f t="shared" si="6"/>
        <v>0.28463166045604438</v>
      </c>
      <c r="Y63" s="66">
        <f t="shared" si="6"/>
        <v>0.28357682101942472</v>
      </c>
      <c r="Z63" s="66">
        <f t="shared" si="6"/>
        <v>0.2840305316468254</v>
      </c>
      <c r="AA63" s="66">
        <f t="shared" si="6"/>
        <v>0.28626306293150316</v>
      </c>
      <c r="AB63" s="66">
        <f t="shared" si="6"/>
        <v>0.28817032063530174</v>
      </c>
      <c r="AC63" s="66">
        <f t="shared" si="6"/>
        <v>0.29116937381498598</v>
      </c>
      <c r="AD63" s="66">
        <f t="shared" si="6"/>
        <v>0.29432204133525908</v>
      </c>
      <c r="AE63" s="66">
        <f t="shared" si="6"/>
        <v>0.29762295264554506</v>
      </c>
      <c r="AF63" s="66">
        <f t="shared" si="6"/>
        <v>0.30111226856530598</v>
      </c>
      <c r="AG63" s="66">
        <f t="shared" si="6"/>
        <v>0.30418063380644933</v>
      </c>
      <c r="AH63" s="66">
        <f t="shared" si="6"/>
        <v>0.30741438127550585</v>
      </c>
      <c r="AI63" s="66">
        <f t="shared" si="6"/>
        <v>0.31064812874456277</v>
      </c>
      <c r="AJ63" s="66">
        <f t="shared" si="6"/>
        <v>0.31388187621361968</v>
      </c>
      <c r="AK63" s="66">
        <f t="shared" si="6"/>
        <v>0.31711562368267665</v>
      </c>
    </row>
    <row r="64" spans="1:37">
      <c r="K64" s="2"/>
      <c r="L64" s="2"/>
      <c r="M64" s="18"/>
    </row>
    <row r="65" spans="1:40">
      <c r="A65" s="57" t="s">
        <v>956</v>
      </c>
      <c r="B65" s="76"/>
      <c r="C65" s="76"/>
      <c r="D65" s="76"/>
      <c r="E65" s="76"/>
      <c r="F65" s="76"/>
      <c r="G65" s="76"/>
      <c r="H65" s="76"/>
      <c r="I65" s="76"/>
      <c r="J65" s="76"/>
      <c r="K65" s="278"/>
      <c r="L65" s="278"/>
      <c r="M65" s="3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94"/>
    </row>
    <row r="66" spans="1:40">
      <c r="A66" s="91" t="s">
        <v>372</v>
      </c>
      <c r="B66" s="61">
        <f>IF(parameters!$C$27="B",'consumption scenario B'!B59,IF(parameters!$C$27="C",'consumption scenario C'!B59,'consumption scenario A'!B60))</f>
        <v>0.17707664852868421</v>
      </c>
      <c r="C66" s="61">
        <f>IF(parameters!$C$27="B",'consumption scenario B'!C59,IF(parameters!$C$27="C",'consumption scenario C'!C59,'consumption scenario A'!C60))</f>
        <v>0.16294122913948395</v>
      </c>
      <c r="D66" s="61">
        <f>IF(parameters!$C$27="B",'consumption scenario B'!D59,IF(parameters!$C$27="C",'consumption scenario C'!D59,'consumption scenario A'!D60))</f>
        <v>0.16837681974754837</v>
      </c>
      <c r="E66" s="61">
        <f>IF(parameters!$C$27="B",'consumption scenario B'!E59,IF(parameters!$C$27="C",'consumption scenario C'!E59,'consumption scenario A'!E60))</f>
        <v>0.16853914684150373</v>
      </c>
      <c r="F66" s="61">
        <f>IF(parameters!$C$27="B",'consumption scenario B'!F59,IF(parameters!$C$27="C",'consumption scenario C'!F59,'consumption scenario A'!F60))</f>
        <v>0.1650957382302197</v>
      </c>
      <c r="G66" s="61">
        <f>IF(parameters!$C$27="B",'consumption scenario B'!G59,IF(parameters!$C$27="C",'consumption scenario C'!G59,'consumption scenario A'!G60))</f>
        <v>0.1801941786271056</v>
      </c>
      <c r="H66" s="61">
        <f>IF(parameters!$C$27="B",'consumption scenario B'!H59,IF(parameters!$C$27="C",'consumption scenario C'!H59,'consumption scenario A'!H60))</f>
        <v>0.14159989334378198</v>
      </c>
      <c r="I66" s="61">
        <f>IF(parameters!$C$27="B",'consumption scenario B'!I59,IF(parameters!$C$27="C",'consumption scenario C'!I59,'consumption scenario A'!I60))</f>
        <v>0.13403302152718738</v>
      </c>
      <c r="J66" s="61">
        <f>IF(parameters!$C$27="B",'consumption scenario B'!J59,IF(parameters!$C$27="C",'consumption scenario C'!J59,'consumption scenario A'!J60))</f>
        <v>0.14805459336355323</v>
      </c>
      <c r="K66" s="561">
        <f>IF(parameters!$C$27="B",'consumption scenario B'!K59,IF(parameters!$C$27="C",'consumption scenario C'!K59,'consumption scenario A'!K60))</f>
        <v>0.15282317562040892</v>
      </c>
      <c r="L66" s="561">
        <f>IF(parameters!$C$27="B",'consumption scenario B'!L59,IF(parameters!$C$27="C",'consumption scenario C'!L59,'consumption scenario A'!L60))</f>
        <v>0.16291514609908839</v>
      </c>
      <c r="M66" s="434">
        <f>IF(parameters!$C$27="B",'consumption scenario B'!M59,IF(parameters!$C$27="C",'consumption scenario C'!M59,'consumption scenario A'!M60))</f>
        <v>0.14636250617220056</v>
      </c>
      <c r="N66" s="61">
        <f>IF(parameters!$C$27="B",'consumption scenario B'!N59,IF(parameters!$C$27="C",'consumption scenario C'!N59,'consumption scenario A'!N60))</f>
        <v>0.1304645013557737</v>
      </c>
      <c r="O66" s="61">
        <f>IF(parameters!$C$27="B",'consumption scenario B'!O59,IF(parameters!$C$27="C",'consumption scenario C'!O59,'consumption scenario A'!O60))</f>
        <v>0.12524562127556696</v>
      </c>
      <c r="P66" s="61">
        <f>IF(parameters!$C$27="B",'consumption scenario B'!P59,IF(parameters!$C$27="C",'consumption scenario C'!P59,'consumption scenario A'!P60))</f>
        <v>0.12002674119536023</v>
      </c>
      <c r="Q66" s="61">
        <f>IF(parameters!$C$27="B",'consumption scenario B'!Q59,IF(parameters!$C$27="C",'consumption scenario C'!Q59,'consumption scenario A'!Q60))</f>
        <v>0.11480786111515308</v>
      </c>
      <c r="R66" s="61">
        <f>IF(parameters!$C$27="B",'consumption scenario B'!R59,IF(parameters!$C$27="C",'consumption scenario C'!R59,'consumption scenario A'!R60))</f>
        <v>9.1701512317417133E-2</v>
      </c>
      <c r="S66" s="61">
        <f>IF(parameters!$C$27="B",'consumption scenario B'!S59,IF(parameters!$C$27="C",'consumption scenario C'!S59,'consumption scenario A'!S60))</f>
        <v>8.9645611993228402E-2</v>
      </c>
      <c r="T66" s="61">
        <f>IF(parameters!$C$27="B",'consumption scenario B'!T59,IF(parameters!$C$27="C",'consumption scenario C'!T59,'consumption scenario A'!T60))</f>
        <v>7.5199858163651309E-2</v>
      </c>
      <c r="U66" s="61">
        <f>IF(parameters!$C$27="B",'consumption scenario B'!U59,IF(parameters!$C$27="C",'consumption scenario C'!U59,'consumption scenario A'!U60))</f>
        <v>7.3038990871821044E-2</v>
      </c>
      <c r="V66" s="61">
        <f>IF(parameters!$C$27="B",'consumption scenario B'!V59,IF(parameters!$C$27="C",'consumption scenario C'!V59,'consumption scenario A'!V60))</f>
        <v>7.0907278074359856E-2</v>
      </c>
      <c r="W66" s="61">
        <f>IF(parameters!$C$27="B",'consumption scenario B'!W59,IF(parameters!$C$27="C",'consumption scenario C'!W59,'consumption scenario A'!W60))</f>
        <v>4.6745230803093105E-2</v>
      </c>
      <c r="X66" s="61">
        <f>IF(parameters!$C$27="B",'consumption scenario B'!X59,IF(parameters!$C$27="C",'consumption scenario C'!X59,'consumption scenario A'!X60))</f>
        <v>4.6429512665324552E-2</v>
      </c>
      <c r="Y66" s="61">
        <f>IF(parameters!$C$27="B",'consumption scenario B'!Y59,IF(parameters!$C$27="C",'consumption scenario C'!Y59,'consumption scenario A'!Y60))</f>
        <v>4.6217243961802691E-2</v>
      </c>
      <c r="Z66" s="61">
        <f>IF(parameters!$C$27="B",'consumption scenario B'!Z59,IF(parameters!$C$27="C",'consumption scenario C'!Z59,'consumption scenario A'!Z60))</f>
        <v>4.6308738831057301E-2</v>
      </c>
      <c r="AA66" s="61">
        <f>IF(parameters!$C$27="B",'consumption scenario B'!AA59,IF(parameters!$C$27="C",'consumption scenario C'!AA59,'consumption scenario A'!AA60))</f>
        <v>4.6754724350663281E-2</v>
      </c>
      <c r="AB66" s="61">
        <f>IF(parameters!$C$27="B",'consumption scenario B'!AB59,IF(parameters!$C$27="C",'consumption scenario C'!AB59,'consumption scenario A'!AB60))</f>
        <v>4.7130257569247602E-2</v>
      </c>
      <c r="AC66" s="61">
        <f>IF(parameters!$C$27="B",'consumption scenario B'!AC59,IF(parameters!$C$27="C",'consumption scenario C'!AC59,'consumption scenario A'!AC60))</f>
        <v>4.7710811767283687E-2</v>
      </c>
      <c r="AD66" s="61">
        <f>IF(parameters!$C$27="B",'consumption scenario B'!AD59,IF(parameters!$C$27="C",'consumption scenario C'!AD59,'consumption scenario A'!AD60))</f>
        <v>4.8308346615392163E-2</v>
      </c>
      <c r="AE66" s="61">
        <f>IF(parameters!$C$27="B",'consumption scenario B'!AE59,IF(parameters!$C$27="C",'consumption scenario C'!AE59,'consumption scenario A'!AE60))</f>
        <v>4.8920412527730495E-2</v>
      </c>
      <c r="AF66" s="61">
        <f>IF(parameters!$C$27="B",'consumption scenario B'!AF59,IF(parameters!$C$27="C",'consumption scenario C'!AF59,'consumption scenario A'!AF60))</f>
        <v>4.9552822872509603E-2</v>
      </c>
      <c r="AG66" s="61">
        <f>IF(parameters!$C$27="B",'consumption scenario B'!AG59,IF(parameters!$C$27="C",'consumption scenario C'!AG59,'consumption scenario A'!AG60))</f>
        <v>5.0096950263165817E-2</v>
      </c>
      <c r="AH66" s="61">
        <f>IF(parameters!$C$27="B",'consumption scenario B'!AH59,IF(parameters!$C$27="C",'consumption scenario C'!AH59,'consumption scenario A'!AH60))</f>
        <v>5.0658649593394153E-2</v>
      </c>
      <c r="AI66" s="61">
        <f>IF(parameters!$C$27="B",'consumption scenario B'!AI59,IF(parameters!$C$27="C",'consumption scenario C'!AI59,'consumption scenario A'!AI60))</f>
        <v>5.1208654703574739E-2</v>
      </c>
      <c r="AJ66" s="61">
        <f>IF(parameters!$C$27="B",'consumption scenario B'!AJ59,IF(parameters!$C$27="C",'consumption scenario C'!AJ59,'consumption scenario A'!AJ60))</f>
        <v>5.1747327030515503E-2</v>
      </c>
      <c r="AK66" s="61">
        <f>IF(parameters!$C$27="B",'consumption scenario B'!AK59,IF(parameters!$C$27="C",'consumption scenario C'!AK59,'consumption scenario A'!AK60))</f>
        <v>5.2275013268195412E-2</v>
      </c>
      <c r="AL66" s="94"/>
    </row>
    <row r="67" spans="1:40">
      <c r="A67" s="91" t="s">
        <v>422</v>
      </c>
      <c r="B67" s="61">
        <f>IF(parameters!$C$27="B",'consumption scenario B'!B60,IF(parameters!$C$27="C",'consumption scenario C'!B60,'consumption scenario A'!B61))</f>
        <v>6.3460039434900681E-2</v>
      </c>
      <c r="C67" s="61">
        <f>IF(parameters!$C$27="B",'consumption scenario B'!C60,IF(parameters!$C$27="C",'consumption scenario C'!C60,'consumption scenario A'!C61))</f>
        <v>5.2083846100893595E-2</v>
      </c>
      <c r="D67" s="61">
        <f>IF(parameters!$C$27="B",'consumption scenario B'!D60,IF(parameters!$C$27="C",'consumption scenario C'!D60,'consumption scenario A'!D61))</f>
        <v>7.1380310094665556E-2</v>
      </c>
      <c r="E67" s="61">
        <f>IF(parameters!$C$27="B",'consumption scenario B'!E60,IF(parameters!$C$27="C",'consumption scenario C'!E60,'consumption scenario A'!E61))</f>
        <v>8.2793252002603471E-2</v>
      </c>
      <c r="F67" s="61">
        <f>IF(parameters!$C$27="B",'consumption scenario B'!F60,IF(parameters!$C$27="C",'consumption scenario C'!F60,'consumption scenario A'!F61))</f>
        <v>0.1122844927309035</v>
      </c>
      <c r="G67" s="61">
        <f>IF(parameters!$C$27="B",'consumption scenario B'!G60,IF(parameters!$C$27="C",'consumption scenario C'!G60,'consumption scenario A'!G61))</f>
        <v>0.11831655880145737</v>
      </c>
      <c r="H67" s="61">
        <f>IF(parameters!$C$27="B",'consumption scenario B'!H60,IF(parameters!$C$27="C",'consumption scenario C'!H60,'consumption scenario A'!H61))</f>
        <v>6.2391137116694986E-2</v>
      </c>
      <c r="I67" s="61">
        <f>IF(parameters!$C$27="B",'consumption scenario B'!I60,IF(parameters!$C$27="C",'consumption scenario C'!I60,'consumption scenario A'!I61))</f>
        <v>7.6705517494405059E-2</v>
      </c>
      <c r="J67" s="61">
        <f>IF(parameters!$C$27="B",'consumption scenario B'!J60,IF(parameters!$C$27="C",'consumption scenario C'!J60,'consumption scenario A'!J61))</f>
        <v>0.11852463910011082</v>
      </c>
      <c r="K67" s="561">
        <f>IF(parameters!$C$27="B",'consumption scenario B'!K60,IF(parameters!$C$27="C",'consumption scenario C'!K60,'consumption scenario A'!K61))</f>
        <v>0.10344042999688234</v>
      </c>
      <c r="L67" s="561">
        <f>IF(parameters!$C$27="B",'consumption scenario B'!L60,IF(parameters!$C$27="C",'consumption scenario C'!L60,'consumption scenario A'!L61))</f>
        <v>0.12369074292682812</v>
      </c>
      <c r="M67" s="434">
        <f>IF(parameters!$C$27="B",'consumption scenario B'!M60,IF(parameters!$C$27="C",'consumption scenario C'!M60,'consumption scenario A'!M61))</f>
        <v>0.10362853446030114</v>
      </c>
      <c r="N67" s="61">
        <f>IF(parameters!$C$27="B",'consumption scenario B'!N60,IF(parameters!$C$27="C",'consumption scenario C'!N60,'consumption scenario A'!N61))</f>
        <v>0.10264997525083962</v>
      </c>
      <c r="O67" s="61">
        <f>IF(parameters!$C$27="B",'consumption scenario B'!O60,IF(parameters!$C$27="C",'consumption scenario C'!O60,'consumption scenario A'!O61))</f>
        <v>0.10318915596696725</v>
      </c>
      <c r="P67" s="61">
        <f>IF(parameters!$C$27="B",'consumption scenario B'!P60,IF(parameters!$C$27="C",'consumption scenario C'!P60,'consumption scenario A'!P61))</f>
        <v>0.10372833668309485</v>
      </c>
      <c r="Q67" s="61">
        <f>IF(parameters!$C$27="B",'consumption scenario B'!Q60,IF(parameters!$C$27="C",'consumption scenario C'!Q60,'consumption scenario A'!Q61))</f>
        <v>0.10426751739922202</v>
      </c>
      <c r="R67" s="61">
        <f>IF(parameters!$C$27="B",'consumption scenario B'!R60,IF(parameters!$C$27="C",'consumption scenario C'!R60,'consumption scenario A'!R61))</f>
        <v>0.12087251267920081</v>
      </c>
      <c r="S67" s="61">
        <f>IF(parameters!$C$27="B",'consumption scenario B'!S60,IF(parameters!$C$27="C",'consumption scenario C'!S60,'consumption scenario A'!S61))</f>
        <v>0.12484723887505106</v>
      </c>
      <c r="T67" s="61">
        <f>IF(parameters!$C$27="B",'consumption scenario B'!T60,IF(parameters!$C$27="C",'consumption scenario C'!T60,'consumption scenario A'!T61))</f>
        <v>0.13625587717413409</v>
      </c>
      <c r="U67" s="61">
        <f>IF(parameters!$C$27="B",'consumption scenario B'!U60,IF(parameters!$C$27="C",'consumption scenario C'!U60,'consumption scenario A'!U61))</f>
        <v>0.14029358355056867</v>
      </c>
      <c r="V67" s="61">
        <f>IF(parameters!$C$27="B",'consumption scenario B'!V60,IF(parameters!$C$27="C",'consumption scenario C'!V60,'consumption scenario A'!V61))</f>
        <v>0.14431379723038218</v>
      </c>
      <c r="W67" s="61">
        <f>IF(parameters!$C$27="B",'consumption scenario B'!W60,IF(parameters!$C$27="C",'consumption scenario C'!W60,'consumption scenario A'!W61))</f>
        <v>0.16155221159447958</v>
      </c>
      <c r="X67" s="61">
        <f>IF(parameters!$C$27="B",'consumption scenario B'!X60,IF(parameters!$C$27="C",'consumption scenario C'!X60,'consumption scenario A'!X61))</f>
        <v>0.16174164247714071</v>
      </c>
      <c r="Y67" s="61">
        <f>IF(parameters!$C$27="B",'consumption scenario B'!Y60,IF(parameters!$C$27="C",'consumption scenario C'!Y60,'consumption scenario A'!Y61))</f>
        <v>0.16186900369925386</v>
      </c>
      <c r="Z67" s="61">
        <f>IF(parameters!$C$27="B",'consumption scenario B'!Z60,IF(parameters!$C$27="C",'consumption scenario C'!Z60,'consumption scenario A'!Z61))</f>
        <v>0.16181410677770106</v>
      </c>
      <c r="AA67" s="61">
        <f>IF(parameters!$C$27="B",'consumption scenario B'!AA60,IF(parameters!$C$27="C",'consumption scenario C'!AA60,'consumption scenario A'!AA61))</f>
        <v>0.16154651546593748</v>
      </c>
      <c r="AB67" s="61">
        <f>IF(parameters!$C$27="B",'consumption scenario B'!AB60,IF(parameters!$C$27="C",'consumption scenario C'!AB60,'consumption scenario A'!AB61))</f>
        <v>0.16132119553478688</v>
      </c>
      <c r="AC67" s="61">
        <f>IF(parameters!$C$27="B",'consumption scenario B'!AC60,IF(parameters!$C$27="C",'consumption scenario C'!AC60,'consumption scenario A'!AC61))</f>
        <v>0.16097286301596525</v>
      </c>
      <c r="AD67" s="61">
        <f>IF(parameters!$C$27="B",'consumption scenario B'!AD60,IF(parameters!$C$27="C",'consumption scenario C'!AD60,'consumption scenario A'!AD61))</f>
        <v>0.16061434210710016</v>
      </c>
      <c r="AE67" s="61">
        <f>IF(parameters!$C$27="B",'consumption scenario B'!AE60,IF(parameters!$C$27="C",'consumption scenario C'!AE60,'consumption scenario A'!AE61))</f>
        <v>0.16024710255969715</v>
      </c>
      <c r="AF67" s="61">
        <f>IF(parameters!$C$27="B",'consumption scenario B'!AF60,IF(parameters!$C$27="C",'consumption scenario C'!AF60,'consumption scenario A'!AF61))</f>
        <v>0.15986765635282968</v>
      </c>
      <c r="AG67" s="61">
        <f>IF(parameters!$C$27="B",'consumption scenario B'!AG60,IF(parameters!$C$27="C",'consumption scenario C'!AG60,'consumption scenario A'!AG61))</f>
        <v>0.15954117991843597</v>
      </c>
      <c r="AH67" s="61">
        <f>IF(parameters!$C$27="B",'consumption scenario B'!AH60,IF(parameters!$C$27="C",'consumption scenario C'!AH60,'consumption scenario A'!AH61))</f>
        <v>0.15920416032029894</v>
      </c>
      <c r="AI67" s="61">
        <f>IF(parameters!$C$27="B",'consumption scenario B'!AI60,IF(parameters!$C$27="C",'consumption scenario C'!AI60,'consumption scenario A'!AI61))</f>
        <v>0.1588741572541906</v>
      </c>
      <c r="AJ67" s="61">
        <f>IF(parameters!$C$27="B",'consumption scenario B'!AJ60,IF(parameters!$C$27="C",'consumption scenario C'!AJ60,'consumption scenario A'!AJ61))</f>
        <v>0.15855095385802614</v>
      </c>
      <c r="AK67" s="61">
        <f>IF(parameters!$C$27="B",'consumption scenario B'!AK60,IF(parameters!$C$27="C",'consumption scenario C'!AK60,'consumption scenario A'!AK61))</f>
        <v>0.1582343421154182</v>
      </c>
      <c r="AL67" s="94"/>
    </row>
    <row r="68" spans="1:40">
      <c r="A68" s="91" t="s">
        <v>423</v>
      </c>
      <c r="B68" s="61">
        <f>IF(parameters!$C$27="B",'consumption scenario B'!B61,IF(parameters!$C$27="C",'consumption scenario C'!B61,'consumption scenario A'!B62))</f>
        <v>3.1705263572331638E-2</v>
      </c>
      <c r="C68" s="61">
        <f>IF(parameters!$C$27="B",'consumption scenario B'!C61,IF(parameters!$C$27="C",'consumption scenario C'!C61,'consumption scenario A'!C62))</f>
        <v>3.1644319659083285E-2</v>
      </c>
      <c r="D68" s="61">
        <f>IF(parameters!$C$27="B",'consumption scenario B'!D61,IF(parameters!$C$27="C",'consumption scenario C'!D61,'consumption scenario A'!D62))</f>
        <v>2.443320621631288E-2</v>
      </c>
      <c r="E68" s="61">
        <f>IF(parameters!$C$27="B",'consumption scenario B'!E61,IF(parameters!$C$27="C",'consumption scenario C'!E61,'consumption scenario A'!E62))</f>
        <v>1.833142871851311E-2</v>
      </c>
      <c r="F68" s="61">
        <f>IF(parameters!$C$27="B",'consumption scenario B'!F61,IF(parameters!$C$27="C",'consumption scenario C'!F61,'consumption scenario A'!F62))</f>
        <v>2.1010896514468837E-2</v>
      </c>
      <c r="G68" s="61">
        <f>IF(parameters!$C$27="B",'consumption scenario B'!G61,IF(parameters!$C$27="C",'consumption scenario C'!G61,'consumption scenario A'!G62))</f>
        <v>1.9557756702993964E-2</v>
      </c>
      <c r="H68" s="61">
        <f>IF(parameters!$C$27="B",'consumption scenario B'!H61,IF(parameters!$C$27="C",'consumption scenario C'!H61,'consumption scenario A'!H62))</f>
        <v>1.4478201728221233E-2</v>
      </c>
      <c r="I68" s="61">
        <f>IF(parameters!$C$27="B",'consumption scenario B'!I61,IF(parameters!$C$27="C",'consumption scenario C'!I61,'consumption scenario A'!I62))</f>
        <v>5.3683677687399733E-3</v>
      </c>
      <c r="J68" s="61">
        <f>IF(parameters!$C$27="B",'consumption scenario B'!J61,IF(parameters!$C$27="C",'consumption scenario C'!J61,'consumption scenario A'!J62))</f>
        <v>1.2336356954421035E-2</v>
      </c>
      <c r="K68" s="561">
        <f>IF(parameters!$C$27="B",'consumption scenario B'!K61,IF(parameters!$C$27="C",'consumption scenario C'!K61,'consumption scenario A'!K62))</f>
        <v>1.0333425362330444E-2</v>
      </c>
      <c r="L68" s="561">
        <f>IF(parameters!$C$27="B",'consumption scenario B'!L61,IF(parameters!$C$27="C",'consumption scenario C'!L61,'consumption scenario A'!L62))</f>
        <v>0.01</v>
      </c>
      <c r="M68" s="434">
        <f>IF(parameters!$C$27="B",'consumption scenario B'!M61,IF(parameters!$C$27="C",'consumption scenario C'!M61,'consumption scenario A'!M62))</f>
        <v>0.01</v>
      </c>
      <c r="N68" s="61">
        <f>IF(parameters!$C$27="B",'consumption scenario B'!N61,IF(parameters!$C$27="C",'consumption scenario C'!N61,'consumption scenario A'!N62))</f>
        <v>1.2E-2</v>
      </c>
      <c r="O68" s="61">
        <f>IF(parameters!$C$27="B",'consumption scenario B'!O61,IF(parameters!$C$27="C",'consumption scenario C'!O61,'consumption scenario A'!O62))</f>
        <v>1.2E-2</v>
      </c>
      <c r="P68" s="61">
        <f>IF(parameters!$C$27="B",'consumption scenario B'!P61,IF(parameters!$C$27="C",'consumption scenario C'!P61,'consumption scenario A'!P62))</f>
        <v>1.2000000000000002E-2</v>
      </c>
      <c r="Q68" s="61">
        <f>IF(parameters!$C$27="B",'consumption scenario B'!Q61,IF(parameters!$C$27="C",'consumption scenario C'!Q61,'consumption scenario A'!Q62))</f>
        <v>1.2E-2</v>
      </c>
      <c r="R68" s="61">
        <f>IF(parameters!$C$27="B",'consumption scenario B'!R61,IF(parameters!$C$27="C",'consumption scenario C'!R61,'consumption scenario A'!R62))</f>
        <v>1.2000000000000002E-2</v>
      </c>
      <c r="S68" s="61">
        <f>IF(parameters!$C$27="B",'consumption scenario B'!S61,IF(parameters!$C$27="C",'consumption scenario C'!S61,'consumption scenario A'!S62))</f>
        <v>1.2E-2</v>
      </c>
      <c r="T68" s="61">
        <f>IF(parameters!$C$27="B",'consumption scenario B'!T61,IF(parameters!$C$27="C",'consumption scenario C'!T61,'consumption scenario A'!T62))</f>
        <v>1.2000000000000002E-2</v>
      </c>
      <c r="U68" s="61">
        <f>IF(parameters!$C$27="B",'consumption scenario B'!U61,IF(parameters!$C$27="C",'consumption scenario C'!U61,'consumption scenario A'!U62))</f>
        <v>1.2E-2</v>
      </c>
      <c r="V68" s="61">
        <f>IF(parameters!$C$27="B",'consumption scenario B'!V61,IF(parameters!$C$27="C",'consumption scenario C'!V61,'consumption scenario A'!V62))</f>
        <v>1.2E-2</v>
      </c>
      <c r="W68" s="61">
        <f>IF(parameters!$C$27="B",'consumption scenario B'!W61,IF(parameters!$C$27="C",'consumption scenario C'!W61,'consumption scenario A'!W62))</f>
        <v>1.2E-2</v>
      </c>
      <c r="X68" s="61">
        <f>IF(parameters!$C$27="B",'consumption scenario B'!X61,IF(parameters!$C$27="C",'consumption scenario C'!X61,'consumption scenario A'!X62))</f>
        <v>1.2E-2</v>
      </c>
      <c r="Y68" s="61">
        <f>IF(parameters!$C$27="B",'consumption scenario B'!Y61,IF(parameters!$C$27="C",'consumption scenario C'!Y61,'consumption scenario A'!Y62))</f>
        <v>1.2E-2</v>
      </c>
      <c r="Z68" s="61">
        <f>IF(parameters!$C$27="B",'consumption scenario B'!Z61,IF(parameters!$C$27="C",'consumption scenario C'!Z61,'consumption scenario A'!Z62))</f>
        <v>1.2E-2</v>
      </c>
      <c r="AA68" s="61">
        <f>IF(parameters!$C$27="B",'consumption scenario B'!AA61,IF(parameters!$C$27="C",'consumption scenario C'!AA61,'consumption scenario A'!AA62))</f>
        <v>1.2E-2</v>
      </c>
      <c r="AB68" s="61">
        <f>IF(parameters!$C$27="B",'consumption scenario B'!AB61,IF(parameters!$C$27="C",'consumption scenario C'!AB61,'consumption scenario A'!AB62))</f>
        <v>1.2E-2</v>
      </c>
      <c r="AC68" s="61">
        <f>IF(parameters!$C$27="B",'consumption scenario B'!AC61,IF(parameters!$C$27="C",'consumption scenario C'!AC61,'consumption scenario A'!AC62))</f>
        <v>1.2E-2</v>
      </c>
      <c r="AD68" s="61">
        <f>IF(parameters!$C$27="B",'consumption scenario B'!AD61,IF(parameters!$C$27="C",'consumption scenario C'!AD61,'consumption scenario A'!AD62))</f>
        <v>1.2E-2</v>
      </c>
      <c r="AE68" s="61">
        <f>IF(parameters!$C$27="B",'consumption scenario B'!AE61,IF(parameters!$C$27="C",'consumption scenario C'!AE61,'consumption scenario A'!AE62))</f>
        <v>1.2E-2</v>
      </c>
      <c r="AF68" s="61">
        <f>IF(parameters!$C$27="B",'consumption scenario B'!AF61,IF(parameters!$C$27="C",'consumption scenario C'!AF61,'consumption scenario A'!AF62))</f>
        <v>1.2E-2</v>
      </c>
      <c r="AG68" s="61">
        <f>IF(parameters!$C$27="B",'consumption scenario B'!AG61,IF(parameters!$C$27="C",'consumption scenario C'!AG61,'consumption scenario A'!AG62))</f>
        <v>1.2000000000000002E-2</v>
      </c>
      <c r="AH68" s="61">
        <f>IF(parameters!$C$27="B",'consumption scenario B'!AH61,IF(parameters!$C$27="C",'consumption scenario C'!AH61,'consumption scenario A'!AH62))</f>
        <v>1.2E-2</v>
      </c>
      <c r="AI68" s="61">
        <f>IF(parameters!$C$27="B",'consumption scenario B'!AI61,IF(parameters!$C$27="C",'consumption scenario C'!AI61,'consumption scenario A'!AI62))</f>
        <v>1.2E-2</v>
      </c>
      <c r="AJ68" s="61">
        <f>IF(parameters!$C$27="B",'consumption scenario B'!AJ61,IF(parameters!$C$27="C",'consumption scenario C'!AJ61,'consumption scenario A'!AJ62))</f>
        <v>1.2E-2</v>
      </c>
      <c r="AK68" s="61">
        <f>IF(parameters!$C$27="B",'consumption scenario B'!AK61,IF(parameters!$C$27="C",'consumption scenario C'!AK61,'consumption scenario A'!AK62))</f>
        <v>1.2E-2</v>
      </c>
      <c r="AL68" s="94"/>
    </row>
    <row r="69" spans="1:40">
      <c r="A69" s="91" t="s">
        <v>424</v>
      </c>
      <c r="B69" s="61">
        <f>IF(parameters!$C$27="B",'consumption scenario B'!B62,IF(parameters!$C$27="C",'consumption scenario C'!B62,'consumption scenario A'!B63))</f>
        <v>5.2709437643101546E-4</v>
      </c>
      <c r="C69" s="61">
        <f>IF(parameters!$C$27="B",'consumption scenario B'!C62,IF(parameters!$C$27="C",'consumption scenario C'!C62,'consumption scenario A'!C63))</f>
        <v>7.1182717775411812E-4</v>
      </c>
      <c r="D69" s="61">
        <f>IF(parameters!$C$27="B",'consumption scenario B'!D62,IF(parameters!$C$27="C",'consumption scenario C'!D62,'consumption scenario A'!D63))</f>
        <v>7.8450837860507443E-4</v>
      </c>
      <c r="E69" s="61">
        <f>IF(parameters!$C$27="B",'consumption scenario B'!E62,IF(parameters!$C$27="C",'consumption scenario C'!E62,'consumption scenario A'!E63))</f>
        <v>7.8398006222402583E-4</v>
      </c>
      <c r="F69" s="61">
        <f>IF(parameters!$C$27="B",'consumption scenario B'!F62,IF(parameters!$C$27="C",'consumption scenario C'!F62,'consumption scenario A'!F63))</f>
        <v>1.0617143960275869E-3</v>
      </c>
      <c r="G69" s="61">
        <f>IF(parameters!$C$27="B",'consumption scenario B'!G62,IF(parameters!$C$27="C",'consumption scenario C'!G62,'consumption scenario A'!G63))</f>
        <v>9.1900213334896103E-4</v>
      </c>
      <c r="H69" s="61">
        <f>IF(parameters!$C$27="B",'consumption scenario B'!H62,IF(parameters!$C$27="C",'consumption scenario C'!H62,'consumption scenario A'!H63))</f>
        <v>7.5230271045485255E-4</v>
      </c>
      <c r="I69" s="61">
        <f>IF(parameters!$C$27="B",'consumption scenario B'!I62,IF(parameters!$C$27="C",'consumption scenario C'!I62,'consumption scenario A'!I63))</f>
        <v>7.4555115730218756E-4</v>
      </c>
      <c r="J69" s="61">
        <f>IF(parameters!$C$27="B",'consumption scenario B'!J62,IF(parameters!$C$27="C",'consumption scenario C'!J62,'consumption scenario A'!J63))</f>
        <v>7.075488201951129E-4</v>
      </c>
      <c r="K69" s="561">
        <f>IF(parameters!$C$27="B",'consumption scenario B'!K62,IF(parameters!$C$27="C",'consumption scenario C'!K62,'consumption scenario A'!K63))</f>
        <v>6.5016534241318826E-4</v>
      </c>
      <c r="L69" s="561">
        <f>IF(parameters!$C$27="B",'consumption scenario B'!L62,IF(parameters!$C$27="C",'consumption scenario C'!L62,'consumption scenario A'!L63))</f>
        <v>5.3336649079166671E-4</v>
      </c>
      <c r="M69" s="434">
        <f>IF(parameters!$C$27="B",'consumption scenario B'!M62,IF(parameters!$C$27="C",'consumption scenario C'!M62,'consumption scenario A'!M63))</f>
        <v>7.0767476992851497E-4</v>
      </c>
      <c r="N69" s="61">
        <f>IF(parameters!$C$27="B",'consumption scenario B'!N62,IF(parameters!$C$27="C",'consumption scenario C'!N62,'consumption scenario A'!N63))</f>
        <v>5.4212500408938602E-4</v>
      </c>
      <c r="O69" s="61">
        <f>IF(parameters!$C$27="B",'consumption scenario B'!O62,IF(parameters!$C$27="C",'consumption scenario C'!O62,'consumption scenario A'!O63))</f>
        <v>5.0399510678275639E-4</v>
      </c>
      <c r="P69" s="61">
        <f>IF(parameters!$C$27="B",'consumption scenario B'!P62,IF(parameters!$C$27="C",'consumption scenario C'!P62,'consumption scenario A'!P63))</f>
        <v>4.658652094761267E-4</v>
      </c>
      <c r="Q69" s="61">
        <f>IF(parameters!$C$27="B",'consumption scenario B'!Q62,IF(parameters!$C$27="C",'consumption scenario C'!Q62,'consumption scenario A'!Q63))</f>
        <v>4.2773531216949712E-4</v>
      </c>
      <c r="R69" s="61">
        <f>IF(parameters!$C$27="B",'consumption scenario B'!R62,IF(parameters!$C$27="C",'consumption scenario C'!R62,'consumption scenario A'!R63))</f>
        <v>3.8960541486286748E-4</v>
      </c>
      <c r="S69" s="61">
        <f>IF(parameters!$C$27="B",'consumption scenario B'!S62,IF(parameters!$C$27="C",'consumption scenario C'!S62,'consumption scenario A'!S63))</f>
        <v>3.5147551755623785E-4</v>
      </c>
      <c r="T69" s="61">
        <f>IF(parameters!$C$27="B",'consumption scenario B'!T62,IF(parameters!$C$27="C",'consumption scenario C'!T62,'consumption scenario A'!T63))</f>
        <v>3.1334562024960821E-4</v>
      </c>
      <c r="U69" s="61">
        <f>IF(parameters!$C$27="B",'consumption scenario B'!U62,IF(parameters!$C$27="C",'consumption scenario C'!U62,'consumption scenario A'!U63))</f>
        <v>2.752157229429647E-4</v>
      </c>
      <c r="V69" s="61">
        <f>IF(parameters!$C$27="B",'consumption scenario B'!V62,IF(parameters!$C$27="C",'consumption scenario C'!V62,'consumption scenario A'!V63))</f>
        <v>2.3708582563633507E-4</v>
      </c>
      <c r="W69" s="61">
        <f>IF(parameters!$C$27="B",'consumption scenario B'!W62,IF(parameters!$C$27="C",'consumption scenario C'!W62,'consumption scenario A'!W63))</f>
        <v>1.9895592832970543E-4</v>
      </c>
      <c r="X69" s="61">
        <f>IF(parameters!$C$27="B",'consumption scenario B'!X62,IF(parameters!$C$27="C",'consumption scenario C'!X62,'consumption scenario A'!X63))</f>
        <v>1.9895592832970543E-4</v>
      </c>
      <c r="Y69" s="61">
        <f>IF(parameters!$C$27="B",'consumption scenario B'!Y62,IF(parameters!$C$27="C",'consumption scenario C'!Y62,'consumption scenario A'!Y63))</f>
        <v>1.9895592832970543E-4</v>
      </c>
      <c r="Z69" s="61">
        <f>IF(parameters!$C$27="B",'consumption scenario B'!Z62,IF(parameters!$C$27="C",'consumption scenario C'!Z62,'consumption scenario A'!Z63))</f>
        <v>1.9895592832970541E-4</v>
      </c>
      <c r="AA69" s="61">
        <f>IF(parameters!$C$27="B",'consumption scenario B'!AA62,IF(parameters!$C$27="C",'consumption scenario C'!AA62,'consumption scenario A'!AA63))</f>
        <v>1.9895592832970541E-4</v>
      </c>
      <c r="AB69" s="61">
        <f>IF(parameters!$C$27="B",'consumption scenario B'!AB62,IF(parameters!$C$27="C",'consumption scenario C'!AB62,'consumption scenario A'!AB63))</f>
        <v>1.9895592832970543E-4</v>
      </c>
      <c r="AC69" s="61">
        <f>IF(parameters!$C$27="B",'consumption scenario B'!AC62,IF(parameters!$C$27="C",'consumption scenario C'!AC62,'consumption scenario A'!AC63))</f>
        <v>1.9895592832970543E-4</v>
      </c>
      <c r="AD69" s="61">
        <f>IF(parameters!$C$27="B",'consumption scenario B'!AD62,IF(parameters!$C$27="C",'consumption scenario C'!AD62,'consumption scenario A'!AD63))</f>
        <v>1.9895592832970546E-4</v>
      </c>
      <c r="AE69" s="61">
        <f>IF(parameters!$C$27="B",'consumption scenario B'!AE62,IF(parameters!$C$27="C",'consumption scenario C'!AE62,'consumption scenario A'!AE63))</f>
        <v>1.9895592832970543E-4</v>
      </c>
      <c r="AF69" s="61">
        <f>IF(parameters!$C$27="B",'consumption scenario B'!AF62,IF(parameters!$C$27="C",'consumption scenario C'!AF62,'consumption scenario A'!AF63))</f>
        <v>1.9895592832970543E-4</v>
      </c>
      <c r="AG69" s="61">
        <f>IF(parameters!$C$27="B",'consumption scenario B'!AG62,IF(parameters!$C$27="C",'consumption scenario C'!AG62,'consumption scenario A'!AG63))</f>
        <v>1.9895592832970541E-4</v>
      </c>
      <c r="AH69" s="61">
        <f>IF(parameters!$C$27="B",'consumption scenario B'!AH62,IF(parameters!$C$27="C",'consumption scenario C'!AH62,'consumption scenario A'!AH63))</f>
        <v>1.9895592832970543E-4</v>
      </c>
      <c r="AI69" s="61">
        <f>IF(parameters!$C$27="B",'consumption scenario B'!AI62,IF(parameters!$C$27="C",'consumption scenario C'!AI62,'consumption scenario A'!AI63))</f>
        <v>1.9895592832970543E-4</v>
      </c>
      <c r="AJ69" s="61">
        <f>IF(parameters!$C$27="B",'consumption scenario B'!AJ62,IF(parameters!$C$27="C",'consumption scenario C'!AJ62,'consumption scenario A'!AJ63))</f>
        <v>1.9895592832970546E-4</v>
      </c>
      <c r="AK69" s="61">
        <f>IF(parameters!$C$27="B",'consumption scenario B'!AK62,IF(parameters!$C$27="C",'consumption scenario C'!AK62,'consumption scenario A'!AK63))</f>
        <v>1.9895592832970546E-4</v>
      </c>
      <c r="AL69" s="94"/>
    </row>
    <row r="70" spans="1:40">
      <c r="A70" s="91" t="s">
        <v>425</v>
      </c>
      <c r="B70" s="61">
        <f>IF(parameters!$C$27="B",'consumption scenario B'!B63,IF(parameters!$C$27="C",'consumption scenario C'!B63,'consumption scenario A'!B64))</f>
        <v>5.2473935503038548E-2</v>
      </c>
      <c r="C70" s="61">
        <f>IF(parameters!$C$27="B",'consumption scenario B'!C63,IF(parameters!$C$27="C",'consumption scenario C'!C63,'consumption scenario A'!C64))</f>
        <v>5.1623675476377369E-2</v>
      </c>
      <c r="D70" s="61">
        <f>IF(parameters!$C$27="B",'consumption scenario B'!D63,IF(parameters!$C$27="C",'consumption scenario C'!D63,'consumption scenario A'!D64))</f>
        <v>4.8998488500467681E-2</v>
      </c>
      <c r="E70" s="61">
        <f>IF(parameters!$C$27="B",'consumption scenario B'!E63,IF(parameters!$C$27="C",'consumption scenario C'!E63,'consumption scenario A'!E64))</f>
        <v>5.6987135137738947E-2</v>
      </c>
      <c r="F70" s="61">
        <f>IF(parameters!$C$27="B",'consumption scenario B'!F63,IF(parameters!$C$27="C",'consumption scenario C'!F63,'consumption scenario A'!F64))</f>
        <v>4.1108509403607232E-2</v>
      </c>
      <c r="G70" s="61">
        <f>IF(parameters!$C$27="B",'consumption scenario B'!G63,IF(parameters!$C$27="C",'consumption scenario C'!G63,'consumption scenario A'!G64))</f>
        <v>6.1332206404646566E-2</v>
      </c>
      <c r="H70" s="61">
        <f>IF(parameters!$C$27="B",'consumption scenario B'!H63,IF(parameters!$C$27="C",'consumption scenario C'!H63,'consumption scenario A'!H64))</f>
        <v>2.62357888526496E-2</v>
      </c>
      <c r="I70" s="61">
        <f>IF(parameters!$C$27="B",'consumption scenario B'!I63,IF(parameters!$C$27="C",'consumption scenario C'!I63,'consumption scenario A'!I64))</f>
        <v>4.6769875398182593E-2</v>
      </c>
      <c r="J70" s="61">
        <f>IF(parameters!$C$27="B",'consumption scenario B'!J63,IF(parameters!$C$27="C",'consumption scenario C'!J63,'consumption scenario A'!J64))</f>
        <v>4.6514006035721825E-2</v>
      </c>
      <c r="K70" s="561">
        <f>IF(parameters!$C$27="B",'consumption scenario B'!K63,IF(parameters!$C$27="C",'consumption scenario C'!K63,'consumption scenario A'!K64))</f>
        <v>5.0307799051020105E-2</v>
      </c>
      <c r="L70" s="561">
        <f>IF(parameters!$C$27="B",'consumption scenario B'!L63,IF(parameters!$C$27="C",'consumption scenario C'!L63,'consumption scenario A'!L64))</f>
        <v>4.5537403932920044E-2</v>
      </c>
      <c r="M70" s="434">
        <f>IF(parameters!$C$27="B",'consumption scenario B'!M63,IF(parameters!$C$27="C",'consumption scenario C'!M63,'consumption scenario A'!M64))</f>
        <v>4.9268368252782233E-2</v>
      </c>
      <c r="N70" s="61">
        <f>IF(parameters!$C$27="B",'consumption scenario B'!N63,IF(parameters!$C$27="C",'consumption scenario C'!N63,'consumption scenario A'!N64))</f>
        <v>4.5451182530737655E-2</v>
      </c>
      <c r="O70" s="61">
        <f>IF(parameters!$C$27="B",'consumption scenario B'!O63,IF(parameters!$C$27="C",'consumption scenario C'!O63,'consumption scenario A'!O64))</f>
        <v>4.5113950609603881E-2</v>
      </c>
      <c r="P70" s="61">
        <f>IF(parameters!$C$27="B",'consumption scenario B'!P63,IF(parameters!$C$27="C",'consumption scenario C'!P63,'consumption scenario A'!P64))</f>
        <v>4.4776718688470107E-2</v>
      </c>
      <c r="Q70" s="61">
        <f>IF(parameters!$C$27="B",'consumption scenario B'!Q63,IF(parameters!$C$27="C",'consumption scenario C'!Q63,'consumption scenario A'!Q64))</f>
        <v>4.4439486767336334E-2</v>
      </c>
      <c r="R70" s="61">
        <f>IF(parameters!$C$27="B",'consumption scenario B'!R63,IF(parameters!$C$27="C",'consumption scenario C'!R63,'consumption scenario A'!R64))</f>
        <v>4.4102254846202449E-2</v>
      </c>
      <c r="S70" s="61">
        <f>IF(parameters!$C$27="B",'consumption scenario B'!S63,IF(parameters!$C$27="C",'consumption scenario C'!S63,'consumption scenario A'!S64))</f>
        <v>4.3765022925068675E-2</v>
      </c>
      <c r="T70" s="61">
        <f>IF(parameters!$C$27="B",'consumption scenario B'!T63,IF(parameters!$C$27="C",'consumption scenario C'!T63,'consumption scenario A'!T64))</f>
        <v>4.3427791003934901E-2</v>
      </c>
      <c r="U70" s="61">
        <f>IF(parameters!$C$27="B",'consumption scenario B'!U63,IF(parameters!$C$27="C",'consumption scenario C'!U63,'consumption scenario A'!U64))</f>
        <v>4.3090559082801017E-2</v>
      </c>
      <c r="V70" s="61">
        <f>IF(parameters!$C$27="B",'consumption scenario B'!V63,IF(parameters!$C$27="C",'consumption scenario C'!V63,'consumption scenario A'!V64))</f>
        <v>4.2753327161667243E-2</v>
      </c>
      <c r="W70" s="61">
        <f>IF(parameters!$C$27="B",'consumption scenario B'!W63,IF(parameters!$C$27="C",'consumption scenario C'!W63,'consumption scenario A'!W64))</f>
        <v>4.2416095240533469E-2</v>
      </c>
      <c r="X70" s="61">
        <f>IF(parameters!$C$27="B",'consumption scenario B'!X63,IF(parameters!$C$27="C",'consumption scenario C'!X63,'consumption scenario A'!X64))</f>
        <v>4.2416095240533469E-2</v>
      </c>
      <c r="Y70" s="61">
        <f>IF(parameters!$C$27="B",'consumption scenario B'!Y63,IF(parameters!$C$27="C",'consumption scenario C'!Y63,'consumption scenario A'!Y64))</f>
        <v>4.2416095240533469E-2</v>
      </c>
      <c r="Z70" s="61">
        <f>IF(parameters!$C$27="B",'consumption scenario B'!Z63,IF(parameters!$C$27="C",'consumption scenario C'!Z63,'consumption scenario A'!Z64))</f>
        <v>4.2416095240533469E-2</v>
      </c>
      <c r="AA70" s="61">
        <f>IF(parameters!$C$27="B",'consumption scenario B'!AA63,IF(parameters!$C$27="C",'consumption scenario C'!AA63,'consumption scenario A'!AA64))</f>
        <v>4.2416095240533469E-2</v>
      </c>
      <c r="AB70" s="61">
        <f>IF(parameters!$C$27="B",'consumption scenario B'!AB63,IF(parameters!$C$27="C",'consumption scenario C'!AB63,'consumption scenario A'!AB64))</f>
        <v>4.2416095240533469E-2</v>
      </c>
      <c r="AC70" s="61">
        <f>IF(parameters!$C$27="B",'consumption scenario B'!AC63,IF(parameters!$C$27="C",'consumption scenario C'!AC63,'consumption scenario A'!AC64))</f>
        <v>4.2416095240533469E-2</v>
      </c>
      <c r="AD70" s="61">
        <f>IF(parameters!$C$27="B",'consumption scenario B'!AD63,IF(parameters!$C$27="C",'consumption scenario C'!AD63,'consumption scenario A'!AD64))</f>
        <v>4.2416095240533469E-2</v>
      </c>
      <c r="AE70" s="61">
        <f>IF(parameters!$C$27="B",'consumption scenario B'!AE63,IF(parameters!$C$27="C",'consumption scenario C'!AE63,'consumption scenario A'!AE64))</f>
        <v>4.2416095240533469E-2</v>
      </c>
      <c r="AF70" s="61">
        <f>IF(parameters!$C$27="B",'consumption scenario B'!AF63,IF(parameters!$C$27="C",'consumption scenario C'!AF63,'consumption scenario A'!AF64))</f>
        <v>4.2416095240533469E-2</v>
      </c>
      <c r="AG70" s="61">
        <f>IF(parameters!$C$27="B",'consumption scenario B'!AG63,IF(parameters!$C$27="C",'consumption scenario C'!AG63,'consumption scenario A'!AG64))</f>
        <v>4.2416095240533469E-2</v>
      </c>
      <c r="AH70" s="61">
        <f>IF(parameters!$C$27="B",'consumption scenario B'!AH63,IF(parameters!$C$27="C",'consumption scenario C'!AH63,'consumption scenario A'!AH64))</f>
        <v>4.2416095240533469E-2</v>
      </c>
      <c r="AI70" s="61">
        <f>IF(parameters!$C$27="B",'consumption scenario B'!AI63,IF(parameters!$C$27="C",'consumption scenario C'!AI63,'consumption scenario A'!AI64))</f>
        <v>4.2416095240533469E-2</v>
      </c>
      <c r="AJ70" s="61">
        <f>IF(parameters!$C$27="B",'consumption scenario B'!AJ63,IF(parameters!$C$27="C",'consumption scenario C'!AJ63,'consumption scenario A'!AJ64))</f>
        <v>4.2416095240533469E-2</v>
      </c>
      <c r="AK70" s="61">
        <f>IF(parameters!$C$27="B",'consumption scenario B'!AK63,IF(parameters!$C$27="C",'consumption scenario C'!AK63,'consumption scenario A'!AK64))</f>
        <v>4.2416095240533469E-2</v>
      </c>
      <c r="AL70" s="94"/>
    </row>
    <row r="71" spans="1:40">
      <c r="A71" s="91" t="s">
        <v>249</v>
      </c>
      <c r="B71" s="61">
        <f>IF(parameters!$C$27="B",'consumption scenario B'!B64,IF(parameters!$C$27="C",'consumption scenario C'!B64,'consumption scenario A'!B65))</f>
        <v>0.65947597669635838</v>
      </c>
      <c r="C71" s="61">
        <f>IF(parameters!$C$27="B",'consumption scenario B'!C64,IF(parameters!$C$27="C",'consumption scenario C'!C64,'consumption scenario A'!C65))</f>
        <v>0.68183374790741358</v>
      </c>
      <c r="D71" s="61">
        <f>IF(parameters!$C$27="B",'consumption scenario B'!D64,IF(parameters!$C$27="C",'consumption scenario C'!D64,'consumption scenario A'!D65))</f>
        <v>0.67052971020389363</v>
      </c>
      <c r="E71" s="61">
        <f>IF(parameters!$C$27="B",'consumption scenario B'!E64,IF(parameters!$C$27="C",'consumption scenario C'!E64,'consumption scenario A'!E65))</f>
        <v>0.65281192951749445</v>
      </c>
      <c r="F71" s="61">
        <f>IF(parameters!$C$27="B",'consumption scenario B'!F64,IF(parameters!$C$27="C",'consumption scenario C'!F64,'consumption scenario A'!F65))</f>
        <v>0.64376284587438171</v>
      </c>
      <c r="G71" s="61">
        <f>IF(parameters!$C$27="B",'consumption scenario B'!G64,IF(parameters!$C$27="C",'consumption scenario C'!G64,'consumption scenario A'!G65))</f>
        <v>0.60322481669586725</v>
      </c>
      <c r="H71" s="61">
        <f>IF(parameters!$C$27="B",'consumption scenario B'!H64,IF(parameters!$C$27="C",'consumption scenario C'!H64,'consumption scenario A'!H65))</f>
        <v>0.73373002968949907</v>
      </c>
      <c r="I71" s="61">
        <f>IF(parameters!$C$27="B",'consumption scenario B'!I64,IF(parameters!$C$27="C",'consumption scenario C'!I64,'consumption scenario A'!I65))</f>
        <v>0.69485785965413116</v>
      </c>
      <c r="J71" s="61">
        <f>IF(parameters!$C$27="B",'consumption scenario B'!J64,IF(parameters!$C$27="C",'consumption scenario C'!J64,'consumption scenario A'!J65))</f>
        <v>0.63596816340219686</v>
      </c>
      <c r="K71" s="561">
        <f>IF(parameters!$C$27="B",'consumption scenario B'!K64,IF(parameters!$C$27="C",'consumption scenario C'!K64,'consumption scenario A'!K65))</f>
        <v>0.65070798217051784</v>
      </c>
      <c r="L71" s="561">
        <f>IF(parameters!$C$27="B",'consumption scenario B'!L64,IF(parameters!$C$27="C",'consumption scenario C'!L64,'consumption scenario A'!L65))</f>
        <v>0.62619566318968134</v>
      </c>
      <c r="M71" s="434">
        <f>IF(parameters!$C$27="B",'consumption scenario B'!M64,IF(parameters!$C$27="C",'consumption scenario C'!M64,'consumption scenario A'!M65))</f>
        <v>0.6368912385248412</v>
      </c>
      <c r="N71" s="61">
        <f>IF(parameters!$C$27="B",'consumption scenario B'!N64,IF(parameters!$C$27="C",'consumption scenario C'!N64,'consumption scenario A'!N65))</f>
        <v>0.62879539363041381</v>
      </c>
      <c r="O71" s="61">
        <f>IF(parameters!$C$27="B",'consumption scenario B'!O64,IF(parameters!$C$27="C",'consumption scenario C'!O64,'consumption scenario A'!O65))</f>
        <v>0.62362420270287033</v>
      </c>
      <c r="P71" s="61">
        <f>IF(parameters!$C$27="B",'consumption scenario B'!P64,IF(parameters!$C$27="C",'consumption scenario C'!P64,'consumption scenario A'!P65))</f>
        <v>0.61845301177532697</v>
      </c>
      <c r="Q71" s="61">
        <f>IF(parameters!$C$27="B",'consumption scenario B'!Q64,IF(parameters!$C$27="C",'consumption scenario C'!Q64,'consumption scenario A'!Q65))</f>
        <v>0.61328182084778393</v>
      </c>
      <c r="R71" s="61">
        <f>IF(parameters!$C$27="B",'consumption scenario B'!R64,IF(parameters!$C$27="C",'consumption scenario C'!R64,'consumption scenario A'!R65))</f>
        <v>0.61781020386883201</v>
      </c>
      <c r="S71" s="61">
        <f>IF(parameters!$C$27="B",'consumption scenario B'!S64,IF(parameters!$C$27="C",'consumption scenario C'!S64,'consumption scenario A'!S65))</f>
        <v>0.61602345234781675</v>
      </c>
      <c r="T71" s="61">
        <f>IF(parameters!$C$27="B",'consumption scenario B'!T64,IF(parameters!$C$27="C",'consumption scenario C'!T64,'consumption scenario A'!T65))</f>
        <v>0.61795365687841763</v>
      </c>
      <c r="U71" s="61">
        <f>IF(parameters!$C$27="B",'consumption scenario B'!U64,IF(parameters!$C$27="C",'consumption scenario C'!U64,'consumption scenario A'!U65))</f>
        <v>0.61619839544769506</v>
      </c>
      <c r="V71" s="61">
        <f>IF(parameters!$C$27="B",'consumption scenario B'!V64,IF(parameters!$C$27="C",'consumption scenario C'!V64,'consumption scenario A'!V65))</f>
        <v>0.61443438766866132</v>
      </c>
      <c r="W71" s="61">
        <f>IF(parameters!$C$27="B",'consumption scenario B'!W64,IF(parameters!$C$27="C",'consumption scenario C'!W64,'consumption scenario A'!W65))</f>
        <v>0.61927948023176871</v>
      </c>
      <c r="X71" s="61">
        <f>IF(parameters!$C$27="B",'consumption scenario B'!X64,IF(parameters!$C$27="C",'consumption scenario C'!X64,'consumption scenario A'!X65))</f>
        <v>0.61937419567309937</v>
      </c>
      <c r="Y71" s="61">
        <f>IF(parameters!$C$27="B",'consumption scenario B'!Y64,IF(parameters!$C$27="C",'consumption scenario C'!Y64,'consumption scenario A'!Y65))</f>
        <v>0.61943787628415592</v>
      </c>
      <c r="Z71" s="61">
        <f>IF(parameters!$C$27="B",'consumption scenario B'!Z64,IF(parameters!$C$27="C",'consumption scenario C'!Z64,'consumption scenario A'!Z65))</f>
        <v>0.61941042782337952</v>
      </c>
      <c r="AA71" s="61">
        <f>IF(parameters!$C$27="B",'consumption scenario B'!AA64,IF(parameters!$C$27="C",'consumption scenario C'!AA64,'consumption scenario A'!AA65))</f>
        <v>0.61927663216749773</v>
      </c>
      <c r="AB71" s="61">
        <f>IF(parameters!$C$27="B",'consumption scenario B'!AB64,IF(parameters!$C$27="C",'consumption scenario C'!AB64,'consumption scenario A'!AB65))</f>
        <v>0.61916397220192243</v>
      </c>
      <c r="AC71" s="61">
        <f>IF(parameters!$C$27="B",'consumption scenario B'!AC64,IF(parameters!$C$27="C",'consumption scenario C'!AC64,'consumption scenario A'!AC65))</f>
        <v>0.61898980594251163</v>
      </c>
      <c r="AD71" s="61">
        <f>IF(parameters!$C$27="B",'consumption scenario B'!AD64,IF(parameters!$C$27="C",'consumption scenario C'!AD64,'consumption scenario A'!AD65))</f>
        <v>0.61881054548807901</v>
      </c>
      <c r="AE71" s="61">
        <f>IF(parameters!$C$27="B",'consumption scenario B'!AE64,IF(parameters!$C$27="C",'consumption scenario C'!AE64,'consumption scenario A'!AE65))</f>
        <v>0.61862692571437761</v>
      </c>
      <c r="AF71" s="61">
        <f>IF(parameters!$C$27="B",'consumption scenario B'!AF64,IF(parameters!$C$27="C",'consumption scenario C'!AF64,'consumption scenario A'!AF65))</f>
        <v>0.61843720261094381</v>
      </c>
      <c r="AG71" s="61">
        <f>IF(parameters!$C$27="B",'consumption scenario B'!AG64,IF(parameters!$C$27="C",'consumption scenario C'!AG64,'consumption scenario A'!AG65))</f>
        <v>0.61827396439374693</v>
      </c>
      <c r="AH71" s="61">
        <f>IF(parameters!$C$27="B",'consumption scenario B'!AH64,IF(parameters!$C$27="C",'consumption scenario C'!AH64,'consumption scenario A'!AH65))</f>
        <v>0.61810545459467847</v>
      </c>
      <c r="AI71" s="61">
        <f>IF(parameters!$C$27="B",'consumption scenario B'!AI64,IF(parameters!$C$27="C",'consumption scenario C'!AI64,'consumption scenario A'!AI65))</f>
        <v>0.61794045306162426</v>
      </c>
      <c r="AJ71" s="61">
        <f>IF(parameters!$C$27="B",'consumption scenario B'!AJ64,IF(parameters!$C$27="C",'consumption scenario C'!AJ64,'consumption scenario A'!AJ65))</f>
        <v>0.61777885136354205</v>
      </c>
      <c r="AK71" s="61">
        <f>IF(parameters!$C$27="B",'consumption scenario B'!AK64,IF(parameters!$C$27="C",'consumption scenario C'!AK64,'consumption scenario A'!AK65))</f>
        <v>0.6176205454922381</v>
      </c>
      <c r="AL71" s="94"/>
    </row>
    <row r="72" spans="1:40">
      <c r="A72" s="91" t="s">
        <v>426</v>
      </c>
      <c r="B72" s="61">
        <f>IF(parameters!$C$27="B",'consumption scenario B'!B65,IF(parameters!$C$27="C",'consumption scenario C'!B65,'consumption scenario A'!B66))</f>
        <v>6.9958899913413666E-3</v>
      </c>
      <c r="C72" s="61">
        <f>IF(parameters!$C$27="B",'consumption scenario B'!C65,IF(parameters!$C$27="C",'consumption scenario C'!C65,'consumption scenario A'!C66))</f>
        <v>4.4919713223739149E-3</v>
      </c>
      <c r="D72" s="61">
        <f>IF(parameters!$C$27="B",'consumption scenario B'!D65,IF(parameters!$C$27="C",'consumption scenario C'!D65,'consumption scenario A'!D66))</f>
        <v>5.2210093982710476E-3</v>
      </c>
      <c r="E72" s="61">
        <f>IF(parameters!$C$27="B",'consumption scenario B'!E65,IF(parameters!$C$27="C",'consumption scenario C'!E65,'consumption scenario A'!E66))</f>
        <v>4.65461977481464E-3</v>
      </c>
      <c r="F72" s="61">
        <f>IF(parameters!$C$27="B",'consumption scenario B'!F65,IF(parameters!$C$27="C",'consumption scenario C'!F65,'consumption scenario A'!F66))</f>
        <v>5.0078614945081052E-3</v>
      </c>
      <c r="G72" s="61">
        <f>IF(parameters!$C$27="B",'consumption scenario B'!G65,IF(parameters!$C$27="C",'consumption scenario C'!G65,'consumption scenario A'!G66))</f>
        <v>5.5607354900667335E-3</v>
      </c>
      <c r="H72" s="61">
        <f>IF(parameters!$C$27="B",'consumption scenario B'!H65,IF(parameters!$C$27="C",'consumption scenario C'!H65,'consumption scenario A'!H66))</f>
        <v>4.9051469486321971E-3</v>
      </c>
      <c r="I72" s="61">
        <f>IF(parameters!$C$27="B",'consumption scenario B'!I65,IF(parameters!$C$27="C",'consumption scenario C'!I65,'consumption scenario A'!I66))</f>
        <v>3.428936442942232E-3</v>
      </c>
      <c r="J72" s="61">
        <f>IF(parameters!$C$27="B",'consumption scenario B'!J65,IF(parameters!$C$27="C",'consumption scenario C'!J65,'consumption scenario A'!J66))</f>
        <v>2.857879164599821E-3</v>
      </c>
      <c r="K72" s="561">
        <f>IF(parameters!$C$27="B",'consumption scenario B'!K65,IF(parameters!$C$27="C",'consumption scenario C'!K65,'consumption scenario A'!K66))</f>
        <v>3.2731184687870823E-3</v>
      </c>
      <c r="L72" s="561">
        <f>IF(parameters!$C$27="B",'consumption scenario B'!L65,IF(parameters!$C$27="C",'consumption scenario C'!L65,'consumption scenario A'!L66))</f>
        <v>4.5448241558907476E-3</v>
      </c>
      <c r="M72" s="434">
        <f>IF(parameters!$C$27="B",'consumption scenario B'!M65,IF(parameters!$C$27="C",'consumption scenario C'!M65,'consumption scenario A'!M66))</f>
        <v>7.7258879043987736E-3</v>
      </c>
      <c r="N72" s="61">
        <f>IF(parameters!$C$27="B",'consumption scenario B'!N65,IF(parameters!$C$27="C",'consumption scenario C'!N65,'consumption scenario A'!N66))</f>
        <v>4.8352300113573485E-3</v>
      </c>
      <c r="O72" s="61">
        <f>IF(parameters!$C$27="B",'consumption scenario B'!O65,IF(parameters!$C$27="C",'consumption scenario C'!O65,'consumption scenario A'!O66))</f>
        <v>4.8565442090057545E-3</v>
      </c>
      <c r="P72" s="61">
        <f>IF(parameters!$C$27="B",'consumption scenario B'!P65,IF(parameters!$C$27="C",'consumption scenario C'!P65,'consumption scenario A'!P66))</f>
        <v>4.8778584066541536E-3</v>
      </c>
      <c r="Q72" s="61">
        <f>IF(parameters!$C$27="B",'consumption scenario B'!Q65,IF(parameters!$C$27="C",'consumption scenario C'!Q65,'consumption scenario A'!Q66))</f>
        <v>4.8991726043025596E-3</v>
      </c>
      <c r="R72" s="61">
        <f>IF(parameters!$C$27="B",'consumption scenario B'!R65,IF(parameters!$C$27="C",'consumption scenario C'!R65,'consumption scenario A'!R66))</f>
        <v>4.9204868019509587E-3</v>
      </c>
      <c r="S72" s="61">
        <f>IF(parameters!$C$27="B",'consumption scenario B'!S65,IF(parameters!$C$27="C",'consumption scenario C'!S65,'consumption scenario A'!S66))</f>
        <v>4.9418009995993648E-3</v>
      </c>
      <c r="T72" s="61">
        <f>IF(parameters!$C$27="B",'consumption scenario B'!T65,IF(parameters!$C$27="C",'consumption scenario C'!T65,'consumption scenario A'!T66))</f>
        <v>4.9631151972477638E-3</v>
      </c>
      <c r="U72" s="61">
        <f>IF(parameters!$C$27="B",'consumption scenario B'!U65,IF(parameters!$C$27="C",'consumption scenario C'!U65,'consumption scenario A'!U66))</f>
        <v>4.9844293948961699E-3</v>
      </c>
      <c r="V72" s="61">
        <f>IF(parameters!$C$27="B",'consumption scenario B'!V65,IF(parameters!$C$27="C",'consumption scenario C'!V65,'consumption scenario A'!V66))</f>
        <v>5.005743592544569E-3</v>
      </c>
      <c r="W72" s="61">
        <f>IF(parameters!$C$27="B",'consumption scenario B'!W65,IF(parameters!$C$27="C",'consumption scenario C'!W65,'consumption scenario A'!W66))</f>
        <v>5.027057790192975E-3</v>
      </c>
      <c r="X72" s="61">
        <f>IF(parameters!$C$27="B",'consumption scenario B'!X65,IF(parameters!$C$27="C",'consumption scenario C'!X65,'consumption scenario A'!X66))</f>
        <v>5.027057790192975E-3</v>
      </c>
      <c r="Y72" s="61">
        <f>IF(parameters!$C$27="B",'consumption scenario B'!Y65,IF(parameters!$C$27="C",'consumption scenario C'!Y65,'consumption scenario A'!Y66))</f>
        <v>5.027057790192975E-3</v>
      </c>
      <c r="Z72" s="61">
        <f>IF(parameters!$C$27="B",'consumption scenario B'!Z65,IF(parameters!$C$27="C",'consumption scenario C'!Z65,'consumption scenario A'!Z66))</f>
        <v>5.027057790192975E-3</v>
      </c>
      <c r="AA72" s="61">
        <f>IF(parameters!$C$27="B",'consumption scenario B'!AA65,IF(parameters!$C$27="C",'consumption scenario C'!AA65,'consumption scenario A'!AA66))</f>
        <v>5.027057790192975E-3</v>
      </c>
      <c r="AB72" s="61">
        <f>IF(parameters!$C$27="B",'consumption scenario B'!AB65,IF(parameters!$C$27="C",'consumption scenario C'!AB65,'consumption scenario A'!AB66))</f>
        <v>5.027057790192975E-3</v>
      </c>
      <c r="AC72" s="61">
        <f>IF(parameters!$C$27="B",'consumption scenario B'!AC65,IF(parameters!$C$27="C",'consumption scenario C'!AC65,'consumption scenario A'!AC66))</f>
        <v>5.027057790192975E-3</v>
      </c>
      <c r="AD72" s="61">
        <f>IF(parameters!$C$27="B",'consumption scenario B'!AD65,IF(parameters!$C$27="C",'consumption scenario C'!AD65,'consumption scenario A'!AD66))</f>
        <v>5.027057790192975E-3</v>
      </c>
      <c r="AE72" s="61">
        <f>IF(parameters!$C$27="B",'consumption scenario B'!AE65,IF(parameters!$C$27="C",'consumption scenario C'!AE65,'consumption scenario A'!AE66))</f>
        <v>5.027057790192975E-3</v>
      </c>
      <c r="AF72" s="61">
        <f>IF(parameters!$C$27="B",'consumption scenario B'!AF65,IF(parameters!$C$27="C",'consumption scenario C'!AF65,'consumption scenario A'!AF66))</f>
        <v>5.027057790192975E-3</v>
      </c>
      <c r="AG72" s="61">
        <f>IF(parameters!$C$27="B",'consumption scenario B'!AG65,IF(parameters!$C$27="C",'consumption scenario C'!AG65,'consumption scenario A'!AG66))</f>
        <v>5.027057790192975E-3</v>
      </c>
      <c r="AH72" s="61">
        <f>IF(parameters!$C$27="B",'consumption scenario B'!AH65,IF(parameters!$C$27="C",'consumption scenario C'!AH65,'consumption scenario A'!AH66))</f>
        <v>5.027057790192975E-3</v>
      </c>
      <c r="AI72" s="61">
        <f>IF(parameters!$C$27="B",'consumption scenario B'!AI65,IF(parameters!$C$27="C",'consumption scenario C'!AI65,'consumption scenario A'!AI66))</f>
        <v>5.027057790192975E-3</v>
      </c>
      <c r="AJ72" s="61">
        <f>IF(parameters!$C$27="B",'consumption scenario B'!AJ65,IF(parameters!$C$27="C",'consumption scenario C'!AJ65,'consumption scenario A'!AJ66))</f>
        <v>5.027057790192975E-3</v>
      </c>
      <c r="AK72" s="61">
        <f>IF(parameters!$C$27="B",'consumption scenario B'!AK65,IF(parameters!$C$27="C",'consumption scenario C'!AK65,'consumption scenario A'!AK66))</f>
        <v>5.027057790192975E-3</v>
      </c>
      <c r="AL72" s="94"/>
    </row>
    <row r="73" spans="1:40">
      <c r="A73" s="91" t="s">
        <v>427</v>
      </c>
      <c r="B73" s="61">
        <f>IF(parameters!$C$27="B",'consumption scenario B'!B66,IF(parameters!$C$27="C",'consumption scenario C'!B66,'consumption scenario A'!B67))</f>
        <v>0</v>
      </c>
      <c r="C73" s="61">
        <f>IF(parameters!$C$27="B",'consumption scenario B'!C66,IF(parameters!$C$27="C",'consumption scenario C'!C66,'consumption scenario A'!C67))</f>
        <v>1.647058439204055E-4</v>
      </c>
      <c r="D73" s="61">
        <f>IF(parameters!$C$27="B",'consumption scenario B'!D66,IF(parameters!$C$27="C",'consumption scenario C'!D66,'consumption scenario A'!D67))</f>
        <v>1.2672518529265126E-4</v>
      </c>
      <c r="E73" s="61">
        <f>IF(parameters!$C$27="B",'consumption scenario B'!E66,IF(parameters!$C$27="C",'consumption scenario C'!E66,'consumption scenario A'!E67))</f>
        <v>1.890617525719054E-4</v>
      </c>
      <c r="F73" s="61">
        <f>IF(parameters!$C$27="B",'consumption scenario B'!F66,IF(parameters!$C$27="C",'consumption scenario C'!F66,'consumption scenario A'!F67))</f>
        <v>2.164519940101673E-4</v>
      </c>
      <c r="G73" s="61">
        <f>IF(parameters!$C$27="B",'consumption scenario B'!G66,IF(parameters!$C$27="C",'consumption scenario C'!G66,'consumption scenario A'!G67))</f>
        <v>1.9623690612093891E-4</v>
      </c>
      <c r="H73" s="61">
        <f>IF(parameters!$C$27="B",'consumption scenario B'!H66,IF(parameters!$C$27="C",'consumption scenario C'!H66,'consumption scenario A'!H67))</f>
        <v>1.9874598756994071E-4</v>
      </c>
      <c r="I73" s="61">
        <f>IF(parameters!$C$27="B",'consumption scenario B'!I66,IF(parameters!$C$27="C",'consumption scenario C'!I66,'consumption scenario A'!I67))</f>
        <v>1.8758244395432371E-4</v>
      </c>
      <c r="J73" s="61">
        <f>IF(parameters!$C$27="B",'consumption scenario B'!J66,IF(parameters!$C$27="C",'consumption scenario C'!J66,'consumption scenario A'!J67))</f>
        <v>1.7672567922348721E-4</v>
      </c>
      <c r="K73" s="561">
        <f>IF(parameters!$C$27="B",'consumption scenario B'!K66,IF(parameters!$C$27="C",'consumption scenario C'!K66,'consumption scenario A'!K67))</f>
        <v>1.9514548124748826E-4</v>
      </c>
      <c r="L73" s="561">
        <f>IF(parameters!$C$27="B",'consumption scenario B'!L66,IF(parameters!$C$27="C",'consumption scenario C'!L66,'consumption scenario A'!L67))</f>
        <v>1.8211768711012905E-4</v>
      </c>
      <c r="M73" s="434">
        <f>IF(parameters!$C$27="B",'consumption scenario B'!M66,IF(parameters!$C$27="C",'consumption scenario C'!M66,'consumption scenario A'!M67))</f>
        <v>0</v>
      </c>
      <c r="N73" s="61">
        <f>IF(parameters!$C$27="B",'consumption scenario B'!N66,IF(parameters!$C$27="C",'consumption scenario C'!N66,'consumption scenario A'!N67))</f>
        <v>1.2136714791051786E-4</v>
      </c>
      <c r="O73" s="61">
        <f>IF(parameters!$C$27="B",'consumption scenario B'!O66,IF(parameters!$C$27="C",'consumption scenario C'!O66,'consumption scenario A'!O67))</f>
        <v>1.1309220903786554E-4</v>
      </c>
      <c r="P73" s="61">
        <f>IF(parameters!$C$27="B",'consumption scenario B'!P66,IF(parameters!$C$27="C",'consumption scenario C'!P66,'consumption scenario A'!P67))</f>
        <v>1.0481727016521322E-4</v>
      </c>
      <c r="Q73" s="61">
        <f>IF(parameters!$C$27="B",'consumption scenario B'!Q66,IF(parameters!$C$27="C",'consumption scenario C'!Q66,'consumption scenario A'!Q67))</f>
        <v>9.6542331292560901E-5</v>
      </c>
      <c r="R73" s="61">
        <f>IF(parameters!$C$27="B",'consumption scenario B'!R66,IF(parameters!$C$27="C",'consumption scenario C'!R66,'consumption scenario A'!R67))</f>
        <v>8.8267392419905111E-5</v>
      </c>
      <c r="S73" s="61">
        <f>IF(parameters!$C$27="B",'consumption scenario B'!S66,IF(parameters!$C$27="C",'consumption scenario C'!S66,'consumption scenario A'!S67))</f>
        <v>7.999245354725279E-5</v>
      </c>
      <c r="T73" s="61">
        <f>IF(parameters!$C$27="B",'consumption scenario B'!T66,IF(parameters!$C$27="C",'consumption scenario C'!T66,'consumption scenario A'!T67))</f>
        <v>7.1717514674600469E-5</v>
      </c>
      <c r="U73" s="61">
        <f>IF(parameters!$C$27="B",'consumption scenario B'!U66,IF(parameters!$C$27="C",'consumption scenario C'!U66,'consumption scenario A'!U67))</f>
        <v>6.3442575801948148E-5</v>
      </c>
      <c r="V73" s="61">
        <f>IF(parameters!$C$27="B",'consumption scenario B'!V66,IF(parameters!$C$27="C",'consumption scenario C'!V66,'consumption scenario A'!V67))</f>
        <v>5.5167636929295827E-5</v>
      </c>
      <c r="W73" s="61">
        <f>IF(parameters!$C$27="B",'consumption scenario B'!W66,IF(parameters!$C$27="C",'consumption scenario C'!W66,'consumption scenario A'!W67))</f>
        <v>4.6892698056643506E-5</v>
      </c>
      <c r="X73" s="61">
        <f>IF(parameters!$C$27="B",'consumption scenario B'!X66,IF(parameters!$C$27="C",'consumption scenario C'!X66,'consumption scenario A'!X67))</f>
        <v>4.6892698056643506E-5</v>
      </c>
      <c r="Y73" s="61">
        <f>IF(parameters!$C$27="B",'consumption scenario B'!Y66,IF(parameters!$C$27="C",'consumption scenario C'!Y66,'consumption scenario A'!Y67))</f>
        <v>4.6892698056643506E-5</v>
      </c>
      <c r="Z73" s="61">
        <f>IF(parameters!$C$27="B",'consumption scenario B'!Z66,IF(parameters!$C$27="C",'consumption scenario C'!Z66,'consumption scenario A'!Z67))</f>
        <v>4.6892698056643506E-5</v>
      </c>
      <c r="AA73" s="61">
        <f>IF(parameters!$C$27="B",'consumption scenario B'!AA66,IF(parameters!$C$27="C",'consumption scenario C'!AA66,'consumption scenario A'!AA67))</f>
        <v>4.6892698056643506E-5</v>
      </c>
      <c r="AB73" s="61">
        <f>IF(parameters!$C$27="B",'consumption scenario B'!AB66,IF(parameters!$C$27="C",'consumption scenario C'!AB66,'consumption scenario A'!AB67))</f>
        <v>4.6892698056643506E-5</v>
      </c>
      <c r="AC73" s="61">
        <f>IF(parameters!$C$27="B",'consumption scenario B'!AC66,IF(parameters!$C$27="C",'consumption scenario C'!AC66,'consumption scenario A'!AC67))</f>
        <v>4.6892698056643506E-5</v>
      </c>
      <c r="AD73" s="61">
        <f>IF(parameters!$C$27="B",'consumption scenario B'!AD66,IF(parameters!$C$27="C",'consumption scenario C'!AD66,'consumption scenario A'!AD67))</f>
        <v>4.6892698056643506E-5</v>
      </c>
      <c r="AE73" s="61">
        <f>IF(parameters!$C$27="B",'consumption scenario B'!AE66,IF(parameters!$C$27="C",'consumption scenario C'!AE66,'consumption scenario A'!AE67))</f>
        <v>4.6892698056643506E-5</v>
      </c>
      <c r="AF73" s="61">
        <f>IF(parameters!$C$27="B",'consumption scenario B'!AF66,IF(parameters!$C$27="C",'consumption scenario C'!AF66,'consumption scenario A'!AF67))</f>
        <v>4.6892698056643513E-5</v>
      </c>
      <c r="AG73" s="61">
        <f>IF(parameters!$C$27="B",'consumption scenario B'!AG66,IF(parameters!$C$27="C",'consumption scenario C'!AG66,'consumption scenario A'!AG67))</f>
        <v>4.6892698056643506E-5</v>
      </c>
      <c r="AH73" s="61">
        <f>IF(parameters!$C$27="B",'consumption scenario B'!AH66,IF(parameters!$C$27="C",'consumption scenario C'!AH66,'consumption scenario A'!AH67))</f>
        <v>4.6892698056643506E-5</v>
      </c>
      <c r="AI73" s="61">
        <f>IF(parameters!$C$27="B",'consumption scenario B'!AI66,IF(parameters!$C$27="C",'consumption scenario C'!AI66,'consumption scenario A'!AI67))</f>
        <v>4.6892698056643506E-5</v>
      </c>
      <c r="AJ73" s="61">
        <f>IF(parameters!$C$27="B",'consumption scenario B'!AJ66,IF(parameters!$C$27="C",'consumption scenario C'!AJ66,'consumption scenario A'!AJ67))</f>
        <v>4.6892698056643506E-5</v>
      </c>
      <c r="AK73" s="61">
        <f>IF(parameters!$C$27="B",'consumption scenario B'!AK66,IF(parameters!$C$27="C",'consumption scenario C'!AK66,'consumption scenario A'!AK67))</f>
        <v>4.6892698056643506E-5</v>
      </c>
      <c r="AL73" s="94"/>
    </row>
    <row r="74" spans="1:40">
      <c r="A74" s="91" t="s">
        <v>428</v>
      </c>
      <c r="B74" s="61">
        <f>IF(parameters!$C$27="B",'consumption scenario B'!B67,IF(parameters!$C$27="C",'consumption scenario C'!B67,'consumption scenario A'!B68))</f>
        <v>5.1557964091804341E-3</v>
      </c>
      <c r="C74" s="61">
        <f>IF(parameters!$C$27="B",'consumption scenario B'!C67,IF(parameters!$C$27="C",'consumption scenario C'!C67,'consumption scenario A'!C68))</f>
        <v>9.9215200687948271E-3</v>
      </c>
      <c r="D74" s="61">
        <f>IF(parameters!$C$27="B",'consumption scenario B'!D67,IF(parameters!$C$27="C",'consumption scenario C'!D67,'consumption scenario A'!D68))</f>
        <v>6.1796152784450737E-3</v>
      </c>
      <c r="E74" s="61">
        <f>IF(parameters!$C$27="B",'consumption scenario B'!E67,IF(parameters!$C$27="C",'consumption scenario C'!E67,'consumption scenario A'!E68))</f>
        <v>1.1332353833410377E-2</v>
      </c>
      <c r="F74" s="61">
        <f>IF(parameters!$C$27="B",'consumption scenario B'!F67,IF(parameters!$C$27="C",'consumption scenario C'!F67,'consumption scenario A'!F68))</f>
        <v>6.615925995702425E-3</v>
      </c>
      <c r="G74" s="61">
        <f>IF(parameters!$C$27="B",'consumption scenario B'!G67,IF(parameters!$C$27="C",'consumption scenario C'!G67,'consumption scenario A'!G68))</f>
        <v>6.4067475516769385E-3</v>
      </c>
      <c r="H74" s="61">
        <f>IF(parameters!$C$27="B",'consumption scenario B'!H67,IF(parameters!$C$27="C",'consumption scenario C'!H67,'consumption scenario A'!H68))</f>
        <v>1.1170492693989646E-2</v>
      </c>
      <c r="I74" s="61">
        <f>IF(parameters!$C$27="B",'consumption scenario B'!I67,IF(parameters!$C$27="C",'consumption scenario C'!I67,'consumption scenario A'!I68))</f>
        <v>3.3219463293768882E-2</v>
      </c>
      <c r="J74" s="61">
        <f>IF(parameters!$C$27="B",'consumption scenario B'!J67,IF(parameters!$C$27="C",'consumption scenario C'!J67,'consumption scenario A'!J68))</f>
        <v>3.1313177472848411E-2</v>
      </c>
      <c r="K74" s="561">
        <f>IF(parameters!$C$27="B",'consumption scenario B'!K67,IF(parameters!$C$27="C",'consumption scenario C'!K67,'consumption scenario A'!K68))</f>
        <v>2.4183320142269059E-2</v>
      </c>
      <c r="L74" s="561">
        <f>IF(parameters!$C$27="B",'consumption scenario B'!L67,IF(parameters!$C$27="C",'consumption scenario C'!L67,'consumption scenario A'!L68))</f>
        <v>2.2973118738727968E-2</v>
      </c>
      <c r="M74" s="434">
        <f>IF(parameters!$C$27="B",'consumption scenario B'!M67,IF(parameters!$C$27="C",'consumption scenario C'!M67,'consumption scenario A'!M68))</f>
        <v>4.1865729735520045E-2</v>
      </c>
      <c r="N74" s="61">
        <f>IF(parameters!$C$27="B",'consumption scenario B'!N67,IF(parameters!$C$27="C",'consumption scenario C'!N67,'consumption scenario A'!N68))</f>
        <v>7.0000000000000007E-2</v>
      </c>
      <c r="O74" s="61">
        <f>IF(parameters!$C$27="B",'consumption scenario B'!O67,IF(parameters!$C$27="C",'consumption scenario C'!O67,'consumption scenario A'!O68))</f>
        <v>0.08</v>
      </c>
      <c r="P74" s="61">
        <f>IF(parameters!$C$27="B",'consumption scenario B'!P67,IF(parameters!$C$27="C",'consumption scenario C'!P67,'consumption scenario A'!P68))</f>
        <v>0.09</v>
      </c>
      <c r="Q74" s="61">
        <f>IF(parameters!$C$27="B",'consumption scenario B'!Q67,IF(parameters!$C$27="C",'consumption scenario C'!Q67,'consumption scenario A'!Q68))</f>
        <v>0.1</v>
      </c>
      <c r="R74" s="61">
        <f>IF(parameters!$C$27="B",'consumption scenario B'!R67,IF(parameters!$C$27="C",'consumption scenario C'!R67,'consumption scenario A'!R68))</f>
        <v>0.10106104010254312</v>
      </c>
      <c r="S74" s="61">
        <f>IF(parameters!$C$27="B",'consumption scenario B'!S67,IF(parameters!$C$27="C",'consumption scenario C'!S67,'consumption scenario A'!S68))</f>
        <v>0.10106955778140889</v>
      </c>
      <c r="T74" s="61">
        <f>IF(parameters!$C$27="B",'consumption scenario B'!T67,IF(parameters!$C$27="C",'consumption scenario C'!T67,'consumption scenario A'!T68))</f>
        <v>0.10169756813554406</v>
      </c>
      <c r="U74" s="61">
        <f>IF(parameters!$C$27="B",'consumption scenario B'!U67,IF(parameters!$C$27="C",'consumption scenario C'!U67,'consumption scenario A'!U68))</f>
        <v>0.10171133416279188</v>
      </c>
      <c r="V74" s="61">
        <f>IF(parameters!$C$27="B",'consumption scenario B'!V67,IF(parameters!$C$27="C",'consumption scenario C'!V67,'consumption scenario A'!V68))</f>
        <v>0.10172364246532128</v>
      </c>
      <c r="W74" s="61">
        <f>IF(parameters!$C$27="B",'consumption scenario B'!W67,IF(parameters!$C$27="C",'consumption scenario C'!W67,'consumption scenario A'!W68))</f>
        <v>0.10283746749154093</v>
      </c>
      <c r="X74" s="61">
        <f>IF(parameters!$C$27="B",'consumption scenario B'!X67,IF(parameters!$C$27="C",'consumption scenario C'!X67,'consumption scenario A'!X68))</f>
        <v>0.10285325339842935</v>
      </c>
      <c r="Y74" s="61">
        <f>IF(parameters!$C$27="B",'consumption scenario B'!Y67,IF(parameters!$C$27="C",'consumption scenario C'!Y67,'consumption scenario A'!Y68))</f>
        <v>0.10286386683360545</v>
      </c>
      <c r="Z74" s="61">
        <f>IF(parameters!$C$27="B",'consumption scenario B'!Z67,IF(parameters!$C$27="C",'consumption scenario C'!Z67,'consumption scenario A'!Z68))</f>
        <v>0.10285929209014273</v>
      </c>
      <c r="AA74" s="61">
        <f>IF(parameters!$C$27="B",'consumption scenario B'!AA67,IF(parameters!$C$27="C",'consumption scenario C'!AA67,'consumption scenario A'!AA68))</f>
        <v>0.10283699281416242</v>
      </c>
      <c r="AB74" s="61">
        <f>IF(parameters!$C$27="B",'consumption scenario B'!AB67,IF(parameters!$C$27="C",'consumption scenario C'!AB67,'consumption scenario A'!AB68))</f>
        <v>0.10281821615323319</v>
      </c>
      <c r="AC74" s="61">
        <f>IF(parameters!$C$27="B",'consumption scenario B'!AC67,IF(parameters!$C$27="C",'consumption scenario C'!AC67,'consumption scenario A'!AC68))</f>
        <v>0.1027891884433314</v>
      </c>
      <c r="AD74" s="61">
        <f>IF(parameters!$C$27="B",'consumption scenario B'!AD67,IF(parameters!$C$27="C",'consumption scenario C'!AD67,'consumption scenario A'!AD68))</f>
        <v>0.10275931170092596</v>
      </c>
      <c r="AE74" s="61">
        <f>IF(parameters!$C$27="B",'consumption scenario B'!AE67,IF(parameters!$C$27="C",'consumption scenario C'!AE67,'consumption scenario A'!AE68))</f>
        <v>0.10272870840530905</v>
      </c>
      <c r="AF74" s="61">
        <f>IF(parameters!$C$27="B",'consumption scenario B'!AF67,IF(parameters!$C$27="C",'consumption scenario C'!AF67,'consumption scenario A'!AF68))</f>
        <v>0.1026970878880701</v>
      </c>
      <c r="AG74" s="61">
        <f>IF(parameters!$C$27="B",'consumption scenario B'!AG67,IF(parameters!$C$27="C",'consumption scenario C'!AG67,'consumption scenario A'!AG68))</f>
        <v>0.10266988151853729</v>
      </c>
      <c r="AH74" s="61">
        <f>IF(parameters!$C$27="B",'consumption scenario B'!AH67,IF(parameters!$C$27="C",'consumption scenario C'!AH67,'consumption scenario A'!AH68))</f>
        <v>0.10264179655202588</v>
      </c>
      <c r="AI74" s="61">
        <f>IF(parameters!$C$27="B",'consumption scenario B'!AI67,IF(parameters!$C$27="C",'consumption scenario C'!AI67,'consumption scenario A'!AI68))</f>
        <v>0.10261429629651683</v>
      </c>
      <c r="AJ74" s="61">
        <f>IF(parameters!$C$27="B",'consumption scenario B'!AJ67,IF(parameters!$C$27="C",'consumption scenario C'!AJ67,'consumption scenario A'!AJ68))</f>
        <v>0.1025873626801698</v>
      </c>
      <c r="AK74" s="61">
        <f>IF(parameters!$C$27="B",'consumption scenario B'!AK67,IF(parameters!$C$27="C",'consumption scenario C'!AK67,'consumption scenario A'!AK68))</f>
        <v>0.10256097836828582</v>
      </c>
      <c r="AL74" s="94"/>
    </row>
    <row r="75" spans="1:40">
      <c r="A75" s="91" t="s">
        <v>255</v>
      </c>
      <c r="B75" s="61">
        <f>IF(parameters!$C$27="B",'consumption scenario B'!B68,IF(parameters!$C$27="C",'consumption scenario C'!B68,'consumption scenario A'!B69))</f>
        <v>0</v>
      </c>
      <c r="C75" s="61">
        <f>IF(parameters!$C$27="B",'consumption scenario B'!C68,IF(parameters!$C$27="C",'consumption scenario C'!C68,'consumption scenario A'!C69))</f>
        <v>0</v>
      </c>
      <c r="D75" s="61">
        <f>IF(parameters!$C$27="B",'consumption scenario B'!D68,IF(parameters!$C$27="C",'consumption scenario C'!D68,'consumption scenario A'!D69))</f>
        <v>0</v>
      </c>
      <c r="E75" s="61">
        <f>IF(parameters!$C$27="B",'consumption scenario B'!E68,IF(parameters!$C$27="C",'consumption scenario C'!E68,'consumption scenario A'!E69))</f>
        <v>0</v>
      </c>
      <c r="F75" s="61">
        <f>IF(parameters!$C$27="B",'consumption scenario B'!F68,IF(parameters!$C$27="C",'consumption scenario C'!F68,'consumption scenario A'!F69))</f>
        <v>0</v>
      </c>
      <c r="G75" s="61">
        <f>IF(parameters!$C$27="B",'consumption scenario B'!G68,IF(parameters!$C$27="C",'consumption scenario C'!G68,'consumption scenario A'!G69))</f>
        <v>0</v>
      </c>
      <c r="H75" s="61">
        <f>IF(parameters!$C$27="B",'consumption scenario B'!H68,IF(parameters!$C$27="C",'consumption scenario C'!H68,'consumption scenario A'!H69))</f>
        <v>0</v>
      </c>
      <c r="I75" s="61">
        <f>IF(parameters!$C$27="B",'consumption scenario B'!I68,IF(parameters!$C$27="C",'consumption scenario C'!I68,'consumption scenario A'!I69))</f>
        <v>1.5809624776899372E-5</v>
      </c>
      <c r="J75" s="61">
        <f>IF(parameters!$C$27="B",'consumption scenario B'!J68,IF(parameters!$C$27="C",'consumption scenario C'!J68,'consumption scenario A'!J69))</f>
        <v>1.8715093926938878E-5</v>
      </c>
      <c r="K75" s="561">
        <f>IF(parameters!$C$27="B",'consumption scenario B'!K68,IF(parameters!$C$27="C",'consumption scenario C'!K68,'consumption scenario A'!K69))</f>
        <v>7.210500781061232E-5</v>
      </c>
      <c r="L75" s="561">
        <f>IF(parameters!$C$27="B",'consumption scenario B'!L68,IF(parameters!$C$27="C",'consumption scenario C'!L68,'consumption scenario A'!L69))</f>
        <v>9.9714670213174158E-5</v>
      </c>
      <c r="M75" s="434">
        <f>IF(parameters!$C$27="B",'consumption scenario B'!M68,IF(parameters!$C$27="C",'consumption scenario C'!M68,'consumption scenario A'!M69))</f>
        <v>3.9918766510800903E-5</v>
      </c>
      <c r="N75" s="61">
        <f>IF(parameters!$C$27="B",'consumption scenario B'!N68,IF(parameters!$C$27="C",'consumption scenario C'!N68,'consumption scenario A'!N69))</f>
        <v>7.4284700847183222E-5</v>
      </c>
      <c r="O75" s="61">
        <f>IF(parameters!$C$27="B",'consumption scenario B'!O68,IF(parameters!$C$27="C",'consumption scenario C'!O68,'consumption scenario A'!O69))</f>
        <v>8.3313498033244643E-5</v>
      </c>
      <c r="P75" s="61">
        <f>IF(parameters!$C$27="B",'consumption scenario B'!P68,IF(parameters!$C$27="C",'consumption scenario C'!P68,'consumption scenario A'!P69))</f>
        <v>9.2342295219306064E-5</v>
      </c>
      <c r="Q75" s="61">
        <f>IF(parameters!$C$27="B",'consumption scenario B'!Q68,IF(parameters!$C$27="C",'consumption scenario C'!Q68,'consumption scenario A'!Q69))</f>
        <v>1.0137109240537096E-4</v>
      </c>
      <c r="R75" s="61">
        <f>IF(parameters!$C$27="B",'consumption scenario B'!R68,IF(parameters!$C$27="C",'consumption scenario C'!R68,'consumption scenario A'!R69))</f>
        <v>1.1714399921345417E-3</v>
      </c>
      <c r="S75" s="61">
        <f>IF(parameters!$C$27="B",'consumption scenario B'!S68,IF(parameters!$C$27="C",'consumption scenario C'!S68,'consumption scenario A'!S69))</f>
        <v>1.1889864681863724E-3</v>
      </c>
      <c r="T75" s="61">
        <f>IF(parameters!$C$27="B",'consumption scenario B'!T68,IF(parameters!$C$27="C",'consumption scenario C'!T68,'consumption scenario A'!T69))</f>
        <v>1.8260256195076149E-3</v>
      </c>
      <c r="U75" s="61">
        <f>IF(parameters!$C$27="B",'consumption scenario B'!U68,IF(parameters!$C$27="C",'consumption scenario C'!U68,'consumption scenario A'!U69))</f>
        <v>1.8488204439415057E-3</v>
      </c>
      <c r="V75" s="61">
        <f>IF(parameters!$C$27="B",'consumption scenario B'!V68,IF(parameters!$C$27="C",'consumption scenario C'!V68,'consumption scenario A'!V69))</f>
        <v>1.870157543656952E-3</v>
      </c>
      <c r="W75" s="61">
        <f>IF(parameters!$C$27="B",'consumption scenario B'!W68,IF(parameters!$C$27="C",'consumption scenario C'!W68,'consumption scenario A'!W69))</f>
        <v>2.9930113670626666E-3</v>
      </c>
      <c r="X75" s="61">
        <f>IF(parameters!$C$27="B",'consumption scenario B'!X68,IF(parameters!$C$27="C",'consumption scenario C'!X68,'consumption scenario A'!X69))</f>
        <v>3.0087972739510946E-3</v>
      </c>
      <c r="Y75" s="61">
        <f>IF(parameters!$C$27="B",'consumption scenario B'!Y68,IF(parameters!$C$27="C",'consumption scenario C'!Y68,'consumption scenario A'!Y69))</f>
        <v>3.0194107091271881E-3</v>
      </c>
      <c r="Z75" s="61">
        <f>IF(parameters!$C$27="B",'consumption scenario B'!Z68,IF(parameters!$C$27="C",'consumption scenario C'!Z68,'consumption scenario A'!Z69))</f>
        <v>3.0148359656644577E-3</v>
      </c>
      <c r="AA75" s="61">
        <f>IF(parameters!$C$27="B",'consumption scenario B'!AA68,IF(parameters!$C$27="C",'consumption scenario C'!AA68,'consumption scenario A'!AA69))</f>
        <v>2.9925366896841588E-3</v>
      </c>
      <c r="AB75" s="61">
        <f>IF(parameters!$C$27="B",'consumption scenario B'!AB68,IF(parameters!$C$27="C",'consumption scenario C'!AB68,'consumption scenario A'!AB69))</f>
        <v>2.9737600287549422E-3</v>
      </c>
      <c r="AC75" s="61">
        <f>IF(parameters!$C$27="B",'consumption scenario B'!AC68,IF(parameters!$C$27="C",'consumption scenario C'!AC68,'consumption scenario A'!AC69))</f>
        <v>2.9447323188531386E-3</v>
      </c>
      <c r="AD75" s="61">
        <f>IF(parameters!$C$27="B",'consumption scenario B'!AD68,IF(parameters!$C$27="C",'consumption scenario C'!AD68,'consumption scenario A'!AD69))</f>
        <v>2.9148555764477147E-3</v>
      </c>
      <c r="AE75" s="61">
        <f>IF(parameters!$C$27="B",'consumption scenario B'!AE68,IF(parameters!$C$27="C",'consumption scenario C'!AE68,'consumption scenario A'!AE69))</f>
        <v>2.8842522808307982E-3</v>
      </c>
      <c r="AF75" s="61">
        <f>IF(parameters!$C$27="B",'consumption scenario B'!AF68,IF(parameters!$C$27="C",'consumption scenario C'!AF68,'consumption scenario A'!AF69))</f>
        <v>2.8526317635918421E-3</v>
      </c>
      <c r="AG75" s="61">
        <f>IF(parameters!$C$27="B",'consumption scenario B'!AG68,IF(parameters!$C$27="C",'consumption scenario C'!AG68,'consumption scenario A'!AG69))</f>
        <v>2.8254253940590318E-3</v>
      </c>
      <c r="AH75" s="61">
        <f>IF(parameters!$C$27="B",'consumption scenario B'!AH68,IF(parameters!$C$27="C",'consumption scenario C'!AH68,'consumption scenario A'!AH69))</f>
        <v>2.7973404275476147E-3</v>
      </c>
      <c r="AI75" s="61">
        <f>IF(parameters!$C$27="B",'consumption scenario B'!AI68,IF(parameters!$C$27="C",'consumption scenario C'!AI68,'consumption scenario A'!AI69))</f>
        <v>2.7698401720385856E-3</v>
      </c>
      <c r="AJ75" s="61">
        <f>IF(parameters!$C$27="B",'consumption scenario B'!AJ68,IF(parameters!$C$27="C",'consumption scenario C'!AJ68,'consumption scenario A'!AJ69))</f>
        <v>2.7429065556915477E-3</v>
      </c>
      <c r="AK75" s="61">
        <f>IF(parameters!$C$27="B",'consumption scenario B'!AK68,IF(parameters!$C$27="C",'consumption scenario C'!AK68,'consumption scenario A'!AK69))</f>
        <v>2.7165222438075517E-3</v>
      </c>
      <c r="AL75" s="94"/>
    </row>
    <row r="76" spans="1:40">
      <c r="A76" s="91" t="s">
        <v>374</v>
      </c>
      <c r="B76" s="61">
        <f>IF(parameters!$C$27="B",'consumption scenario B'!B69,IF(parameters!$C$27="C",'consumption scenario C'!B69,'consumption scenario A'!B70))</f>
        <v>9.592633848641679E-4</v>
      </c>
      <c r="C76" s="61">
        <f>IF(parameters!$C$27="B",'consumption scenario B'!C69,IF(parameters!$C$27="C",'consumption scenario C'!C69,'consumption scenario A'!C70))</f>
        <v>6.6179805189737096E-4</v>
      </c>
      <c r="D76" s="61">
        <f>IF(parameters!$C$27="B",'consumption scenario B'!D69,IF(parameters!$C$27="C",'consumption scenario C'!D69,'consumption scenario A'!D70))</f>
        <v>5.5542676186193815E-4</v>
      </c>
      <c r="E76" s="61">
        <f>IF(parameters!$C$27="B",'consumption scenario B'!E69,IF(parameters!$C$27="C",'consumption scenario C'!E69,'consumption scenario A'!E70))</f>
        <v>2.5830910345953057E-4</v>
      </c>
      <c r="F76" s="61">
        <f>IF(parameters!$C$27="B",'consumption scenario B'!F69,IF(parameters!$C$27="C",'consumption scenario C'!F69,'consumption scenario A'!F70))</f>
        <v>1.8068367152797814E-4</v>
      </c>
      <c r="G76" s="61">
        <f>IF(parameters!$C$27="B",'consumption scenario B'!G69,IF(parameters!$C$27="C",'consumption scenario C'!G69,'consumption scenario A'!G70))</f>
        <v>2.1218061970037027E-4</v>
      </c>
      <c r="H76" s="61">
        <f>IF(parameters!$C$27="B",'consumption scenario B'!H69,IF(parameters!$C$27="C",'consumption scenario C'!H69,'consumption scenario A'!H70))</f>
        <v>5.4013262840766469E-4</v>
      </c>
      <c r="I76" s="61">
        <f>IF(parameters!$C$27="B",'consumption scenario B'!I69,IF(parameters!$C$27="C",'consumption scenario C'!I69,'consumption scenario A'!I70))</f>
        <v>9.2300684908240842E-4</v>
      </c>
      <c r="J76" s="61">
        <f>IF(parameters!$C$27="B",'consumption scenario B'!J69,IF(parameters!$C$27="C",'consumption scenario C'!J69,'consumption scenario A'!J70))</f>
        <v>6.6516882400011385E-4</v>
      </c>
      <c r="K76" s="561">
        <f>IF(parameters!$C$27="B",'consumption scenario B'!K69,IF(parameters!$C$27="C",'consumption scenario C'!K69,'consumption scenario A'!K70))</f>
        <v>1.1378056921532269E-3</v>
      </c>
      <c r="L76" s="561">
        <f>IF(parameters!$C$27="B",'consumption scenario B'!L69,IF(parameters!$C$27="C",'consumption scenario C'!L69,'consumption scenario A'!L70))</f>
        <v>1.5073479589894747E-3</v>
      </c>
      <c r="M76" s="434">
        <f>IF(parameters!$C$27="B",'consumption scenario B'!M69,IF(parameters!$C$27="C",'consumption scenario C'!M69,'consumption scenario A'!M70))</f>
        <v>1.6943692538730867E-3</v>
      </c>
      <c r="N76" s="61">
        <f>IF(parameters!$C$27="B",'consumption scenario B'!N69,IF(parameters!$C$27="C",'consumption scenario C'!N69,'consumption scenario A'!N70))</f>
        <v>1.6181499147558953E-3</v>
      </c>
      <c r="O76" s="61">
        <f>IF(parameters!$C$27="B",'consumption scenario B'!O69,IF(parameters!$C$27="C",'consumption scenario C'!O69,'consumption scenario A'!O70))</f>
        <v>1.7728238744741387E-3</v>
      </c>
      <c r="P76" s="61">
        <f>IF(parameters!$C$27="B",'consumption scenario B'!P69,IF(parameters!$C$27="C",'consumption scenario C'!P69,'consumption scenario A'!P70))</f>
        <v>1.9274978341923821E-3</v>
      </c>
      <c r="Q76" s="61">
        <f>IF(parameters!$C$27="B",'consumption scenario B'!Q69,IF(parameters!$C$27="C",'consumption scenario C'!Q69,'consumption scenario A'!Q70))</f>
        <v>2.0821717939106255E-3</v>
      </c>
      <c r="R76" s="61">
        <f>IF(parameters!$C$27="B",'consumption scenario B'!R69,IF(parameters!$C$27="C",'consumption scenario C'!R69,'consumption scenario A'!R70))</f>
        <v>2.2368457536288688E-3</v>
      </c>
      <c r="S76" s="61">
        <f>IF(parameters!$C$27="B",'consumption scenario B'!S69,IF(parameters!$C$27="C",'consumption scenario C'!S69,'consumption scenario A'!S70))</f>
        <v>2.3915197133471122E-3</v>
      </c>
      <c r="T76" s="61">
        <f>IF(parameters!$C$27="B",'consumption scenario B'!T69,IF(parameters!$C$27="C",'consumption scenario C'!T69,'consumption scenario A'!T70))</f>
        <v>2.5461936730653556E-3</v>
      </c>
      <c r="U76" s="61">
        <f>IF(parameters!$C$27="B",'consumption scenario B'!U69,IF(parameters!$C$27="C",'consumption scenario C'!U69,'consumption scenario A'!U70))</f>
        <v>2.700867632783599E-3</v>
      </c>
      <c r="V76" s="61">
        <f>IF(parameters!$C$27="B",'consumption scenario B'!V69,IF(parameters!$C$27="C",'consumption scenario C'!V69,'consumption scenario A'!V70))</f>
        <v>2.8555415925018424E-3</v>
      </c>
      <c r="W76" s="61">
        <f>IF(parameters!$C$27="B",'consumption scenario B'!W69,IF(parameters!$C$27="C",'consumption scenario C'!W69,'consumption scenario A'!W70))</f>
        <v>3.0102155522200857E-3</v>
      </c>
      <c r="X76" s="61">
        <f>IF(parameters!$C$27="B",'consumption scenario B'!X69,IF(parameters!$C$27="C",'consumption scenario C'!X69,'consumption scenario A'!X70))</f>
        <v>3.0102155522200857E-3</v>
      </c>
      <c r="Y76" s="61">
        <f>IF(parameters!$C$27="B",'consumption scenario B'!Y69,IF(parameters!$C$27="C",'consumption scenario C'!Y69,'consumption scenario A'!Y70))</f>
        <v>3.0102155522200857E-3</v>
      </c>
      <c r="Z76" s="61">
        <f>IF(parameters!$C$27="B",'consumption scenario B'!Z69,IF(parameters!$C$27="C",'consumption scenario C'!Z69,'consumption scenario A'!Z70))</f>
        <v>3.0102155522200857E-3</v>
      </c>
      <c r="AA76" s="61">
        <f>IF(parameters!$C$27="B",'consumption scenario B'!AA69,IF(parameters!$C$27="C",'consumption scenario C'!AA69,'consumption scenario A'!AA70))</f>
        <v>3.0102155522200857E-3</v>
      </c>
      <c r="AB76" s="61">
        <f>IF(parameters!$C$27="B",'consumption scenario B'!AB69,IF(parameters!$C$27="C",'consumption scenario C'!AB69,'consumption scenario A'!AB70))</f>
        <v>3.0102155522200857E-3</v>
      </c>
      <c r="AC76" s="61">
        <f>IF(parameters!$C$27="B",'consumption scenario B'!AC69,IF(parameters!$C$27="C",'consumption scenario C'!AC69,'consumption scenario A'!AC70))</f>
        <v>3.0102155522200857E-3</v>
      </c>
      <c r="AD76" s="61">
        <f>IF(parameters!$C$27="B",'consumption scenario B'!AD69,IF(parameters!$C$27="C",'consumption scenario C'!AD69,'consumption scenario A'!AD70))</f>
        <v>3.0102155522200857E-3</v>
      </c>
      <c r="AE76" s="61">
        <f>IF(parameters!$C$27="B",'consumption scenario B'!AE69,IF(parameters!$C$27="C",'consumption scenario C'!AE69,'consumption scenario A'!AE70))</f>
        <v>3.0102155522200857E-3</v>
      </c>
      <c r="AF76" s="61">
        <f>IF(parameters!$C$27="B",'consumption scenario B'!AF69,IF(parameters!$C$27="C",'consumption scenario C'!AF69,'consumption scenario A'!AF70))</f>
        <v>3.0102155522200857E-3</v>
      </c>
      <c r="AG76" s="61">
        <f>IF(parameters!$C$27="B",'consumption scenario B'!AG69,IF(parameters!$C$27="C",'consumption scenario C'!AG69,'consumption scenario A'!AG70))</f>
        <v>3.0102155522200857E-3</v>
      </c>
      <c r="AH76" s="61">
        <f>IF(parameters!$C$27="B",'consumption scenario B'!AH69,IF(parameters!$C$27="C",'consumption scenario C'!AH69,'consumption scenario A'!AH70))</f>
        <v>3.0102155522200857E-3</v>
      </c>
      <c r="AI76" s="61">
        <f>IF(parameters!$C$27="B",'consumption scenario B'!AI69,IF(parameters!$C$27="C",'consumption scenario C'!AI69,'consumption scenario A'!AI70))</f>
        <v>3.0102155522200857E-3</v>
      </c>
      <c r="AJ76" s="61">
        <f>IF(parameters!$C$27="B",'consumption scenario B'!AJ69,IF(parameters!$C$27="C",'consumption scenario C'!AJ69,'consumption scenario A'!AJ70))</f>
        <v>3.0102155522200853E-3</v>
      </c>
      <c r="AK76" s="61">
        <f>IF(parameters!$C$27="B",'consumption scenario B'!AK69,IF(parameters!$C$27="C",'consumption scenario C'!AK69,'consumption scenario A'!AK70))</f>
        <v>3.0102155522200853E-3</v>
      </c>
      <c r="AL76" s="94"/>
    </row>
    <row r="77" spans="1:40">
      <c r="A77" s="91" t="s">
        <v>373</v>
      </c>
      <c r="B77" s="61">
        <f>IF(parameters!$C$27="B",'consumption scenario B'!B70,IF(parameters!$C$27="C",'consumption scenario C'!B70,'consumption scenario A'!B71))</f>
        <v>1.7988273821387636E-3</v>
      </c>
      <c r="C77" s="61">
        <f>IF(parameters!$C$27="B",'consumption scenario B'!C70,IF(parameters!$C$27="C",'consumption scenario C'!C70,'consumption scenario A'!C71))</f>
        <v>3.7971039237130817E-3</v>
      </c>
      <c r="D77" s="61">
        <f>IF(parameters!$C$27="B",'consumption scenario B'!D70,IF(parameters!$C$27="C",'consumption scenario C'!D70,'consumption scenario A'!D71))</f>
        <v>3.2678155152453532E-3</v>
      </c>
      <c r="E77" s="61">
        <f>IF(parameters!$C$27="B",'consumption scenario B'!E70,IF(parameters!$C$27="C",'consumption scenario C'!E70,'consumption scenario A'!E71))</f>
        <v>3.1014176230452087E-3</v>
      </c>
      <c r="F77" s="61">
        <f>IF(parameters!$C$27="B",'consumption scenario B'!F70,IF(parameters!$C$27="C",'consumption scenario C'!F70,'consumption scenario A'!F71))</f>
        <v>3.3325198104813079E-3</v>
      </c>
      <c r="G77" s="61">
        <f>IF(parameters!$C$27="B",'consumption scenario B'!G70,IF(parameters!$C$27="C",'consumption scenario C'!G70,'consumption scenario A'!G71))</f>
        <v>3.757657773227268E-3</v>
      </c>
      <c r="H77" s="61">
        <f>IF(parameters!$C$27="B",'consumption scenario B'!H70,IF(parameters!$C$27="C",'consumption scenario C'!H70,'consumption scenario A'!H71))</f>
        <v>3.6984032984225131E-3</v>
      </c>
      <c r="I77" s="61">
        <f>IF(parameters!$C$27="B",'consumption scenario B'!I70,IF(parameters!$C$27="C",'consumption scenario C'!I70,'consumption scenario A'!I71))</f>
        <v>3.343485915486194E-3</v>
      </c>
      <c r="J77" s="61">
        <f>IF(parameters!$C$27="B",'consumption scenario B'!J70,IF(parameters!$C$27="C",'consumption scenario C'!J70,'consumption scenario A'!J71))</f>
        <v>2.4301587792292067E-3</v>
      </c>
      <c r="K77" s="561">
        <f>IF(parameters!$C$27="B",'consumption scenario B'!K70,IF(parameters!$C$27="C",'consumption scenario C'!K70,'consumption scenario A'!K71))</f>
        <v>2.2222026885845405E-3</v>
      </c>
      <c r="L77" s="561">
        <f>IF(parameters!$C$27="B",'consumption scenario B'!L70,IF(parameters!$C$27="C",'consumption scenario C'!L70,'consumption scenario A'!L71))</f>
        <v>1.2535607064825711E-3</v>
      </c>
      <c r="M77" s="434">
        <f>IF(parameters!$C$27="B",'consumption scenario B'!M70,IF(parameters!$C$27="C",'consumption scenario C'!M70,'consumption scenario A'!M71))</f>
        <v>1.2658171108505154E-3</v>
      </c>
      <c r="N77" s="61">
        <f>IF(parameters!$C$27="B",'consumption scenario B'!N70,IF(parameters!$C$27="C",'consumption scenario C'!N70,'consumption scenario A'!N71))</f>
        <v>2.7842448602387157E-3</v>
      </c>
      <c r="O77" s="61">
        <f>IF(parameters!$C$27="B",'consumption scenario B'!O70,IF(parameters!$C$27="C",'consumption scenario C'!O70,'consumption scenario A'!O71))</f>
        <v>2.7842448602387157E-3</v>
      </c>
      <c r="P77" s="61">
        <f>IF(parameters!$C$27="B",'consumption scenario B'!P70,IF(parameters!$C$27="C",'consumption scenario C'!P70,'consumption scenario A'!P71))</f>
        <v>2.7842448602387157E-3</v>
      </c>
      <c r="Q77" s="61">
        <f>IF(parameters!$C$27="B",'consumption scenario B'!Q70,IF(parameters!$C$27="C",'consumption scenario C'!Q70,'consumption scenario A'!Q71))</f>
        <v>2.7842448602387157E-3</v>
      </c>
      <c r="R77" s="61">
        <f>IF(parameters!$C$27="B",'consumption scenario B'!R70,IF(parameters!$C$27="C",'consumption scenario C'!R70,'consumption scenario A'!R71))</f>
        <v>2.7842448602387157E-3</v>
      </c>
      <c r="S77" s="61">
        <f>IF(parameters!$C$27="B",'consumption scenario B'!S70,IF(parameters!$C$27="C",'consumption scenario C'!S70,'consumption scenario A'!S71))</f>
        <v>2.7842448602387157E-3</v>
      </c>
      <c r="T77" s="61">
        <f>IF(parameters!$C$27="B",'consumption scenario B'!T70,IF(parameters!$C$27="C",'consumption scenario C'!T70,'consumption scenario A'!T71))</f>
        <v>2.7842448602387157E-3</v>
      </c>
      <c r="U77" s="61">
        <f>IF(parameters!$C$27="B",'consumption scenario B'!U70,IF(parameters!$C$27="C",'consumption scenario C'!U70,'consumption scenario A'!U71))</f>
        <v>2.7842448602387157E-3</v>
      </c>
      <c r="V77" s="61">
        <f>IF(parameters!$C$27="B",'consumption scenario B'!V70,IF(parameters!$C$27="C",'consumption scenario C'!V70,'consumption scenario A'!V71))</f>
        <v>2.7842448602387157E-3</v>
      </c>
      <c r="W77" s="61">
        <f>IF(parameters!$C$27="B",'consumption scenario B'!W70,IF(parameters!$C$27="C",'consumption scenario C'!W70,'consumption scenario A'!W71))</f>
        <v>2.7842448602387157E-3</v>
      </c>
      <c r="X77" s="61">
        <f>IF(parameters!$C$27="B",'consumption scenario B'!X70,IF(parameters!$C$27="C",'consumption scenario C'!X70,'consumption scenario A'!X71))</f>
        <v>2.7842448602387157E-3</v>
      </c>
      <c r="Y77" s="61">
        <f>IF(parameters!$C$27="B",'consumption scenario B'!Y70,IF(parameters!$C$27="C",'consumption scenario C'!Y70,'consumption scenario A'!Y71))</f>
        <v>2.7842448602387157E-3</v>
      </c>
      <c r="Z77" s="61">
        <f>IF(parameters!$C$27="B",'consumption scenario B'!Z70,IF(parameters!$C$27="C",'consumption scenario C'!Z70,'consumption scenario A'!Z71))</f>
        <v>2.7842448602387157E-3</v>
      </c>
      <c r="AA77" s="61">
        <f>IF(parameters!$C$27="B",'consumption scenario B'!AA70,IF(parameters!$C$27="C",'consumption scenario C'!AA70,'consumption scenario A'!AA71))</f>
        <v>2.7842448602387157E-3</v>
      </c>
      <c r="AB77" s="61">
        <f>IF(parameters!$C$27="B",'consumption scenario B'!AB70,IF(parameters!$C$27="C",'consumption scenario C'!AB70,'consumption scenario A'!AB71))</f>
        <v>2.7842448602387157E-3</v>
      </c>
      <c r="AC77" s="61">
        <f>IF(parameters!$C$27="B",'consumption scenario B'!AC70,IF(parameters!$C$27="C",'consumption scenario C'!AC70,'consumption scenario A'!AC71))</f>
        <v>2.7842448602387157E-3</v>
      </c>
      <c r="AD77" s="61">
        <f>IF(parameters!$C$27="B",'consumption scenario B'!AD70,IF(parameters!$C$27="C",'consumption scenario C'!AD70,'consumption scenario A'!AD71))</f>
        <v>2.7842448602387157E-3</v>
      </c>
      <c r="AE77" s="61">
        <f>IF(parameters!$C$27="B",'consumption scenario B'!AE70,IF(parameters!$C$27="C",'consumption scenario C'!AE70,'consumption scenario A'!AE71))</f>
        <v>2.7842448602387157E-3</v>
      </c>
      <c r="AF77" s="61">
        <f>IF(parameters!$C$27="B",'consumption scenario B'!AF70,IF(parameters!$C$27="C",'consumption scenario C'!AF70,'consumption scenario A'!AF71))</f>
        <v>2.7842448602387157E-3</v>
      </c>
      <c r="AG77" s="61">
        <f>IF(parameters!$C$27="B",'consumption scenario B'!AG70,IF(parameters!$C$27="C",'consumption scenario C'!AG70,'consumption scenario A'!AG71))</f>
        <v>2.7842448602387157E-3</v>
      </c>
      <c r="AH77" s="61">
        <f>IF(parameters!$C$27="B",'consumption scenario B'!AH70,IF(parameters!$C$27="C",'consumption scenario C'!AH70,'consumption scenario A'!AH71))</f>
        <v>2.7842448602387157E-3</v>
      </c>
      <c r="AI77" s="61">
        <f>IF(parameters!$C$27="B",'consumption scenario B'!AI70,IF(parameters!$C$27="C",'consumption scenario C'!AI70,'consumption scenario A'!AI71))</f>
        <v>2.7842448602387157E-3</v>
      </c>
      <c r="AJ77" s="61">
        <f>IF(parameters!$C$27="B",'consumption scenario B'!AJ70,IF(parameters!$C$27="C",'consumption scenario C'!AJ70,'consumption scenario A'!AJ71))</f>
        <v>2.7842448602387157E-3</v>
      </c>
      <c r="AK77" s="61">
        <f>IF(parameters!$C$27="B",'consumption scenario B'!AK70,IF(parameters!$C$27="C",'consumption scenario C'!AK70,'consumption scenario A'!AK71))</f>
        <v>2.7842448602387157E-3</v>
      </c>
      <c r="AL77" s="94"/>
    </row>
    <row r="78" spans="1:40">
      <c r="A78" s="91" t="s">
        <v>375</v>
      </c>
      <c r="B78" s="61">
        <f>IF(parameters!$C$27="B",'consumption scenario B'!B71,IF(parameters!$C$27="C",'consumption scenario C'!B71,'consumption scenario A'!B72))</f>
        <v>3.7126472073078284E-4</v>
      </c>
      <c r="C78" s="61">
        <f>IF(parameters!$C$27="B",'consumption scenario B'!C71,IF(parameters!$C$27="C",'consumption scenario C'!C71,'consumption scenario A'!C72))</f>
        <v>1.2425532829452244E-4</v>
      </c>
      <c r="D78" s="61">
        <f>IF(parameters!$C$27="B",'consumption scenario B'!D71,IF(parameters!$C$27="C",'consumption scenario C'!D71,'consumption scenario A'!D72))</f>
        <v>1.4636471939059393E-4</v>
      </c>
      <c r="E78" s="61">
        <f>IF(parameters!$C$27="B",'consumption scenario B'!E71,IF(parameters!$C$27="C",'consumption scenario C'!E71,'consumption scenario A'!E72))</f>
        <v>2.173656326206033E-4</v>
      </c>
      <c r="F78" s="61">
        <f>IF(parameters!$C$27="B",'consumption scenario B'!F71,IF(parameters!$C$27="C",'consumption scenario C'!F71,'consumption scenario A'!F72))</f>
        <v>3.2235988416141805E-4</v>
      </c>
      <c r="G78" s="61">
        <f>IF(parameters!$C$27="B",'consumption scenario B'!G71,IF(parameters!$C$27="C",'consumption scenario C'!G71,'consumption scenario A'!G72))</f>
        <v>3.219222937879827E-4</v>
      </c>
      <c r="H78" s="61">
        <f>IF(parameters!$C$27="B",'consumption scenario B'!H71,IF(parameters!$C$27="C",'consumption scenario C'!H71,'consumption scenario A'!H72))</f>
        <v>2.9972500167656517E-4</v>
      </c>
      <c r="I78" s="61">
        <f>IF(parameters!$C$27="B",'consumption scenario B'!I71,IF(parameters!$C$27="C",'consumption scenario C'!I71,'consumption scenario A'!I72))</f>
        <v>4.0152243004053923E-4</v>
      </c>
      <c r="J78" s="61">
        <f>IF(parameters!$C$27="B",'consumption scenario B'!J71,IF(parameters!$C$27="C",'consumption scenario C'!J71,'consumption scenario A'!J72))</f>
        <v>4.3286730997310711E-4</v>
      </c>
      <c r="K78" s="561">
        <f>IF(parameters!$C$27="B",'consumption scenario B'!K71,IF(parameters!$C$27="C",'consumption scenario C'!K71,'consumption scenario A'!K72))</f>
        <v>6.5332497557503129E-4</v>
      </c>
      <c r="L78" s="561">
        <f>IF(parameters!$C$27="B",'consumption scenario B'!L71,IF(parameters!$C$27="C",'consumption scenario C'!L71,'consumption scenario A'!L72))</f>
        <v>5.6699344327640919E-4</v>
      </c>
      <c r="M78" s="434">
        <f>IF(parameters!$C$27="B",'consumption scenario B'!M71,IF(parameters!$C$27="C",'consumption scenario C'!M71,'consumption scenario A'!M72))</f>
        <v>5.4995504879317369E-4</v>
      </c>
      <c r="N78" s="61">
        <f>IF(parameters!$C$27="B",'consumption scenario B'!N71,IF(parameters!$C$27="C",'consumption scenario C'!N71,'consumption scenario A'!N72))</f>
        <v>6.6354559303624661E-4</v>
      </c>
      <c r="O78" s="61">
        <f>IF(parameters!$C$27="B",'consumption scenario B'!O71,IF(parameters!$C$27="C",'consumption scenario C'!O71,'consumption scenario A'!O72))</f>
        <v>7.1305568741927838E-4</v>
      </c>
      <c r="P78" s="61">
        <f>IF(parameters!$C$27="B",'consumption scenario B'!P71,IF(parameters!$C$27="C",'consumption scenario C'!P71,'consumption scenario A'!P72))</f>
        <v>7.6256578180232404E-4</v>
      </c>
      <c r="Q78" s="61">
        <f>IF(parameters!$C$27="B",'consumption scenario B'!Q71,IF(parameters!$C$27="C",'consumption scenario C'!Q71,'consumption scenario A'!Q72))</f>
        <v>8.1207587618535582E-4</v>
      </c>
      <c r="R78" s="61">
        <f>IF(parameters!$C$27="B",'consumption scenario B'!R71,IF(parameters!$C$27="C",'consumption scenario C'!R71,'consumption scenario A'!R72))</f>
        <v>8.6158597056840147E-4</v>
      </c>
      <c r="S78" s="61">
        <f>IF(parameters!$C$27="B",'consumption scenario B'!S71,IF(parameters!$C$27="C",'consumption scenario C'!S71,'consumption scenario A'!S72))</f>
        <v>9.1109606495143325E-4</v>
      </c>
      <c r="T78" s="61">
        <f>IF(parameters!$C$27="B",'consumption scenario B'!T71,IF(parameters!$C$27="C",'consumption scenario C'!T71,'consumption scenario A'!T72))</f>
        <v>9.606061593344789E-4</v>
      </c>
      <c r="U78" s="61">
        <f>IF(parameters!$C$27="B",'consumption scenario B'!U71,IF(parameters!$C$27="C",'consumption scenario C'!U71,'consumption scenario A'!U72))</f>
        <v>1.0101162537175107E-3</v>
      </c>
      <c r="V78" s="61">
        <f>IF(parameters!$C$27="B",'consumption scenario B'!V71,IF(parameters!$C$27="C",'consumption scenario C'!V71,'consumption scenario A'!V72))</f>
        <v>1.0596263481005563E-3</v>
      </c>
      <c r="W78" s="61">
        <f>IF(parameters!$C$27="B",'consumption scenario B'!W71,IF(parameters!$C$27="C",'consumption scenario C'!W71,'consumption scenario A'!W72))</f>
        <v>1.1091364424835881E-3</v>
      </c>
      <c r="X78" s="61">
        <f>IF(parameters!$C$27="B",'consumption scenario B'!X71,IF(parameters!$C$27="C",'consumption scenario C'!X71,'consumption scenario A'!X72))</f>
        <v>1.1091364424835881E-3</v>
      </c>
      <c r="Y78" s="61">
        <f>IF(parameters!$C$27="B",'consumption scenario B'!Y71,IF(parameters!$C$27="C",'consumption scenario C'!Y71,'consumption scenario A'!Y72))</f>
        <v>1.1091364424835881E-3</v>
      </c>
      <c r="Z78" s="61">
        <f>IF(parameters!$C$27="B",'consumption scenario B'!Z71,IF(parameters!$C$27="C",'consumption scenario C'!Z71,'consumption scenario A'!Z72))</f>
        <v>1.1091364424835881E-3</v>
      </c>
      <c r="AA78" s="61">
        <f>IF(parameters!$C$27="B",'consumption scenario B'!AA71,IF(parameters!$C$27="C",'consumption scenario C'!AA71,'consumption scenario A'!AA72))</f>
        <v>1.1091364424835881E-3</v>
      </c>
      <c r="AB78" s="61">
        <f>IF(parameters!$C$27="B",'consumption scenario B'!AB71,IF(parameters!$C$27="C",'consumption scenario C'!AB71,'consumption scenario A'!AB72))</f>
        <v>1.1091364424835881E-3</v>
      </c>
      <c r="AC78" s="61">
        <f>IF(parameters!$C$27="B",'consumption scenario B'!AC71,IF(parameters!$C$27="C",'consumption scenario C'!AC71,'consumption scenario A'!AC72))</f>
        <v>1.1091364424835881E-3</v>
      </c>
      <c r="AD78" s="61">
        <f>IF(parameters!$C$27="B",'consumption scenario B'!AD71,IF(parameters!$C$27="C",'consumption scenario C'!AD71,'consumption scenario A'!AD72))</f>
        <v>1.1091364424835881E-3</v>
      </c>
      <c r="AE78" s="61">
        <f>IF(parameters!$C$27="B",'consumption scenario B'!AE71,IF(parameters!$C$27="C",'consumption scenario C'!AE71,'consumption scenario A'!AE72))</f>
        <v>1.1091364424835881E-3</v>
      </c>
      <c r="AF78" s="61">
        <f>IF(parameters!$C$27="B",'consumption scenario B'!AF71,IF(parameters!$C$27="C",'consumption scenario C'!AF71,'consumption scenario A'!AF72))</f>
        <v>1.1091364424835881E-3</v>
      </c>
      <c r="AG78" s="61">
        <f>IF(parameters!$C$27="B",'consumption scenario B'!AG71,IF(parameters!$C$27="C",'consumption scenario C'!AG71,'consumption scenario A'!AG72))</f>
        <v>1.1091364424835881E-3</v>
      </c>
      <c r="AH78" s="61">
        <f>IF(parameters!$C$27="B",'consumption scenario B'!AH71,IF(parameters!$C$27="C",'consumption scenario C'!AH71,'consumption scenario A'!AH72))</f>
        <v>1.1091364424835881E-3</v>
      </c>
      <c r="AI78" s="61">
        <f>IF(parameters!$C$27="B",'consumption scenario B'!AI71,IF(parameters!$C$27="C",'consumption scenario C'!AI71,'consumption scenario A'!AI72))</f>
        <v>1.1091364424835881E-3</v>
      </c>
      <c r="AJ78" s="61">
        <f>IF(parameters!$C$27="B",'consumption scenario B'!AJ71,IF(parameters!$C$27="C",'consumption scenario C'!AJ71,'consumption scenario A'!AJ72))</f>
        <v>1.1091364424835881E-3</v>
      </c>
      <c r="AK78" s="61">
        <f>IF(parameters!$C$27="B",'consumption scenario B'!AK71,IF(parameters!$C$27="C",'consumption scenario C'!AK71,'consumption scenario A'!AK72))</f>
        <v>1.1091364424835881E-3</v>
      </c>
      <c r="AL78" s="94"/>
      <c r="AM78"/>
      <c r="AN78"/>
    </row>
    <row r="79" spans="1:40">
      <c r="K79" s="2"/>
      <c r="L79" s="741">
        <f>SUM(L66:L78)</f>
        <v>1</v>
      </c>
      <c r="M79" s="18"/>
      <c r="Q79" s="741">
        <f>SUM(Q66:Q78)</f>
        <v>1</v>
      </c>
      <c r="R79" s="2"/>
      <c r="V79" s="741">
        <f>SUM(V66:V78)</f>
        <v>1.0000000000000002</v>
      </c>
      <c r="AA79" s="741">
        <f>SUM(AA66:AA78)</f>
        <v>1.0000000000000004</v>
      </c>
      <c r="AF79" s="741">
        <f>SUM(AF66:AF78)</f>
        <v>1.0000000000000004</v>
      </c>
      <c r="AK79" s="741">
        <f>SUM(AK66:AK78)</f>
        <v>1.0000000000000004</v>
      </c>
      <c r="AM79"/>
      <c r="AN79"/>
    </row>
    <row r="80" spans="1:40">
      <c r="A80" s="134" t="s">
        <v>526</v>
      </c>
      <c r="B80" s="57">
        <f>B6</f>
        <v>2005</v>
      </c>
      <c r="C80" s="366">
        <f t="shared" ref="C80:I80" si="7">C6</f>
        <v>2006</v>
      </c>
      <c r="D80" s="366">
        <f t="shared" si="7"/>
        <v>2007</v>
      </c>
      <c r="E80" s="366">
        <f t="shared" si="7"/>
        <v>2008</v>
      </c>
      <c r="F80" s="366">
        <f t="shared" si="7"/>
        <v>2009</v>
      </c>
      <c r="G80" s="366">
        <f t="shared" si="7"/>
        <v>2010</v>
      </c>
      <c r="H80" s="366">
        <f t="shared" si="7"/>
        <v>2011</v>
      </c>
      <c r="I80" s="366">
        <f t="shared" si="7"/>
        <v>2012</v>
      </c>
      <c r="J80" s="381">
        <v>2013</v>
      </c>
      <c r="K80" s="562">
        <v>2014</v>
      </c>
      <c r="L80" s="133">
        <v>2015</v>
      </c>
      <c r="M80" s="566">
        <v>2016</v>
      </c>
      <c r="N80" s="380">
        <v>2017</v>
      </c>
      <c r="O80" s="380">
        <v>2018</v>
      </c>
      <c r="P80" s="380">
        <v>2019</v>
      </c>
      <c r="Q80" s="380">
        <v>2020</v>
      </c>
      <c r="R80" s="380">
        <v>2021</v>
      </c>
      <c r="S80" s="380">
        <v>2022</v>
      </c>
      <c r="T80" s="380">
        <v>2023</v>
      </c>
      <c r="U80" s="380">
        <v>2024</v>
      </c>
      <c r="V80" s="380">
        <v>2025</v>
      </c>
      <c r="W80" s="380">
        <v>2026</v>
      </c>
      <c r="X80" s="380">
        <v>2027</v>
      </c>
      <c r="Y80" s="380">
        <v>2028</v>
      </c>
      <c r="Z80" s="380">
        <v>2029</v>
      </c>
      <c r="AA80" s="380">
        <v>2030</v>
      </c>
      <c r="AB80" s="380">
        <v>2031</v>
      </c>
      <c r="AC80" s="380">
        <v>2032</v>
      </c>
      <c r="AD80" s="380">
        <v>2033</v>
      </c>
      <c r="AE80" s="380">
        <v>2034</v>
      </c>
      <c r="AF80" s="380">
        <v>2035</v>
      </c>
      <c r="AG80" s="380">
        <v>2036</v>
      </c>
      <c r="AH80" s="380">
        <v>2037</v>
      </c>
      <c r="AI80" s="380">
        <v>2038</v>
      </c>
      <c r="AJ80" s="380">
        <v>2039</v>
      </c>
      <c r="AK80" s="380">
        <v>2040</v>
      </c>
      <c r="AL80"/>
      <c r="AM80"/>
      <c r="AN80"/>
    </row>
    <row r="81" spans="1:65">
      <c r="A81" s="77" t="s">
        <v>2</v>
      </c>
      <c r="B81" s="383">
        <v>10373</v>
      </c>
      <c r="C81" s="383">
        <v>10351</v>
      </c>
      <c r="D81" s="383">
        <v>10375</v>
      </c>
      <c r="E81" s="383">
        <v>10378</v>
      </c>
      <c r="F81" s="383">
        <v>10414</v>
      </c>
      <c r="G81" s="383">
        <v>10415</v>
      </c>
      <c r="H81" s="384">
        <v>10444</v>
      </c>
      <c r="I81" s="385">
        <v>10498</v>
      </c>
      <c r="J81" s="386">
        <v>10459</v>
      </c>
      <c r="K81" s="563">
        <v>10428</v>
      </c>
      <c r="L81" s="747">
        <f>TREND(F81:K81,F$80:K$80,L$80:AK$80)</f>
        <v>10468.6</v>
      </c>
      <c r="M81" s="567">
        <f t="shared" ref="M81:AK84" si="8">TREND(G81:L81,G$80:L$80,M$80:AL$80)</f>
        <v>10470.200000000001</v>
      </c>
      <c r="N81" s="382">
        <f t="shared" si="8"/>
        <v>10462.480000000001</v>
      </c>
      <c r="O81" s="382">
        <f t="shared" si="8"/>
        <v>10454.040000000001</v>
      </c>
      <c r="P81" s="382">
        <f t="shared" si="8"/>
        <v>10465.077333333336</v>
      </c>
      <c r="Q81" s="382">
        <f t="shared" si="8"/>
        <v>10471.46488888889</v>
      </c>
      <c r="R81" s="382">
        <f t="shared" si="8"/>
        <v>10464.362014814818</v>
      </c>
      <c r="S81" s="382">
        <f t="shared" si="8"/>
        <v>10465.484246913582</v>
      </c>
      <c r="T81" s="382">
        <f t="shared" si="8"/>
        <v>10469.05556411523</v>
      </c>
      <c r="U81" s="382">
        <f t="shared" si="8"/>
        <v>10471.833576735258</v>
      </c>
      <c r="V81" s="382">
        <f t="shared" si="8"/>
        <v>10470.64715161226</v>
      </c>
      <c r="W81" s="382">
        <f t="shared" si="8"/>
        <v>10470.997638837991</v>
      </c>
      <c r="X81" s="382">
        <f t="shared" si="8"/>
        <v>10473.874516854718</v>
      </c>
      <c r="Y81" s="382">
        <f t="shared" si="8"/>
        <v>10474.974564053269</v>
      </c>
      <c r="Z81" s="382">
        <f t="shared" si="8"/>
        <v>10475.503999428885</v>
      </c>
      <c r="AA81" s="382">
        <f t="shared" si="8"/>
        <v>10476.393030801188</v>
      </c>
      <c r="AB81" s="382">
        <f t="shared" si="8"/>
        <v>10478.066669422973</v>
      </c>
      <c r="AC81" s="382">
        <f t="shared" si="8"/>
        <v>10479.311416247165</v>
      </c>
      <c r="AD81" s="382">
        <f t="shared" si="8"/>
        <v>10480.089017245733</v>
      </c>
      <c r="AE81" s="382">
        <f t="shared" si="8"/>
        <v>10481.256598370428</v>
      </c>
      <c r="AF81" s="382">
        <f t="shared" si="8"/>
        <v>10482.546358672615</v>
      </c>
      <c r="AG81" s="382">
        <f t="shared" si="8"/>
        <v>10483.721917846487</v>
      </c>
      <c r="AH81" s="382">
        <f t="shared" si="8"/>
        <v>10484.746861352762</v>
      </c>
      <c r="AI81" s="382">
        <f t="shared" si="8"/>
        <v>10485.881930385774</v>
      </c>
      <c r="AJ81" s="382">
        <f t="shared" si="8"/>
        <v>10487.101538694407</v>
      </c>
      <c r="AK81" s="382">
        <f t="shared" si="8"/>
        <v>10488.234836913643</v>
      </c>
      <c r="AL81" t="s">
        <v>414</v>
      </c>
      <c r="AM81"/>
      <c r="AN81"/>
      <c r="AO81"/>
      <c r="AP81"/>
      <c r="AQ81"/>
      <c r="AR81"/>
    </row>
    <row r="82" spans="1:65">
      <c r="A82" s="77" t="s">
        <v>1</v>
      </c>
      <c r="B82" s="383">
        <v>8551</v>
      </c>
      <c r="C82" s="383">
        <v>8471</v>
      </c>
      <c r="D82" s="383">
        <v>8403</v>
      </c>
      <c r="E82" s="383">
        <v>8305</v>
      </c>
      <c r="F82" s="383">
        <v>8159</v>
      </c>
      <c r="G82" s="383">
        <v>8185</v>
      </c>
      <c r="H82" s="384">
        <v>8152</v>
      </c>
      <c r="I82" s="385">
        <v>8039</v>
      </c>
      <c r="J82" s="386">
        <v>7948</v>
      </c>
      <c r="K82" s="563">
        <v>7907</v>
      </c>
      <c r="L82" s="747">
        <f>K82*0.998</f>
        <v>7891.1859999999997</v>
      </c>
      <c r="M82" s="567">
        <f t="shared" ref="M82:AK82" si="9">L82*0.998</f>
        <v>7875.403628</v>
      </c>
      <c r="N82" s="382">
        <f t="shared" si="9"/>
        <v>7859.6528207439997</v>
      </c>
      <c r="O82" s="382">
        <f t="shared" si="9"/>
        <v>7843.9335151025116</v>
      </c>
      <c r="P82" s="382">
        <f t="shared" si="9"/>
        <v>7828.2456480723067</v>
      </c>
      <c r="Q82" s="382">
        <f t="shared" si="9"/>
        <v>7812.5891567761619</v>
      </c>
      <c r="R82" s="382">
        <f t="shared" si="9"/>
        <v>7796.9639784626097</v>
      </c>
      <c r="S82" s="382">
        <f t="shared" si="9"/>
        <v>7781.370050505684</v>
      </c>
      <c r="T82" s="382">
        <f t="shared" si="9"/>
        <v>7765.8073104046725</v>
      </c>
      <c r="U82" s="382">
        <f t="shared" si="9"/>
        <v>7750.2756957838628</v>
      </c>
      <c r="V82" s="382">
        <f t="shared" si="9"/>
        <v>7734.7751443922953</v>
      </c>
      <c r="W82" s="382">
        <f t="shared" si="9"/>
        <v>7719.3055941035109</v>
      </c>
      <c r="X82" s="382">
        <f t="shared" si="9"/>
        <v>7703.8669829153041</v>
      </c>
      <c r="Y82" s="382">
        <f t="shared" si="9"/>
        <v>7688.4592489494735</v>
      </c>
      <c r="Z82" s="382">
        <f t="shared" si="9"/>
        <v>7673.0823304515743</v>
      </c>
      <c r="AA82" s="382">
        <f t="shared" si="9"/>
        <v>7657.7361657906713</v>
      </c>
      <c r="AB82" s="382">
        <f t="shared" si="9"/>
        <v>7642.4206934590902</v>
      </c>
      <c r="AC82" s="382">
        <f t="shared" si="9"/>
        <v>7627.1358520721724</v>
      </c>
      <c r="AD82" s="382">
        <f t="shared" si="9"/>
        <v>7611.8815803680282</v>
      </c>
      <c r="AE82" s="382">
        <f t="shared" si="9"/>
        <v>7596.6578172072923</v>
      </c>
      <c r="AF82" s="382">
        <f t="shared" si="9"/>
        <v>7581.4645015728775</v>
      </c>
      <c r="AG82" s="382">
        <f t="shared" si="9"/>
        <v>7566.3015725697314</v>
      </c>
      <c r="AH82" s="382">
        <f t="shared" si="9"/>
        <v>7551.1689694245915</v>
      </c>
      <c r="AI82" s="382">
        <f t="shared" si="9"/>
        <v>7536.0666314857426</v>
      </c>
      <c r="AJ82" s="382">
        <f t="shared" si="9"/>
        <v>7520.9944982227707</v>
      </c>
      <c r="AK82" s="382">
        <f t="shared" si="9"/>
        <v>7505.9525092263248</v>
      </c>
      <c r="AL82" t="s">
        <v>1164</v>
      </c>
      <c r="AM82" s="289"/>
      <c r="AN82"/>
      <c r="AQ82" s="151"/>
    </row>
    <row r="83" spans="1:65">
      <c r="A83" s="77" t="s">
        <v>253</v>
      </c>
      <c r="B83" s="383">
        <v>10631</v>
      </c>
      <c r="C83" s="383">
        <v>10809</v>
      </c>
      <c r="D83" s="383">
        <v>10794</v>
      </c>
      <c r="E83" s="383">
        <v>11015</v>
      </c>
      <c r="F83" s="383">
        <v>10923</v>
      </c>
      <c r="G83" s="383">
        <v>10984</v>
      </c>
      <c r="H83" s="384">
        <v>10829</v>
      </c>
      <c r="I83" s="385">
        <v>10991</v>
      </c>
      <c r="J83" s="386">
        <v>10713</v>
      </c>
      <c r="K83" s="563">
        <v>10814</v>
      </c>
      <c r="L83" s="747">
        <f>TREND(F83:K83,F$80:K$80,L$80:AK$80)</f>
        <v>10756.06666666668</v>
      </c>
      <c r="M83" s="567">
        <f t="shared" si="8"/>
        <v>10701.577777777784</v>
      </c>
      <c r="N83" s="382">
        <f t="shared" si="8"/>
        <v>10676.682962962994</v>
      </c>
      <c r="O83" s="382">
        <f t="shared" si="8"/>
        <v>10609.009382716074</v>
      </c>
      <c r="P83" s="382">
        <f t="shared" si="8"/>
        <v>10613.083489711971</v>
      </c>
      <c r="Q83" s="382">
        <f t="shared" si="8"/>
        <v>10548.005124828574</v>
      </c>
      <c r="R83" s="382">
        <f t="shared" si="8"/>
        <v>10513.391152080527</v>
      </c>
      <c r="S83" s="382">
        <f t="shared" si="8"/>
        <v>10478.002394756957</v>
      </c>
      <c r="T83" s="382">
        <f t="shared" si="8"/>
        <v>10438.495494727496</v>
      </c>
      <c r="U83" s="382">
        <f t="shared" si="8"/>
        <v>10404.088503381325</v>
      </c>
      <c r="V83" s="382">
        <f t="shared" si="8"/>
        <v>10358.288435319817</v>
      </c>
      <c r="W83" s="382">
        <f t="shared" si="8"/>
        <v>10325.112021482026</v>
      </c>
      <c r="X83" s="382">
        <f t="shared" si="8"/>
        <v>10286.068548026335</v>
      </c>
      <c r="Y83" s="382">
        <f t="shared" si="8"/>
        <v>10247.113927470564</v>
      </c>
      <c r="Z83" s="382">
        <f t="shared" si="8"/>
        <v>10208.78007678251</v>
      </c>
      <c r="AA83" s="382">
        <f t="shared" si="8"/>
        <v>10169.997672410682</v>
      </c>
      <c r="AB83" s="382">
        <f t="shared" si="8"/>
        <v>10132.95301999533</v>
      </c>
      <c r="AC83" s="382">
        <f t="shared" si="8"/>
        <v>10093.603395864397</v>
      </c>
      <c r="AD83" s="382">
        <f t="shared" si="8"/>
        <v>10055.393684664246</v>
      </c>
      <c r="AE83" s="382">
        <f t="shared" si="8"/>
        <v>10017.189371944492</v>
      </c>
      <c r="AF83" s="382">
        <f t="shared" si="8"/>
        <v>9978.8746924542356</v>
      </c>
      <c r="AG83" s="382">
        <f t="shared" si="8"/>
        <v>9940.5570840420696</v>
      </c>
      <c r="AH83" s="382">
        <f t="shared" si="8"/>
        <v>9901.9915312224766</v>
      </c>
      <c r="AI83" s="382">
        <f t="shared" si="8"/>
        <v>9863.8465795753582</v>
      </c>
      <c r="AJ83" s="382">
        <f t="shared" si="8"/>
        <v>9825.4774917148752</v>
      </c>
      <c r="AK83" s="382">
        <f t="shared" si="8"/>
        <v>9787.1018625651486</v>
      </c>
      <c r="AL83" t="s">
        <v>414</v>
      </c>
      <c r="AM83"/>
      <c r="AN83"/>
      <c r="AQ83" s="151"/>
    </row>
    <row r="84" spans="1:65">
      <c r="A84" s="77" t="s">
        <v>250</v>
      </c>
      <c r="B84" s="383">
        <v>10436</v>
      </c>
      <c r="C84" s="383">
        <v>10435</v>
      </c>
      <c r="D84" s="383">
        <v>10489</v>
      </c>
      <c r="E84" s="383">
        <v>10452</v>
      </c>
      <c r="F84" s="383">
        <v>10459</v>
      </c>
      <c r="G84" s="383">
        <v>10452</v>
      </c>
      <c r="H84" s="384">
        <v>10464</v>
      </c>
      <c r="I84" s="385">
        <v>10479</v>
      </c>
      <c r="J84" s="386">
        <v>10449</v>
      </c>
      <c r="K84" s="563">
        <v>10459</v>
      </c>
      <c r="L84" s="747">
        <f>TREND(F84:K84,F$80:K$80,L$80:AK$80)</f>
        <v>10460.933333333334</v>
      </c>
      <c r="M84" s="567">
        <f t="shared" si="8"/>
        <v>10460.622222222222</v>
      </c>
      <c r="N84" s="382">
        <f t="shared" si="8"/>
        <v>10455.983703703705</v>
      </c>
      <c r="O84" s="382">
        <f t="shared" si="8"/>
        <v>10452.92839506173</v>
      </c>
      <c r="P84" s="382">
        <f t="shared" si="8"/>
        <v>10457.43947325103</v>
      </c>
      <c r="Q84" s="382">
        <f t="shared" si="8"/>
        <v>10454.17225788752</v>
      </c>
      <c r="R84" s="382">
        <f t="shared" si="8"/>
        <v>10452.372337631461</v>
      </c>
      <c r="S84" s="382">
        <f t="shared" si="8"/>
        <v>10451.369130071638</v>
      </c>
      <c r="T84" s="382">
        <f t="shared" si="8"/>
        <v>10451.243390686381</v>
      </c>
      <c r="U84" s="382">
        <f t="shared" si="8"/>
        <v>10450.410566931194</v>
      </c>
      <c r="V84" s="382">
        <f t="shared" si="8"/>
        <v>10448.341092000295</v>
      </c>
      <c r="W84" s="382">
        <f t="shared" si="8"/>
        <v>10447.801441109195</v>
      </c>
      <c r="X84" s="382">
        <f t="shared" si="8"/>
        <v>10446.979184346972</v>
      </c>
      <c r="Y84" s="382">
        <f t="shared" si="8"/>
        <v>10445.922962295703</v>
      </c>
      <c r="Z84" s="382">
        <f t="shared" si="8"/>
        <v>10444.706178835242</v>
      </c>
      <c r="AA84" s="382">
        <f t="shared" si="8"/>
        <v>10443.700378950858</v>
      </c>
      <c r="AB84" s="382">
        <f t="shared" si="8"/>
        <v>10442.887315511012</v>
      </c>
      <c r="AC84" s="382">
        <f t="shared" si="8"/>
        <v>10441.770527410858</v>
      </c>
      <c r="AD84" s="382">
        <f t="shared" si="8"/>
        <v>10440.712155399873</v>
      </c>
      <c r="AE84" s="382">
        <f t="shared" si="8"/>
        <v>10439.715847848043</v>
      </c>
      <c r="AF84" s="382">
        <f t="shared" si="8"/>
        <v>10438.745422623737</v>
      </c>
      <c r="AG84" s="382">
        <f t="shared" si="8"/>
        <v>10437.720518960514</v>
      </c>
      <c r="AH84" s="382">
        <f t="shared" si="8"/>
        <v>10436.668070825772</v>
      </c>
      <c r="AI84" s="382">
        <f t="shared" si="8"/>
        <v>10435.676328764686</v>
      </c>
      <c r="AJ84" s="382">
        <f t="shared" si="8"/>
        <v>10434.671653946509</v>
      </c>
      <c r="AK84" s="382">
        <f t="shared" si="8"/>
        <v>10433.651570572922</v>
      </c>
      <c r="AL84" t="s">
        <v>414</v>
      </c>
      <c r="AM84"/>
      <c r="AN84"/>
      <c r="AQ84" s="151"/>
    </row>
    <row r="85" spans="1:65">
      <c r="B85" s="115"/>
      <c r="K85" s="2"/>
      <c r="L85" s="2"/>
      <c r="M85" s="18"/>
      <c r="AM85"/>
      <c r="AN85"/>
    </row>
    <row r="86" spans="1:65">
      <c r="A86" s="57" t="s">
        <v>432</v>
      </c>
      <c r="K86" s="2"/>
      <c r="L86" s="2"/>
      <c r="M86" s="18"/>
      <c r="AL86"/>
      <c r="AM86"/>
      <c r="AN86"/>
      <c r="AO86"/>
      <c r="AP86"/>
      <c r="AQ86"/>
      <c r="AR86"/>
      <c r="AS86"/>
      <c r="AT86"/>
      <c r="AU86"/>
      <c r="AV86"/>
      <c r="AW86"/>
      <c r="AX86"/>
      <c r="AY86"/>
      <c r="AZ86"/>
      <c r="BA86"/>
      <c r="BB86"/>
      <c r="BC86"/>
      <c r="BD86"/>
      <c r="BE86"/>
      <c r="BF86"/>
      <c r="BG86"/>
      <c r="BH86"/>
      <c r="BI86"/>
      <c r="BJ86"/>
      <c r="BK86"/>
      <c r="BL86"/>
      <c r="BM86"/>
    </row>
    <row r="87" spans="1:65">
      <c r="A87" s="91" t="s">
        <v>372</v>
      </c>
      <c r="B87" s="115">
        <f>B$63*B66*B81*BtuTOkWh</f>
        <v>0.15323674843577739</v>
      </c>
      <c r="C87" s="115">
        <f t="shared" ref="C87:AK87" si="10">C$63*C66*C81*BtuTOkWh</f>
        <v>0.14341761930637306</v>
      </c>
      <c r="D87" s="115">
        <f t="shared" si="10"/>
        <v>0.14978342218128701</v>
      </c>
      <c r="E87" s="115">
        <f t="shared" si="10"/>
        <v>0.15275388329517486</v>
      </c>
      <c r="F87" s="115">
        <f t="shared" si="10"/>
        <v>0.15509868952603495</v>
      </c>
      <c r="G87" s="115">
        <f t="shared" si="10"/>
        <v>0.16961811153519885</v>
      </c>
      <c r="H87" s="115">
        <f t="shared" si="10"/>
        <v>0.13860690109192772</v>
      </c>
      <c r="I87" s="115">
        <f t="shared" si="10"/>
        <v>0.12992463567074855</v>
      </c>
      <c r="J87" s="115">
        <f t="shared" si="10"/>
        <v>0.14658328575794188</v>
      </c>
      <c r="K87" s="560">
        <f t="shared" si="10"/>
        <v>0.1513329970238238</v>
      </c>
      <c r="L87" s="560">
        <f t="shared" si="10"/>
        <v>0.159607047247045</v>
      </c>
      <c r="M87" s="374">
        <f>M$63*M66*M81*BtuTOkWh</f>
        <v>0.14132656560259083</v>
      </c>
      <c r="N87" s="115">
        <f t="shared" si="10"/>
        <v>0.12125803677553121</v>
      </c>
      <c r="O87" s="115">
        <f>O$63*O66*O81*BtuTOkWh</f>
        <v>0.11653589835328161</v>
      </c>
      <c r="P87" s="115">
        <f t="shared" si="10"/>
        <v>0.11112030405217826</v>
      </c>
      <c r="Q87" s="115">
        <f t="shared" si="10"/>
        <v>0.10549251275883796</v>
      </c>
      <c r="R87" s="115">
        <f t="shared" si="10"/>
        <v>8.3555900586038651E-2</v>
      </c>
      <c r="S87" s="115">
        <f t="shared" si="10"/>
        <v>8.1040811737457974E-2</v>
      </c>
      <c r="T87" s="115">
        <f t="shared" si="10"/>
        <v>6.7460361958994949E-2</v>
      </c>
      <c r="U87" s="115">
        <f t="shared" si="10"/>
        <v>6.5012075515460038E-2</v>
      </c>
      <c r="V87" s="115">
        <f t="shared" si="10"/>
        <v>6.2656843040618068E-2</v>
      </c>
      <c r="W87" s="115">
        <f t="shared" si="10"/>
        <v>4.1029887548119114E-2</v>
      </c>
      <c r="X87" s="115">
        <f t="shared" si="10"/>
        <v>4.0538436968520615E-2</v>
      </c>
      <c r="Y87" s="115">
        <f t="shared" si="10"/>
        <v>4.0207776044670622E-2</v>
      </c>
      <c r="Z87" s="115">
        <f t="shared" si="10"/>
        <v>4.0353871704391545E-2</v>
      </c>
      <c r="AA87" s="115">
        <f t="shared" si="10"/>
        <v>4.106623606082644E-2</v>
      </c>
      <c r="AB87" s="115">
        <f t="shared" si="10"/>
        <v>4.167854237644094E-2</v>
      </c>
      <c r="AC87" s="115">
        <f t="shared" si="10"/>
        <v>4.2636107300693005E-2</v>
      </c>
      <c r="AD87" s="115">
        <f t="shared" si="10"/>
        <v>4.3640752831809244E-2</v>
      </c>
      <c r="AE87" s="115">
        <f t="shared" si="10"/>
        <v>4.4694304808104914E-2</v>
      </c>
      <c r="AF87" s="115">
        <f t="shared" si="10"/>
        <v>4.5808486614209908E-2</v>
      </c>
      <c r="AG87" s="115">
        <f t="shared" si="10"/>
        <v>4.6788663837393017E-2</v>
      </c>
      <c r="AH87" s="115">
        <f t="shared" si="10"/>
        <v>4.7820932475770149E-2</v>
      </c>
      <c r="AI87" s="115">
        <f t="shared" si="10"/>
        <v>4.8853915116891106E-2</v>
      </c>
      <c r="AJ87" s="115">
        <f t="shared" si="10"/>
        <v>4.9887522428895749E-2</v>
      </c>
      <c r="AK87" s="115">
        <f t="shared" si="10"/>
        <v>5.0920949787959732E-2</v>
      </c>
      <c r="AL87"/>
      <c r="AM87"/>
      <c r="AN87"/>
      <c r="AO87"/>
      <c r="AP87"/>
      <c r="AQ87"/>
      <c r="AR87"/>
      <c r="AS87"/>
      <c r="AT87"/>
      <c r="AU87"/>
      <c r="AV87"/>
      <c r="AW87"/>
      <c r="AX87"/>
      <c r="AY87"/>
      <c r="AZ87"/>
      <c r="BA87"/>
      <c r="BB87"/>
      <c r="BC87"/>
      <c r="BD87"/>
      <c r="BE87"/>
      <c r="BF87"/>
      <c r="BG87"/>
      <c r="BH87"/>
      <c r="BI87"/>
      <c r="BJ87"/>
      <c r="BK87"/>
      <c r="BL87"/>
      <c r="BM87"/>
    </row>
    <row r="88" spans="1:65">
      <c r="A88" s="91" t="s">
        <v>422</v>
      </c>
      <c r="B88" s="115">
        <f t="shared" ref="B88:AK88" si="11">B$63*B67*B82*BtuTOkWh</f>
        <v>4.5270417586423146E-2</v>
      </c>
      <c r="C88" s="115">
        <f t="shared" si="11"/>
        <v>3.751689960460472E-2</v>
      </c>
      <c r="D88" s="115">
        <f t="shared" si="11"/>
        <v>5.1428769686130124E-2</v>
      </c>
      <c r="E88" s="115">
        <f t="shared" si="11"/>
        <v>6.004991269431257E-2</v>
      </c>
      <c r="F88" s="115">
        <f t="shared" si="11"/>
        <v>8.2644014816488295E-2</v>
      </c>
      <c r="G88" s="115">
        <f t="shared" si="11"/>
        <v>8.7525863981302757E-2</v>
      </c>
      <c r="H88" s="115">
        <f t="shared" si="11"/>
        <v>4.766966901284813E-2</v>
      </c>
      <c r="I88" s="115">
        <f t="shared" si="11"/>
        <v>5.6937941789102192E-2</v>
      </c>
      <c r="J88" s="115">
        <f t="shared" si="11"/>
        <v>8.9174134658229445E-2</v>
      </c>
      <c r="K88" s="560">
        <f t="shared" si="11"/>
        <v>7.766859456875147E-2</v>
      </c>
      <c r="L88" s="560">
        <f t="shared" si="11"/>
        <v>9.1344304441403679E-2</v>
      </c>
      <c r="M88" s="374">
        <f t="shared" si="11"/>
        <v>7.5264671075957121E-2</v>
      </c>
      <c r="N88" s="115">
        <f t="shared" si="11"/>
        <v>7.1671376365202946E-2</v>
      </c>
      <c r="O88" s="115">
        <f t="shared" si="11"/>
        <v>7.2041207519307107E-2</v>
      </c>
      <c r="P88" s="115">
        <f t="shared" si="11"/>
        <v>7.183478947968526E-2</v>
      </c>
      <c r="Q88" s="115">
        <f t="shared" si="11"/>
        <v>7.1480336743204545E-2</v>
      </c>
      <c r="R88" s="115">
        <f t="shared" si="11"/>
        <v>8.2061783002801952E-2</v>
      </c>
      <c r="S88" s="115">
        <f t="shared" si="11"/>
        <v>8.3917092580779701E-2</v>
      </c>
      <c r="T88" s="115">
        <f t="shared" si="11"/>
        <v>9.0670496758650548E-2</v>
      </c>
      <c r="U88" s="115">
        <f t="shared" si="11"/>
        <v>9.2421177130405138E-2</v>
      </c>
      <c r="V88" s="115">
        <f t="shared" si="11"/>
        <v>9.4201911914277695E-2</v>
      </c>
      <c r="W88" s="115">
        <f t="shared" si="11"/>
        <v>0.10453605306970888</v>
      </c>
      <c r="X88" s="115">
        <f t="shared" si="11"/>
        <v>0.10387143524174083</v>
      </c>
      <c r="Y88" s="115">
        <f t="shared" si="11"/>
        <v>0.10336084275813733</v>
      </c>
      <c r="Z88" s="115">
        <f t="shared" si="11"/>
        <v>0.10328412310993604</v>
      </c>
      <c r="AA88" s="115">
        <f t="shared" si="11"/>
        <v>0.10371596430500771</v>
      </c>
      <c r="AB88" s="115">
        <f t="shared" si="11"/>
        <v>0.10405283655290387</v>
      </c>
      <c r="AC88" s="115">
        <f t="shared" si="11"/>
        <v>0.10469890615652083</v>
      </c>
      <c r="AD88" s="115">
        <f t="shared" si="11"/>
        <v>0.10538563943266151</v>
      </c>
      <c r="AE88" s="115">
        <f t="shared" si="11"/>
        <v>0.10611126031310301</v>
      </c>
      <c r="AF88" s="115">
        <f t="shared" si="11"/>
        <v>0.10688689630364318</v>
      </c>
      <c r="AG88" s="115">
        <f t="shared" si="11"/>
        <v>0.10754006851620018</v>
      </c>
      <c r="AH88" s="115">
        <f t="shared" si="11"/>
        <v>0.10823683467555788</v>
      </c>
      <c r="AI88" s="115">
        <f t="shared" si="11"/>
        <v>0.10893038361000416</v>
      </c>
      <c r="AJ88" s="115">
        <f t="shared" si="11"/>
        <v>0.10962072540137399</v>
      </c>
      <c r="AK88" s="115">
        <f t="shared" si="11"/>
        <v>0.11030787010404391</v>
      </c>
      <c r="AL88"/>
      <c r="AM88"/>
      <c r="AN88"/>
      <c r="AO88"/>
      <c r="AP88"/>
      <c r="AQ88"/>
      <c r="AR88"/>
      <c r="AS88"/>
      <c r="AT88"/>
      <c r="AU88"/>
      <c r="AV88"/>
      <c r="AW88"/>
      <c r="AX88"/>
      <c r="AY88"/>
      <c r="AZ88"/>
      <c r="BA88"/>
      <c r="BB88"/>
      <c r="BC88"/>
      <c r="BD88"/>
      <c r="BE88"/>
      <c r="BF88"/>
      <c r="BG88"/>
      <c r="BH88"/>
      <c r="BI88"/>
      <c r="BJ88"/>
      <c r="BK88"/>
      <c r="BL88"/>
      <c r="BM88"/>
    </row>
    <row r="89" spans="1:65">
      <c r="A89" s="91" t="s">
        <v>423</v>
      </c>
      <c r="B89" s="115">
        <f t="shared" ref="B89:AK89" si="12">B$63*B68*B82*BtuTOkWh</f>
        <v>2.2617548529566392E-2</v>
      </c>
      <c r="C89" s="115">
        <f t="shared" si="12"/>
        <v>2.2793953453554158E-2</v>
      </c>
      <c r="D89" s="115">
        <f t="shared" si="12"/>
        <v>1.7603870500506342E-2</v>
      </c>
      <c r="E89" s="115">
        <f t="shared" si="12"/>
        <v>1.3295777946662988E-2</v>
      </c>
      <c r="F89" s="115">
        <f t="shared" si="12"/>
        <v>1.5464511622374347E-2</v>
      </c>
      <c r="G89" s="115">
        <f t="shared" si="12"/>
        <v>1.4468047163526671E-2</v>
      </c>
      <c r="H89" s="115">
        <f t="shared" si="12"/>
        <v>1.1062005217097926E-2</v>
      </c>
      <c r="I89" s="115">
        <f t="shared" si="12"/>
        <v>3.9848999329325204E-3</v>
      </c>
      <c r="J89" s="115">
        <f t="shared" si="12"/>
        <v>9.2814790629005845E-3</v>
      </c>
      <c r="K89" s="560">
        <f t="shared" si="12"/>
        <v>7.7588871681748299E-3</v>
      </c>
      <c r="L89" s="560">
        <f t="shared" si="12"/>
        <v>7.3848941545642055E-3</v>
      </c>
      <c r="M89" s="374">
        <f t="shared" si="12"/>
        <v>7.2629292180900343E-3</v>
      </c>
      <c r="N89" s="115">
        <f t="shared" si="12"/>
        <v>8.3785360325783487E-3</v>
      </c>
      <c r="O89" s="115">
        <f t="shared" si="12"/>
        <v>8.3777649127048364E-3</v>
      </c>
      <c r="P89" s="115">
        <f t="shared" si="12"/>
        <v>8.310337380515528E-3</v>
      </c>
      <c r="Q89" s="115">
        <f t="shared" si="12"/>
        <v>8.2265700988566424E-3</v>
      </c>
      <c r="R89" s="115">
        <f t="shared" si="12"/>
        <v>8.1469423792583512E-3</v>
      </c>
      <c r="S89" s="115">
        <f t="shared" si="12"/>
        <v>8.0658981331351819E-3</v>
      </c>
      <c r="T89" s="115">
        <f t="shared" si="12"/>
        <v>7.9853139818203325E-3</v>
      </c>
      <c r="U89" s="115">
        <f t="shared" si="12"/>
        <v>7.9052376986657024E-3</v>
      </c>
      <c r="V89" s="115">
        <f t="shared" si="12"/>
        <v>7.8330898685087472E-3</v>
      </c>
      <c r="W89" s="115">
        <f t="shared" si="12"/>
        <v>7.7648744294836489E-3</v>
      </c>
      <c r="X89" s="115">
        <f t="shared" si="12"/>
        <v>7.7064706640224351E-3</v>
      </c>
      <c r="Y89" s="115">
        <f t="shared" si="12"/>
        <v>7.6625548113098399E-3</v>
      </c>
      <c r="Z89" s="115">
        <f t="shared" si="12"/>
        <v>7.6594649378865561E-3</v>
      </c>
      <c r="AA89" s="115">
        <f t="shared" si="12"/>
        <v>7.7042303764361785E-3</v>
      </c>
      <c r="AB89" s="115">
        <f t="shared" si="12"/>
        <v>7.7400494987380272E-3</v>
      </c>
      <c r="AC89" s="115">
        <f t="shared" si="12"/>
        <v>7.8049607265396146E-3</v>
      </c>
      <c r="AD89" s="115">
        <f t="shared" si="12"/>
        <v>7.8736908335910911E-3</v>
      </c>
      <c r="AE89" s="115">
        <f t="shared" si="12"/>
        <v>7.9460726803648636E-3</v>
      </c>
      <c r="AF89" s="115">
        <f t="shared" si="12"/>
        <v>8.0231535565449923E-3</v>
      </c>
      <c r="AG89" s="115">
        <f t="shared" si="12"/>
        <v>8.0887005026172507E-3</v>
      </c>
      <c r="AH89" s="115">
        <f t="shared" si="12"/>
        <v>8.1583421783299262E-3</v>
      </c>
      <c r="AI89" s="115">
        <f t="shared" si="12"/>
        <v>8.227672932537752E-3</v>
      </c>
      <c r="AJ89" s="115">
        <f t="shared" si="12"/>
        <v>8.2966937303600302E-3</v>
      </c>
      <c r="AK89" s="115">
        <f t="shared" si="12"/>
        <v>8.3654055342992934E-3</v>
      </c>
    </row>
    <row r="90" spans="1:65">
      <c r="A90" s="91" t="s">
        <v>424</v>
      </c>
      <c r="B90" s="115">
        <f t="shared" ref="B90:AK90" si="13">B$63*B69*B83*BtuTOkWh</f>
        <v>4.6747647155685886E-4</v>
      </c>
      <c r="C90" s="115">
        <f t="shared" si="13"/>
        <v>6.5425838112497382E-4</v>
      </c>
      <c r="D90" s="115">
        <f t="shared" si="13"/>
        <v>7.2606138719473554E-4</v>
      </c>
      <c r="E90" s="115">
        <f t="shared" si="13"/>
        <v>7.541666467552479E-4</v>
      </c>
      <c r="F90" s="115">
        <f t="shared" si="13"/>
        <v>1.0461749868300927E-3</v>
      </c>
      <c r="G90" s="115">
        <f t="shared" si="13"/>
        <v>9.1232428749829389E-4</v>
      </c>
      <c r="H90" s="115">
        <f t="shared" si="13"/>
        <v>7.6354747400335723E-4</v>
      </c>
      <c r="I90" s="115">
        <f t="shared" si="13"/>
        <v>7.5663737107182854E-4</v>
      </c>
      <c r="J90" s="115">
        <f t="shared" si="13"/>
        <v>7.1752976207467285E-4</v>
      </c>
      <c r="K90" s="560">
        <f t="shared" si="13"/>
        <v>6.6765725283209022E-4</v>
      </c>
      <c r="L90" s="560">
        <f t="shared" si="13"/>
        <v>5.3688492239015954E-4</v>
      </c>
      <c r="M90" s="374">
        <f t="shared" si="13"/>
        <v>6.984261876083435E-4</v>
      </c>
      <c r="N90" s="115">
        <f t="shared" si="13"/>
        <v>5.1418489958197997E-4</v>
      </c>
      <c r="O90" s="115">
        <f t="shared" si="13"/>
        <v>4.7589832144852789E-4</v>
      </c>
      <c r="P90" s="115">
        <f t="shared" si="13"/>
        <v>4.3739601676482374E-4</v>
      </c>
      <c r="Q90" s="115">
        <f t="shared" si="13"/>
        <v>3.9590228437350576E-4</v>
      </c>
      <c r="R90" s="115">
        <f t="shared" si="13"/>
        <v>3.5666104504024837E-4</v>
      </c>
      <c r="S90" s="115">
        <f t="shared" si="13"/>
        <v>3.1811854703218652E-4</v>
      </c>
      <c r="T90" s="115">
        <f t="shared" si="13"/>
        <v>2.802758495786414E-4</v>
      </c>
      <c r="U90" s="115">
        <f t="shared" si="13"/>
        <v>2.4338500320705665E-4</v>
      </c>
      <c r="V90" s="115">
        <f t="shared" si="13"/>
        <v>2.0725153721468906E-4</v>
      </c>
      <c r="W90" s="115">
        <f t="shared" si="13"/>
        <v>1.7219740929521425E-4</v>
      </c>
      <c r="X90" s="115">
        <f t="shared" si="13"/>
        <v>1.7059716376143568E-4</v>
      </c>
      <c r="Y90" s="115">
        <f t="shared" si="13"/>
        <v>1.6932125562895721E-4</v>
      </c>
      <c r="Z90" s="115">
        <f t="shared" si="13"/>
        <v>1.6895772799455005E-4</v>
      </c>
      <c r="AA90" s="115">
        <f t="shared" si="13"/>
        <v>1.6963886315956233E-4</v>
      </c>
      <c r="AB90" s="115">
        <f t="shared" si="13"/>
        <v>1.7014706612551649E-4</v>
      </c>
      <c r="AC90" s="115">
        <f t="shared" si="13"/>
        <v>1.7125021076785425E-4</v>
      </c>
      <c r="AD90" s="115">
        <f t="shared" si="13"/>
        <v>1.7244914743021588E-4</v>
      </c>
      <c r="AE90" s="115">
        <f t="shared" si="13"/>
        <v>1.7372066813384229E-4</v>
      </c>
      <c r="AF90" s="115">
        <f t="shared" si="13"/>
        <v>1.75085107023486E-4</v>
      </c>
      <c r="AG90" s="115">
        <f t="shared" si="13"/>
        <v>1.7619008704613533E-4</v>
      </c>
      <c r="AH90" s="115">
        <f t="shared" si="13"/>
        <v>1.7737234882770597E-4</v>
      </c>
      <c r="AI90" s="115">
        <f t="shared" si="13"/>
        <v>1.7854769035012227E-4</v>
      </c>
      <c r="AJ90" s="115">
        <f t="shared" si="13"/>
        <v>1.7970455735043654E-4</v>
      </c>
      <c r="AK90" s="115">
        <f t="shared" si="13"/>
        <v>1.8084684386433027E-4</v>
      </c>
    </row>
    <row r="91" spans="1:65">
      <c r="A91" s="57" t="s">
        <v>42</v>
      </c>
      <c r="B91" s="85">
        <f t="shared" ref="B91:AK91" si="14">SUM(B87:B90)</f>
        <v>0.22159219102332378</v>
      </c>
      <c r="C91" s="85">
        <f t="shared" si="14"/>
        <v>0.20438273074565694</v>
      </c>
      <c r="D91" s="85">
        <f t="shared" si="14"/>
        <v>0.21954212375511822</v>
      </c>
      <c r="E91" s="85">
        <f t="shared" si="14"/>
        <v>0.22685374058290567</v>
      </c>
      <c r="F91" s="85">
        <f t="shared" si="14"/>
        <v>0.25425339095172766</v>
      </c>
      <c r="G91" s="85">
        <f t="shared" si="14"/>
        <v>0.27252434696752653</v>
      </c>
      <c r="H91" s="85">
        <f t="shared" si="14"/>
        <v>0.19810212279587716</v>
      </c>
      <c r="I91" s="85">
        <f t="shared" si="14"/>
        <v>0.19160411476385508</v>
      </c>
      <c r="J91" s="85">
        <f t="shared" si="14"/>
        <v>0.24575642924114657</v>
      </c>
      <c r="K91" s="85">
        <f t="shared" si="14"/>
        <v>0.23742813601358218</v>
      </c>
      <c r="L91" s="85">
        <f t="shared" si="14"/>
        <v>0.25887313076540308</v>
      </c>
      <c r="M91" s="375">
        <f t="shared" si="14"/>
        <v>0.22455259208424636</v>
      </c>
      <c r="N91" s="85">
        <f t="shared" si="14"/>
        <v>0.20182213407289448</v>
      </c>
      <c r="O91" s="85">
        <f t="shared" si="14"/>
        <v>0.19743076910674209</v>
      </c>
      <c r="P91" s="85">
        <f t="shared" si="14"/>
        <v>0.19170282692914387</v>
      </c>
      <c r="Q91" s="85">
        <f t="shared" si="14"/>
        <v>0.18559532188527264</v>
      </c>
      <c r="R91" s="85">
        <f t="shared" si="14"/>
        <v>0.1741212870131392</v>
      </c>
      <c r="S91" s="85">
        <f t="shared" si="14"/>
        <v>0.17334192099840504</v>
      </c>
      <c r="T91" s="85">
        <f t="shared" si="14"/>
        <v>0.16639644854904448</v>
      </c>
      <c r="U91" s="85">
        <f t="shared" si="14"/>
        <v>0.16558187534773791</v>
      </c>
      <c r="V91" s="85">
        <f t="shared" si="14"/>
        <v>0.1648990963606192</v>
      </c>
      <c r="W91" s="85">
        <f t="shared" si="14"/>
        <v>0.15350301245660686</v>
      </c>
      <c r="X91" s="85">
        <f t="shared" si="14"/>
        <v>0.15228694003804533</v>
      </c>
      <c r="Y91" s="85">
        <f t="shared" si="14"/>
        <v>0.15140049486974674</v>
      </c>
      <c r="Z91" s="85">
        <f t="shared" si="14"/>
        <v>0.1514664174802087</v>
      </c>
      <c r="AA91" s="85">
        <f t="shared" si="14"/>
        <v>0.15265606960542988</v>
      </c>
      <c r="AB91" s="85">
        <f t="shared" si="14"/>
        <v>0.15364157549420834</v>
      </c>
      <c r="AC91" s="85">
        <f t="shared" si="14"/>
        <v>0.1553112243945213</v>
      </c>
      <c r="AD91" s="85">
        <f t="shared" si="14"/>
        <v>0.15707253224549209</v>
      </c>
      <c r="AE91" s="85">
        <f t="shared" si="14"/>
        <v>0.15892535846970665</v>
      </c>
      <c r="AF91" s="85">
        <f t="shared" si="14"/>
        <v>0.16089362158142156</v>
      </c>
      <c r="AG91" s="85">
        <f t="shared" si="14"/>
        <v>0.1625936229432566</v>
      </c>
      <c r="AH91" s="85">
        <f t="shared" si="14"/>
        <v>0.16439348167848564</v>
      </c>
      <c r="AI91" s="85">
        <f t="shared" si="14"/>
        <v>0.16619051934978313</v>
      </c>
      <c r="AJ91" s="85">
        <f t="shared" si="14"/>
        <v>0.1679846461179802</v>
      </c>
      <c r="AK91" s="85">
        <f t="shared" si="14"/>
        <v>0.16977507227016728</v>
      </c>
    </row>
    <row r="92" spans="1:65" ht="14.1" customHeight="1">
      <c r="K92" s="2"/>
      <c r="L92" s="2"/>
      <c r="M92" s="18"/>
    </row>
    <row r="93" spans="1:65" ht="14.1" customHeight="1">
      <c r="A93" s="57" t="s">
        <v>307</v>
      </c>
      <c r="K93" s="2"/>
      <c r="L93" s="2"/>
      <c r="M93" s="18"/>
    </row>
    <row r="94" spans="1:65" ht="14.1" customHeight="1">
      <c r="A94" s="77" t="s">
        <v>78</v>
      </c>
      <c r="B94" s="67">
        <f t="shared" ref="B94:AK94" si="15">B13/B63</f>
        <v>0.39810749030269027</v>
      </c>
      <c r="C94" s="67">
        <f t="shared" si="15"/>
        <v>0.4050007564680369</v>
      </c>
      <c r="D94" s="67">
        <f t="shared" si="15"/>
        <v>0.41273589226985952</v>
      </c>
      <c r="E94" s="67">
        <f t="shared" si="15"/>
        <v>0.41606145744597189</v>
      </c>
      <c r="F94" s="67">
        <f t="shared" si="15"/>
        <v>0.4075843385969552</v>
      </c>
      <c r="G94" s="67">
        <f t="shared" si="15"/>
        <v>0.38622413793675742</v>
      </c>
      <c r="H94" s="67">
        <f t="shared" si="15"/>
        <v>0.38811603322092031</v>
      </c>
      <c r="I94" s="67">
        <f t="shared" si="15"/>
        <v>0.38458230158556789</v>
      </c>
      <c r="J94" s="67">
        <f t="shared" si="15"/>
        <v>0.37548554134776746</v>
      </c>
      <c r="K94" s="564">
        <f t="shared" si="15"/>
        <v>0.3616569788053226</v>
      </c>
      <c r="L94" s="564">
        <f t="shared" si="15"/>
        <v>0.36407900203393823</v>
      </c>
      <c r="M94" s="435">
        <f t="shared" si="15"/>
        <v>0.37155322026922605</v>
      </c>
      <c r="N94" s="67">
        <f t="shared" si="15"/>
        <v>0.40053973097212314</v>
      </c>
      <c r="O94" s="67">
        <f t="shared" si="15"/>
        <v>0.39581418290495596</v>
      </c>
      <c r="P94" s="67">
        <f t="shared" si="15"/>
        <v>0.39272970567889959</v>
      </c>
      <c r="Q94" s="67">
        <f t="shared" si="15"/>
        <v>0.38999548638154941</v>
      </c>
      <c r="R94" s="67">
        <f t="shared" si="15"/>
        <v>0.38752922268053797</v>
      </c>
      <c r="S94" s="67">
        <f t="shared" si="15"/>
        <v>0.38501363913982833</v>
      </c>
      <c r="T94" s="67">
        <f t="shared" si="15"/>
        <v>0.38237727655468579</v>
      </c>
      <c r="U94" s="67">
        <f t="shared" si="15"/>
        <v>0.37934868795274457</v>
      </c>
      <c r="V94" s="67">
        <f t="shared" si="15"/>
        <v>0.37596838322922604</v>
      </c>
      <c r="W94" s="67">
        <f t="shared" si="15"/>
        <v>0.37256010406428614</v>
      </c>
      <c r="X94" s="67">
        <f t="shared" si="15"/>
        <v>0.36806091420520648</v>
      </c>
      <c r="Y94" s="67">
        <f t="shared" si="15"/>
        <v>0.3629378368534249</v>
      </c>
      <c r="Z94" s="67">
        <f t="shared" si="15"/>
        <v>0.35844997993457628</v>
      </c>
      <c r="AA94" s="67">
        <f t="shared" si="15"/>
        <v>0.35478044224369748</v>
      </c>
      <c r="AB94" s="67">
        <f t="shared" si="15"/>
        <v>0.35283318802382807</v>
      </c>
      <c r="AC94" s="67">
        <f t="shared" si="15"/>
        <v>0.34985285906084257</v>
      </c>
      <c r="AD94" s="67">
        <f t="shared" si="15"/>
        <v>0.34716735529312487</v>
      </c>
      <c r="AE94" s="67">
        <f t="shared" si="15"/>
        <v>0.34480798572305354</v>
      </c>
      <c r="AF94" s="67">
        <f t="shared" si="15"/>
        <v>0.34240740760046595</v>
      </c>
      <c r="AG94" s="67">
        <f t="shared" si="15"/>
        <v>0.33983944707516134</v>
      </c>
      <c r="AH94" s="67">
        <f t="shared" si="15"/>
        <v>0.33743904541651976</v>
      </c>
      <c r="AI94" s="67">
        <f t="shared" si="15"/>
        <v>0.33508861858193201</v>
      </c>
      <c r="AJ94" s="67">
        <f t="shared" si="15"/>
        <v>0.33278662198434417</v>
      </c>
      <c r="AK94" s="67">
        <f t="shared" si="15"/>
        <v>0.33053157403964717</v>
      </c>
    </row>
    <row r="95" spans="1:65" ht="14.1" customHeight="1">
      <c r="A95" s="77" t="s">
        <v>79</v>
      </c>
      <c r="B95" s="67">
        <f t="shared" ref="B95:AK95" si="16">B25/B63</f>
        <v>0.33682368157343345</v>
      </c>
      <c r="C95" s="67">
        <f t="shared" si="16"/>
        <v>0.33610641050359835</v>
      </c>
      <c r="D95" s="67">
        <f t="shared" si="16"/>
        <v>0.34521063534981306</v>
      </c>
      <c r="E95" s="67">
        <f t="shared" si="16"/>
        <v>0.34211956174492075</v>
      </c>
      <c r="F95" s="67">
        <f t="shared" si="16"/>
        <v>0.33331862690791203</v>
      </c>
      <c r="G95" s="67">
        <f t="shared" si="16"/>
        <v>0.31902290961149904</v>
      </c>
      <c r="H95" s="67">
        <f t="shared" si="16"/>
        <v>0.31377892817979236</v>
      </c>
      <c r="I95" s="67">
        <f t="shared" si="16"/>
        <v>0.3166637535878169</v>
      </c>
      <c r="J95" s="67">
        <f t="shared" si="16"/>
        <v>0.33226838108663254</v>
      </c>
      <c r="K95" s="564">
        <f t="shared" si="16"/>
        <v>0.34976610875415082</v>
      </c>
      <c r="L95" s="564">
        <f t="shared" si="16"/>
        <v>0.34340433800846859</v>
      </c>
      <c r="M95" s="435">
        <f t="shared" si="16"/>
        <v>0.31695566159400407</v>
      </c>
      <c r="N95" s="67">
        <f t="shared" si="16"/>
        <v>0.35560320400607437</v>
      </c>
      <c r="O95" s="67">
        <f t="shared" si="16"/>
        <v>0.35121894041195939</v>
      </c>
      <c r="P95" s="67">
        <f t="shared" si="16"/>
        <v>0.34943635884895113</v>
      </c>
      <c r="Q95" s="67">
        <f t="shared" si="16"/>
        <v>0.34783071480215522</v>
      </c>
      <c r="R95" s="67">
        <f t="shared" si="16"/>
        <v>0.34534980192673476</v>
      </c>
      <c r="S95" s="67">
        <f t="shared" si="16"/>
        <v>0.34273572354777976</v>
      </c>
      <c r="T95" s="67">
        <f t="shared" si="16"/>
        <v>0.33990748551031058</v>
      </c>
      <c r="U95" s="67">
        <f t="shared" si="16"/>
        <v>0.33708508709663437</v>
      </c>
      <c r="V95" s="67">
        <f t="shared" si="16"/>
        <v>0.33449991696657549</v>
      </c>
      <c r="W95" s="67">
        <f t="shared" si="16"/>
        <v>0.33192364164317406</v>
      </c>
      <c r="X95" s="67">
        <f t="shared" si="16"/>
        <v>0.33056717918805484</v>
      </c>
      <c r="Y95" s="67">
        <f t="shared" si="16"/>
        <v>0.33050322131871857</v>
      </c>
      <c r="Z95" s="67">
        <f t="shared" si="16"/>
        <v>0.33069411850368458</v>
      </c>
      <c r="AA95" s="67">
        <f t="shared" si="16"/>
        <v>0.33130887786067303</v>
      </c>
      <c r="AB95" s="67">
        <f t="shared" si="16"/>
        <v>0.33336635131780129</v>
      </c>
      <c r="AC95" s="67">
        <f t="shared" si="16"/>
        <v>0.3342602807485972</v>
      </c>
      <c r="AD95" s="67">
        <f t="shared" si="16"/>
        <v>0.33517121974721742</v>
      </c>
      <c r="AE95" s="67">
        <f t="shared" si="16"/>
        <v>0.33591789744189876</v>
      </c>
      <c r="AF95" s="67">
        <f t="shared" si="16"/>
        <v>0.33690563645882715</v>
      </c>
      <c r="AG95" s="67">
        <f t="shared" si="16"/>
        <v>0.33768119245800438</v>
      </c>
      <c r="AH95" s="67">
        <f t="shared" si="16"/>
        <v>0.33849150819469548</v>
      </c>
      <c r="AI95" s="67">
        <f t="shared" si="16"/>
        <v>0.33928495367710171</v>
      </c>
      <c r="AJ95" s="67">
        <f t="shared" si="16"/>
        <v>0.34006205031928993</v>
      </c>
      <c r="AK95" s="67">
        <f t="shared" si="16"/>
        <v>0.34082329826710911</v>
      </c>
    </row>
    <row r="96" spans="1:65" ht="14.1" customHeight="1">
      <c r="A96" s="77" t="s">
        <v>80</v>
      </c>
      <c r="B96" s="67">
        <f t="shared" ref="B96:AK96" si="17">B46/B63</f>
        <v>0.26504908588771736</v>
      </c>
      <c r="C96" s="67">
        <f t="shared" si="17"/>
        <v>0.2588795441223139</v>
      </c>
      <c r="D96" s="67">
        <f t="shared" si="17"/>
        <v>0.24203559315022316</v>
      </c>
      <c r="E96" s="67">
        <f t="shared" si="17"/>
        <v>0.24180108377046156</v>
      </c>
      <c r="F96" s="67">
        <f t="shared" si="17"/>
        <v>0.25906794681148554</v>
      </c>
      <c r="G96" s="67">
        <f t="shared" si="17"/>
        <v>0.29467606594691276</v>
      </c>
      <c r="H96" s="67">
        <f t="shared" si="17"/>
        <v>0.29802946637978889</v>
      </c>
      <c r="I96" s="67">
        <f t="shared" si="17"/>
        <v>0.29867843834266899</v>
      </c>
      <c r="J96" s="67">
        <f t="shared" si="17"/>
        <v>0.29134300775813193</v>
      </c>
      <c r="K96" s="564">
        <f t="shared" si="17"/>
        <v>0.28679925914948268</v>
      </c>
      <c r="L96" s="564">
        <f t="shared" si="17"/>
        <v>0.29215300303587688</v>
      </c>
      <c r="M96" s="435">
        <f t="shared" si="17"/>
        <v>0.31104717764395534</v>
      </c>
      <c r="N96" s="67">
        <f>N46/N63</f>
        <v>0.24182213353323534</v>
      </c>
      <c r="O96" s="67">
        <f t="shared" si="17"/>
        <v>0.25015485603059318</v>
      </c>
      <c r="P96" s="67">
        <f t="shared" si="17"/>
        <v>0.25409679229069942</v>
      </c>
      <c r="Q96" s="67">
        <f t="shared" si="17"/>
        <v>0.25742031078388633</v>
      </c>
      <c r="R96" s="67">
        <f t="shared" si="17"/>
        <v>0.26123654448350886</v>
      </c>
      <c r="S96" s="67">
        <f t="shared" si="17"/>
        <v>0.26513490727242273</v>
      </c>
      <c r="T96" s="67">
        <f t="shared" si="17"/>
        <v>0.2692790424569626</v>
      </c>
      <c r="U96" s="67">
        <f t="shared" si="17"/>
        <v>0.27372739550313063</v>
      </c>
      <c r="V96" s="67">
        <f t="shared" si="17"/>
        <v>0.27821381372365922</v>
      </c>
      <c r="W96" s="67">
        <f t="shared" si="17"/>
        <v>0.28264606597269759</v>
      </c>
      <c r="X96" s="67">
        <f t="shared" si="17"/>
        <v>0.28696481178226924</v>
      </c>
      <c r="Y96" s="67">
        <f t="shared" si="17"/>
        <v>0.29066163562979941</v>
      </c>
      <c r="Z96" s="67">
        <f t="shared" si="17"/>
        <v>0.2936018849183214</v>
      </c>
      <c r="AA96" s="67">
        <f t="shared" si="17"/>
        <v>0.2954859065458606</v>
      </c>
      <c r="AB96" s="67">
        <f t="shared" si="17"/>
        <v>0.29447944277637966</v>
      </c>
      <c r="AC96" s="67">
        <f t="shared" si="17"/>
        <v>0.29579056849421731</v>
      </c>
      <c r="AD96" s="67">
        <f t="shared" si="17"/>
        <v>0.29695817731716451</v>
      </c>
      <c r="AE96" s="67">
        <f t="shared" si="17"/>
        <v>0.29800068287562659</v>
      </c>
      <c r="AF96" s="67">
        <f t="shared" si="17"/>
        <v>0.29910713234807268</v>
      </c>
      <c r="AG96" s="67">
        <f t="shared" si="17"/>
        <v>0.30022108870724673</v>
      </c>
      <c r="AH96" s="67">
        <f t="shared" si="17"/>
        <v>0.30128397980811988</v>
      </c>
      <c r="AI96" s="67">
        <f t="shared" si="17"/>
        <v>0.30232474219750666</v>
      </c>
      <c r="AJ96" s="67">
        <f t="shared" si="17"/>
        <v>0.30334405981421037</v>
      </c>
      <c r="AK96" s="67">
        <f t="shared" si="17"/>
        <v>0.30434258869950365</v>
      </c>
    </row>
    <row r="97" spans="1:37" ht="14.1" customHeight="1">
      <c r="A97" s="77" t="s">
        <v>81</v>
      </c>
      <c r="B97" s="67">
        <f t="shared" ref="B97:AK97" si="18">B60/B63</f>
        <v>1.9742236158858475E-5</v>
      </c>
      <c r="C97" s="67">
        <f t="shared" si="18"/>
        <v>1.3288906050785846E-5</v>
      </c>
      <c r="D97" s="67">
        <f t="shared" si="18"/>
        <v>1.7879230104256903E-5</v>
      </c>
      <c r="E97" s="67">
        <f t="shared" si="18"/>
        <v>1.7897038645832423E-5</v>
      </c>
      <c r="F97" s="67">
        <f t="shared" si="18"/>
        <v>2.9087683647318844E-5</v>
      </c>
      <c r="G97" s="67">
        <f t="shared" si="18"/>
        <v>7.6886504830661034E-5</v>
      </c>
      <c r="H97" s="67">
        <f t="shared" si="18"/>
        <v>7.5572219498471266E-5</v>
      </c>
      <c r="I97" s="67">
        <f t="shared" si="18"/>
        <v>7.5506483946029482E-5</v>
      </c>
      <c r="J97" s="67">
        <f t="shared" si="18"/>
        <v>9.0306980746804604E-4</v>
      </c>
      <c r="K97" s="564">
        <f t="shared" si="18"/>
        <v>1.7776532910437882E-3</v>
      </c>
      <c r="L97" s="564">
        <f t="shared" si="18"/>
        <v>3.6365692171636536E-4</v>
      </c>
      <c r="M97" s="435">
        <f t="shared" si="18"/>
        <v>4.4394049281476158E-4</v>
      </c>
      <c r="N97" s="67">
        <f t="shared" si="18"/>
        <v>2.0349314885672355E-3</v>
      </c>
      <c r="O97" s="67">
        <f t="shared" si="18"/>
        <v>2.812020652491547E-3</v>
      </c>
      <c r="P97" s="67">
        <f t="shared" si="18"/>
        <v>3.7371431814497745E-3</v>
      </c>
      <c r="Q97" s="67">
        <f t="shared" si="18"/>
        <v>4.7534880324089515E-3</v>
      </c>
      <c r="R97" s="67">
        <f t="shared" si="18"/>
        <v>5.8844309092184596E-3</v>
      </c>
      <c r="S97" s="67">
        <f t="shared" si="18"/>
        <v>7.1157300399692404E-3</v>
      </c>
      <c r="T97" s="67">
        <f t="shared" si="18"/>
        <v>8.4361954780410534E-3</v>
      </c>
      <c r="U97" s="67">
        <f t="shared" si="18"/>
        <v>9.8388294474905224E-3</v>
      </c>
      <c r="V97" s="67">
        <f t="shared" si="18"/>
        <v>1.131788608053918E-2</v>
      </c>
      <c r="W97" s="67">
        <f t="shared" si="18"/>
        <v>1.2870188319842156E-2</v>
      </c>
      <c r="X97" s="67">
        <f t="shared" si="18"/>
        <v>1.4407094824469549E-2</v>
      </c>
      <c r="Y97" s="67">
        <f t="shared" si="18"/>
        <v>1.5897306198057046E-2</v>
      </c>
      <c r="Z97" s="67">
        <f t="shared" si="18"/>
        <v>1.7254016643417875E-2</v>
      </c>
      <c r="AA97" s="67">
        <f t="shared" si="18"/>
        <v>1.842477334976899E-2</v>
      </c>
      <c r="AB97" s="67">
        <f t="shared" si="18"/>
        <v>1.9321017881991115E-2</v>
      </c>
      <c r="AC97" s="67">
        <f t="shared" si="18"/>
        <v>2.0096291696342975E-2</v>
      </c>
      <c r="AD97" s="67">
        <f t="shared" si="18"/>
        <v>2.0703247642493327E-2</v>
      </c>
      <c r="AE97" s="67">
        <f t="shared" si="18"/>
        <v>2.1273433959421155E-2</v>
      </c>
      <c r="AF97" s="67">
        <f t="shared" si="18"/>
        <v>2.1579823592634356E-2</v>
      </c>
      <c r="AG97" s="67">
        <f t="shared" si="18"/>
        <v>2.2258271759587545E-2</v>
      </c>
      <c r="AH97" s="67">
        <f t="shared" si="18"/>
        <v>2.2785466580664718E-2</v>
      </c>
      <c r="AI97" s="67">
        <f t="shared" si="18"/>
        <v>2.330168554345971E-2</v>
      </c>
      <c r="AJ97" s="67">
        <f t="shared" si="18"/>
        <v>2.3807267882155505E-2</v>
      </c>
      <c r="AK97" s="67">
        <f t="shared" si="18"/>
        <v>2.4302538993740058E-2</v>
      </c>
    </row>
    <row r="98" spans="1:37">
      <c r="A98" s="77" t="s">
        <v>385</v>
      </c>
      <c r="B98" s="116">
        <f t="shared" ref="B98:AK98" si="19">1-SUM(B94:B97)</f>
        <v>0</v>
      </c>
      <c r="C98" s="116">
        <f t="shared" si="19"/>
        <v>0</v>
      </c>
      <c r="D98" s="116">
        <f t="shared" si="19"/>
        <v>0</v>
      </c>
      <c r="E98" s="116">
        <f t="shared" si="19"/>
        <v>0</v>
      </c>
      <c r="F98" s="116">
        <f t="shared" si="19"/>
        <v>0</v>
      </c>
      <c r="G98" s="116">
        <f t="shared" si="19"/>
        <v>0</v>
      </c>
      <c r="H98" s="116">
        <f t="shared" si="19"/>
        <v>0</v>
      </c>
      <c r="I98" s="116">
        <f t="shared" si="19"/>
        <v>0</v>
      </c>
      <c r="J98" s="116">
        <f t="shared" si="19"/>
        <v>0</v>
      </c>
      <c r="K98" s="565">
        <f t="shared" si="19"/>
        <v>0</v>
      </c>
      <c r="L98" s="565">
        <f t="shared" si="19"/>
        <v>0</v>
      </c>
      <c r="M98" s="436">
        <f t="shared" si="19"/>
        <v>0</v>
      </c>
      <c r="N98" s="116">
        <f t="shared" si="19"/>
        <v>0</v>
      </c>
      <c r="O98" s="116">
        <f t="shared" si="19"/>
        <v>0</v>
      </c>
      <c r="P98" s="116">
        <f t="shared" si="19"/>
        <v>0</v>
      </c>
      <c r="Q98" s="116">
        <f t="shared" si="19"/>
        <v>0</v>
      </c>
      <c r="R98" s="116">
        <f t="shared" si="19"/>
        <v>0</v>
      </c>
      <c r="S98" s="116">
        <f t="shared" si="19"/>
        <v>0</v>
      </c>
      <c r="T98" s="116">
        <f t="shared" si="19"/>
        <v>0</v>
      </c>
      <c r="U98" s="116">
        <f t="shared" si="19"/>
        <v>0</v>
      </c>
      <c r="V98" s="116">
        <f t="shared" si="19"/>
        <v>0</v>
      </c>
      <c r="W98" s="116">
        <f t="shared" si="19"/>
        <v>0</v>
      </c>
      <c r="X98" s="116">
        <f t="shared" si="19"/>
        <v>0</v>
      </c>
      <c r="Y98" s="116">
        <f t="shared" si="19"/>
        <v>0</v>
      </c>
      <c r="Z98" s="116">
        <f t="shared" si="19"/>
        <v>0</v>
      </c>
      <c r="AA98" s="116">
        <f t="shared" si="19"/>
        <v>0</v>
      </c>
      <c r="AB98" s="116">
        <f t="shared" si="19"/>
        <v>0</v>
      </c>
      <c r="AC98" s="116">
        <f t="shared" si="19"/>
        <v>0</v>
      </c>
      <c r="AD98" s="116">
        <f t="shared" si="19"/>
        <v>0</v>
      </c>
      <c r="AE98" s="116">
        <f t="shared" si="19"/>
        <v>0</v>
      </c>
      <c r="AF98" s="116">
        <f t="shared" si="19"/>
        <v>0</v>
      </c>
      <c r="AG98" s="116">
        <f t="shared" si="19"/>
        <v>0</v>
      </c>
      <c r="AH98" s="116">
        <f t="shared" si="19"/>
        <v>0</v>
      </c>
      <c r="AI98" s="116">
        <f t="shared" si="19"/>
        <v>0</v>
      </c>
      <c r="AJ98" s="116">
        <f t="shared" si="19"/>
        <v>0</v>
      </c>
      <c r="AK98" s="116">
        <f t="shared" si="19"/>
        <v>0</v>
      </c>
    </row>
    <row r="99" spans="1:37">
      <c r="L99" s="2"/>
      <c r="M99" s="18"/>
    </row>
    <row r="100" spans="1:37">
      <c r="A100" s="24" t="s">
        <v>1178</v>
      </c>
      <c r="J100"/>
      <c r="K100"/>
      <c r="L100" s="2"/>
      <c r="M100" s="18"/>
    </row>
    <row r="101" spans="1:37">
      <c r="A101" s="77" t="s">
        <v>1187</v>
      </c>
      <c r="B101">
        <v>4</v>
      </c>
      <c r="C101">
        <v>5</v>
      </c>
      <c r="D101">
        <v>6</v>
      </c>
      <c r="E101">
        <v>7</v>
      </c>
      <c r="F101">
        <v>8</v>
      </c>
      <c r="G101">
        <v>9.25</v>
      </c>
      <c r="H101">
        <v>9.5</v>
      </c>
      <c r="I101">
        <v>9.6999999999999993</v>
      </c>
      <c r="J101">
        <v>9.75</v>
      </c>
      <c r="K101">
        <v>9.85</v>
      </c>
      <c r="L101" s="2">
        <v>9.9</v>
      </c>
      <c r="M101" s="568">
        <v>9.9949999999999992</v>
      </c>
      <c r="N101" s="57">
        <v>10</v>
      </c>
      <c r="O101" s="473">
        <v>10</v>
      </c>
      <c r="P101" s="473">
        <v>10</v>
      </c>
      <c r="Q101" s="473">
        <v>10</v>
      </c>
      <c r="R101" s="473">
        <v>10</v>
      </c>
      <c r="S101" s="473">
        <v>10</v>
      </c>
      <c r="T101" s="473">
        <v>10</v>
      </c>
      <c r="U101" s="473">
        <v>10</v>
      </c>
      <c r="V101" s="473">
        <v>10</v>
      </c>
      <c r="W101" s="473">
        <v>10</v>
      </c>
      <c r="X101" s="473">
        <v>10</v>
      </c>
      <c r="Y101" s="473">
        <v>10</v>
      </c>
      <c r="Z101" s="473">
        <v>10</v>
      </c>
      <c r="AA101" s="473">
        <v>10</v>
      </c>
      <c r="AB101" s="473">
        <v>10</v>
      </c>
      <c r="AC101" s="473">
        <v>10</v>
      </c>
      <c r="AD101" s="473">
        <v>10</v>
      </c>
      <c r="AE101" s="473">
        <v>10</v>
      </c>
      <c r="AF101" s="473">
        <v>10</v>
      </c>
      <c r="AG101" s="473">
        <v>10</v>
      </c>
      <c r="AH101" s="473">
        <v>10</v>
      </c>
      <c r="AI101" s="473">
        <v>10</v>
      </c>
      <c r="AJ101" s="473">
        <v>10</v>
      </c>
      <c r="AK101" s="473">
        <v>10</v>
      </c>
    </row>
    <row r="102" spans="1:37">
      <c r="A102" s="77" t="s">
        <v>1177</v>
      </c>
      <c r="B102" s="484">
        <f>B101*84000/124000</f>
        <v>2.7096774193548385</v>
      </c>
      <c r="C102" s="484">
        <f>C101*84000/124000</f>
        <v>3.3870967741935485</v>
      </c>
      <c r="D102" s="484">
        <f>D101*84000/124000</f>
        <v>4.064516129032258</v>
      </c>
      <c r="E102" s="484">
        <f>E101*84000/123500</f>
        <v>4.761133603238866</v>
      </c>
      <c r="F102" s="484">
        <f>F101*84000/123000</f>
        <v>5.4634146341463419</v>
      </c>
      <c r="G102" s="484">
        <f>G101*84000/122300</f>
        <v>6.3532297628781684</v>
      </c>
      <c r="H102" s="484">
        <f>H101*84000/122000</f>
        <v>6.5409836065573774</v>
      </c>
      <c r="I102" s="484">
        <f>I101*84000/121700</f>
        <v>6.6951520131470819</v>
      </c>
      <c r="J102" s="484">
        <f>J101*84000/121600</f>
        <v>6.7351973684210522</v>
      </c>
      <c r="K102" s="484">
        <f>K101*84000/121500</f>
        <v>6.8098765432098762</v>
      </c>
      <c r="L102" s="748">
        <f>L101*84000/121400</f>
        <v>6.8500823723228992</v>
      </c>
      <c r="M102" s="568">
        <f>M101*84000/121300</f>
        <v>6.9215169002473198</v>
      </c>
      <c r="N102" s="484">
        <f>N101*84000/121300</f>
        <v>6.9249793899422922</v>
      </c>
      <c r="O102" s="484">
        <f t="shared" ref="O102:AK102" si="20">O101*84000/121300</f>
        <v>6.9249793899422922</v>
      </c>
      <c r="P102" s="484">
        <f t="shared" si="20"/>
        <v>6.9249793899422922</v>
      </c>
      <c r="Q102" s="484">
        <f t="shared" si="20"/>
        <v>6.9249793899422922</v>
      </c>
      <c r="R102" s="484">
        <f t="shared" si="20"/>
        <v>6.9249793899422922</v>
      </c>
      <c r="S102" s="484">
        <f t="shared" si="20"/>
        <v>6.9249793899422922</v>
      </c>
      <c r="T102" s="484">
        <f t="shared" si="20"/>
        <v>6.9249793899422922</v>
      </c>
      <c r="U102" s="484">
        <f t="shared" si="20"/>
        <v>6.9249793899422922</v>
      </c>
      <c r="V102" s="484">
        <f t="shared" si="20"/>
        <v>6.9249793899422922</v>
      </c>
      <c r="W102" s="484">
        <f t="shared" si="20"/>
        <v>6.9249793899422922</v>
      </c>
      <c r="X102" s="484">
        <f t="shared" si="20"/>
        <v>6.9249793899422922</v>
      </c>
      <c r="Y102" s="484">
        <f t="shared" si="20"/>
        <v>6.9249793899422922</v>
      </c>
      <c r="Z102" s="484">
        <f t="shared" si="20"/>
        <v>6.9249793899422922</v>
      </c>
      <c r="AA102" s="484">
        <f t="shared" si="20"/>
        <v>6.9249793899422922</v>
      </c>
      <c r="AB102" s="484">
        <f t="shared" si="20"/>
        <v>6.9249793899422922</v>
      </c>
      <c r="AC102" s="484">
        <f t="shared" si="20"/>
        <v>6.9249793899422922</v>
      </c>
      <c r="AD102" s="484">
        <f t="shared" si="20"/>
        <v>6.9249793899422922</v>
      </c>
      <c r="AE102" s="484">
        <f t="shared" si="20"/>
        <v>6.9249793899422922</v>
      </c>
      <c r="AF102" s="484">
        <f t="shared" si="20"/>
        <v>6.9249793899422922</v>
      </c>
      <c r="AG102" s="484">
        <f t="shared" si="20"/>
        <v>6.9249793899422922</v>
      </c>
      <c r="AH102" s="484">
        <f t="shared" si="20"/>
        <v>6.9249793899422922</v>
      </c>
      <c r="AI102" s="484">
        <f t="shared" si="20"/>
        <v>6.9249793899422922</v>
      </c>
      <c r="AJ102" s="484">
        <f t="shared" si="20"/>
        <v>6.9249793899422922</v>
      </c>
      <c r="AK102" s="484">
        <f t="shared" si="20"/>
        <v>6.9249793899422922</v>
      </c>
    </row>
    <row r="103" spans="1:37">
      <c r="A103" s="77" t="s">
        <v>1208</v>
      </c>
      <c r="B103" s="50">
        <f>B102/100*B52*parameters!$C46</f>
        <v>0.13180398285030459</v>
      </c>
      <c r="C103" s="50">
        <f>C102/100*C52*parameters!$C46</f>
        <v>0.16650111922990576</v>
      </c>
      <c r="D103" s="50">
        <f>D102/100*D52*parameters!$C46</f>
        <v>0.19961233747835427</v>
      </c>
      <c r="E103" s="50">
        <f>E102/100*E52*parameters!$C46</f>
        <v>0.22469930841514676</v>
      </c>
      <c r="F103" s="50">
        <f>F102/100*F52*parameters!$C46</f>
        <v>0.25083260464005097</v>
      </c>
      <c r="G103" s="50">
        <f>G102/100*G52*parameters!$C46</f>
        <v>0.28872399112587804</v>
      </c>
      <c r="H103" s="50">
        <f>H102/100*H52*parameters!$C46</f>
        <v>0.28793674737063568</v>
      </c>
      <c r="I103" s="50">
        <f>I102/100*I52*parameters!$C46</f>
        <v>0.28435445619114369</v>
      </c>
      <c r="J103" s="50">
        <f>J102/100*J52*parameters!$C46</f>
        <v>0.28797815370720753</v>
      </c>
      <c r="K103" s="50">
        <f>K102/100*K52*parameters!$C46</f>
        <v>0.30563238241256524</v>
      </c>
      <c r="L103" s="749">
        <f>L102/100*L52*parameters!$C46</f>
        <v>0.311364516532675</v>
      </c>
      <c r="M103" s="569">
        <f>M102/100*M52*parameters!$C46</f>
        <v>0.33807751432373018</v>
      </c>
      <c r="N103" s="50">
        <f>N102/100*N52*parameters!$C46</f>
        <v>0.34014150212437039</v>
      </c>
      <c r="O103" s="50">
        <f>O102/100*O52*parameters!$C46</f>
        <v>0.33951153195622924</v>
      </c>
      <c r="P103" s="50">
        <f>P102/100*P52*parameters!$C46</f>
        <v>0.33884853532399273</v>
      </c>
      <c r="Q103" s="50">
        <f>Q102/100*Q52*parameters!$C46</f>
        <v>0.33497429904644294</v>
      </c>
      <c r="R103" s="50">
        <f>R102/100*R52*parameters!$C46</f>
        <v>0.32830632733108955</v>
      </c>
      <c r="S103" s="50">
        <f>S102/100*S52*parameters!$C46</f>
        <v>0.32103926206962946</v>
      </c>
      <c r="T103" s="50">
        <f>T102/100*T52*parameters!$C46</f>
        <v>0.31275710002389451</v>
      </c>
      <c r="U103" s="50">
        <f>U102/100*U52*parameters!$C46</f>
        <v>0.30389727452373583</v>
      </c>
      <c r="V103" s="50">
        <f>V102/100*V52*parameters!$C46</f>
        <v>0.29501902959924031</v>
      </c>
      <c r="W103" s="50">
        <f>W102/100*W52*parameters!$C46</f>
        <v>0.28808340892431972</v>
      </c>
      <c r="X103" s="50">
        <f>X102/100*X52*parameters!$C46</f>
        <v>0.28198806890930422</v>
      </c>
      <c r="Y103" s="50">
        <f>Y102/100*Y52*parameters!$C46</f>
        <v>0.27666112686570754</v>
      </c>
      <c r="Z103" s="50">
        <f>Z102/100*Z52*parameters!$C46</f>
        <v>0.27183634260296941</v>
      </c>
      <c r="AA103" s="50">
        <f>AA102/100*AA52*parameters!$C46</f>
        <v>0.2674972606177981</v>
      </c>
      <c r="AB103" s="50">
        <f>AB102/100*AB52*parameters!$C46</f>
        <v>0.26373308267722489</v>
      </c>
      <c r="AC103" s="50">
        <f>AC102/100*AC52*parameters!$C46</f>
        <v>0.26037173687982412</v>
      </c>
      <c r="AD103" s="50">
        <f>AD102/100*AD52*parameters!$C46</f>
        <v>0.25725269755056479</v>
      </c>
      <c r="AE103" s="50">
        <f>AE102/100*AE52*parameters!$C46</f>
        <v>0.25451038736061959</v>
      </c>
      <c r="AF103" s="50">
        <f>AF102/100*AF52*parameters!$C46</f>
        <v>0.25209920123327678</v>
      </c>
      <c r="AG103" s="50">
        <f>AG102/100*AG52*parameters!$C46</f>
        <v>0.25049728891796758</v>
      </c>
      <c r="AH103" s="50">
        <f>AH102/100*AH52*parameters!$C46</f>
        <v>0.24899456073989681</v>
      </c>
      <c r="AI103" s="50">
        <f>AI102/100*AI52*parameters!$C46</f>
        <v>0.24790520894675355</v>
      </c>
      <c r="AJ103" s="50">
        <f>AJ102/100*AJ52*parameters!$C46</f>
        <v>0.24716387231911743</v>
      </c>
      <c r="AK103" s="50">
        <f>AK102/100*AK52*parameters!$C46</f>
        <v>0.24689638857255319</v>
      </c>
    </row>
    <row r="104" spans="1:37">
      <c r="A104" s="77" t="s">
        <v>1209</v>
      </c>
      <c r="B104" s="50">
        <f>(1-(1-B102/100))*B52*parameters!$C31</f>
        <v>0.63163130208384644</v>
      </c>
      <c r="C104" s="50">
        <f>(1-(1-C102/100))*C52*parameters!$C31</f>
        <v>0.79790698629377776</v>
      </c>
      <c r="D104" s="50">
        <f>(1-(1-D102/100))*D52*parameters!$C31</f>
        <v>0.95658263056169646</v>
      </c>
      <c r="E104" s="50">
        <f>(1-(1-E102/100))*E52*parameters!$C31</f>
        <v>1.0768044613097281</v>
      </c>
      <c r="F104" s="50">
        <f>(1-(1-F102/100))*F52*parameters!$C31</f>
        <v>1.2020404941314866</v>
      </c>
      <c r="G104" s="50">
        <f>(1-(1-G102/100))*G52*parameters!$C31</f>
        <v>1.3836236698917153</v>
      </c>
      <c r="H104" s="50">
        <f>(1-(1-H102/100))*H52*parameters!$C31</f>
        <v>1.3798510388419698</v>
      </c>
      <c r="I104" s="50">
        <f>(1-(1-I102/100))*I52*parameters!$C31</f>
        <v>1.3626839761082445</v>
      </c>
      <c r="J104" s="50">
        <f>(1-(1-J102/100))*J52*parameters!$C31</f>
        <v>1.3800494663683465</v>
      </c>
      <c r="K104" s="50">
        <f>(1-(1-K102/100))*K52*parameters!$C31</f>
        <v>1.4646520953884103</v>
      </c>
      <c r="L104" s="749">
        <f>(1-(1-L102/100))*L52*parameters!$C31</f>
        <v>1.4921216396290884</v>
      </c>
      <c r="M104" s="569">
        <f>(1-(1-M102/100))*M52*parameters!$C31</f>
        <v>1.6201357194197588</v>
      </c>
      <c r="N104" s="50">
        <f>(1-(1-N102/100))*N52*parameters!$C31</f>
        <v>1.6300267657585064</v>
      </c>
      <c r="O104" s="50">
        <f>(1-(1-O102/100))*O52*parameters!$C31</f>
        <v>1.6270078214977028</v>
      </c>
      <c r="P104" s="50">
        <f>(1-(1-P102/100))*P52*parameters!$C31</f>
        <v>1.623830607751648</v>
      </c>
      <c r="Q104" s="50">
        <f>(1-(1-Q102/100))*Q52*parameters!$C31</f>
        <v>1.6052644851531486</v>
      </c>
      <c r="R104" s="50">
        <f>(1-(1-R102/100))*R52*parameters!$C31</f>
        <v>1.573310218174659</v>
      </c>
      <c r="S104" s="50">
        <f>(1-(1-S102/100))*S52*parameters!$C31</f>
        <v>1.5384849739433255</v>
      </c>
      <c r="T104" s="50">
        <f>(1-(1-T102/100))*T52*parameters!$C31</f>
        <v>1.4987951809348825</v>
      </c>
      <c r="U104" s="50">
        <f>(1-(1-U102/100))*U52*parameters!$C31</f>
        <v>1.4563371080004954</v>
      </c>
      <c r="V104" s="50">
        <f>(1-(1-V102/100))*V52*parameters!$C31</f>
        <v>1.4137907654651005</v>
      </c>
      <c r="W104" s="50">
        <f>(1-(1-W102/100))*W52*parameters!$C31</f>
        <v>1.3805538706238032</v>
      </c>
      <c r="X104" s="50">
        <f>(1-(1-X102/100))*X52*parameters!$C31</f>
        <v>1.3513437703895739</v>
      </c>
      <c r="Y104" s="50">
        <f>(1-(1-Y102/100))*Y52*parameters!$C31</f>
        <v>1.3258159884033227</v>
      </c>
      <c r="Z104" s="50">
        <f>(1-(1-Z102/100))*Z52*parameters!$C31</f>
        <v>1.3026946479078076</v>
      </c>
      <c r="AA104" s="50">
        <f>(1-(1-AA102/100))*AA52*parameters!$C31</f>
        <v>1.281900890808259</v>
      </c>
      <c r="AB104" s="50">
        <f>(1-(1-AB102/100))*AB52*parameters!$C31</f>
        <v>1.2638621899855391</v>
      </c>
      <c r="AC104" s="50">
        <f>(1-(1-AC102/100))*AC52*parameters!$C31</f>
        <v>1.247753942140118</v>
      </c>
      <c r="AD104" s="50">
        <f>(1-(1-AD102/100))*AD52*parameters!$C31</f>
        <v>1.2328068758209743</v>
      </c>
      <c r="AE104" s="50">
        <f>(1-(1-AE102/100))*AE52*parameters!$C31</f>
        <v>1.2196651716134457</v>
      </c>
      <c r="AF104" s="50">
        <f>(1-(1-AF102/100))*AF52*parameters!$C31</f>
        <v>1.2081102807805202</v>
      </c>
      <c r="AG104" s="50">
        <f>(1-(1-AG102/100))*AG52*parameters!$C31</f>
        <v>1.200433593478194</v>
      </c>
      <c r="AH104" s="50">
        <f>(1-(1-AH102/100))*AH52*parameters!$C31</f>
        <v>1.193232216590586</v>
      </c>
      <c r="AI104" s="50">
        <f>(1-(1-AI102/100))*AI52*parameters!$C31</f>
        <v>1.1880118228160523</v>
      </c>
      <c r="AJ104" s="50">
        <f>(1-(1-AJ102/100))*AJ52*parameters!$C31</f>
        <v>1.1844591879922013</v>
      </c>
      <c r="AK104" s="50">
        <f>(1-(1-AK102/100))*AK52*parameters!$C31</f>
        <v>1.1831773518634667</v>
      </c>
    </row>
    <row r="105" spans="1:37">
      <c r="A105"/>
      <c r="B105"/>
      <c r="C105"/>
      <c r="D105"/>
      <c r="E105"/>
      <c r="F105"/>
      <c r="G105"/>
      <c r="H105"/>
      <c r="I105"/>
      <c r="J105"/>
      <c r="K105"/>
    </row>
    <row r="107" spans="1:37">
      <c r="A107" s="630" t="s">
        <v>1274</v>
      </c>
    </row>
    <row r="108" spans="1:37">
      <c r="A108" s="91" t="s">
        <v>372</v>
      </c>
      <c r="L108" s="50">
        <f>L66*parameters!$C95</f>
        <v>16.112307949199842</v>
      </c>
      <c r="M108" s="50">
        <f>M66*parameters!$C95</f>
        <v>14.475251860430637</v>
      </c>
      <c r="N108" s="50">
        <f>N66*parameters!$C95</f>
        <v>12.902939184086019</v>
      </c>
      <c r="O108" s="50">
        <f>O66*parameters!$C95</f>
        <v>12.386791944153574</v>
      </c>
      <c r="P108" s="50">
        <f>P66*parameters!$C95</f>
        <v>11.870644704221128</v>
      </c>
      <c r="Q108" s="50">
        <f>Q66*parameters!$C95</f>
        <v>11.35449746428864</v>
      </c>
      <c r="R108" s="50">
        <f>R66*parameters!$C95</f>
        <v>9.0692795681925542</v>
      </c>
      <c r="S108" s="50">
        <f>S66*parameters!$C95</f>
        <v>8.8659510261302898</v>
      </c>
      <c r="T108" s="50">
        <f>T66*parameters!$C95</f>
        <v>7.4372659723851147</v>
      </c>
      <c r="U108" s="50">
        <f>U66*parameters!$C95</f>
        <v>7.2235561972231013</v>
      </c>
      <c r="V108" s="50">
        <f>V66*parameters!$C95</f>
        <v>7.0127298015541903</v>
      </c>
      <c r="W108" s="50">
        <f>W66*parameters!$C95</f>
        <v>4.623103326425908</v>
      </c>
      <c r="X108" s="50">
        <f>X66*parameters!$C95</f>
        <v>4.5918788026005988</v>
      </c>
      <c r="Y108" s="50">
        <f>Y66*parameters!$C95</f>
        <v>4.5708854278222866</v>
      </c>
      <c r="Z108" s="50">
        <f>Z66*parameters!$C95</f>
        <v>4.5799342703915675</v>
      </c>
      <c r="AA108" s="50">
        <f>AA66*parameters!$C95</f>
        <v>4.624042238280599</v>
      </c>
      <c r="AB108" s="50">
        <f>AB66*parameters!$C95</f>
        <v>4.6611824735985881</v>
      </c>
      <c r="AC108" s="50">
        <f>AC66*parameters!$C95</f>
        <v>4.7185992837843571</v>
      </c>
      <c r="AD108" s="50">
        <f>AD66*parameters!$C95</f>
        <v>4.7776954802622855</v>
      </c>
      <c r="AE108" s="50">
        <f>AE66*parameters!$C95</f>
        <v>4.8382287989925459</v>
      </c>
      <c r="AF108" s="50">
        <f>AF66*parameters!$C95</f>
        <v>4.9007741820912001</v>
      </c>
      <c r="AG108" s="50">
        <f>AG66*parameters!$C95</f>
        <v>4.9545883810270999</v>
      </c>
      <c r="AH108" s="50">
        <f>AH66*parameters!$C95</f>
        <v>5.010140444786682</v>
      </c>
      <c r="AI108" s="50">
        <f>AI66*parameters!$C95</f>
        <v>5.0645359501835419</v>
      </c>
      <c r="AJ108" s="50">
        <f>AJ66*parameters!$C95</f>
        <v>5.1178106433179833</v>
      </c>
      <c r="AK108" s="50">
        <f>AK66*parameters!$C95</f>
        <v>5.1699988122245264</v>
      </c>
    </row>
    <row r="109" spans="1:37">
      <c r="A109" s="91" t="s">
        <v>422</v>
      </c>
      <c r="L109" s="50">
        <f>L67*parameters!$C96</f>
        <v>7.2482775355121278</v>
      </c>
      <c r="M109" s="50">
        <f>M67*parameters!$C96</f>
        <v>6.0726321193736466</v>
      </c>
      <c r="N109" s="50">
        <f>N67*parameters!$C96</f>
        <v>6.0152885496992017</v>
      </c>
      <c r="O109" s="50">
        <f>O67*parameters!$C96</f>
        <v>6.0468845396642807</v>
      </c>
      <c r="P109" s="50">
        <f>P67*parameters!$C96</f>
        <v>6.078480529629358</v>
      </c>
      <c r="Q109" s="50">
        <f>Q67*parameters!$C96</f>
        <v>6.1100765195944104</v>
      </c>
      <c r="R109" s="50">
        <f>R67*parameters!$C96</f>
        <v>7.0831292430011672</v>
      </c>
      <c r="S109" s="50">
        <f>S67*parameters!$C96</f>
        <v>7.3160481980779926</v>
      </c>
      <c r="T109" s="50">
        <f>T67*parameters!$C96</f>
        <v>7.9845944024042579</v>
      </c>
      <c r="U109" s="50">
        <f>U67*parameters!$C96</f>
        <v>8.2212039960633252</v>
      </c>
      <c r="V109" s="50">
        <f>V67*parameters!$C96</f>
        <v>8.4567885177003959</v>
      </c>
      <c r="W109" s="50">
        <f>W67*parameters!$C96</f>
        <v>9.4669595994365032</v>
      </c>
      <c r="X109" s="50">
        <f>X67*parameters!$C96</f>
        <v>9.4780602491604462</v>
      </c>
      <c r="Y109" s="50">
        <f>Y67*parameters!$C96</f>
        <v>9.4855236167762769</v>
      </c>
      <c r="Z109" s="50">
        <f>Z67*parameters!$C96</f>
        <v>9.4823066571732824</v>
      </c>
      <c r="AA109" s="50">
        <f>AA67*parameters!$C96</f>
        <v>9.4666258063039361</v>
      </c>
      <c r="AB109" s="50">
        <f>AB67*parameters!$C96</f>
        <v>9.4534220583385107</v>
      </c>
      <c r="AC109" s="50">
        <f>AC67*parameters!$C96</f>
        <v>9.4330097727355646</v>
      </c>
      <c r="AD109" s="50">
        <f>AD67*parameters!$C96</f>
        <v>9.4120004474760695</v>
      </c>
      <c r="AE109" s="50">
        <f>AE67*parameters!$C96</f>
        <v>9.3904802099982536</v>
      </c>
      <c r="AF109" s="50">
        <f>AF67*parameters!$C96</f>
        <v>9.3682446622758189</v>
      </c>
      <c r="AG109" s="50">
        <f>AG67*parameters!$C96</f>
        <v>9.3491131432203485</v>
      </c>
      <c r="AH109" s="50">
        <f>AH67*parameters!$C96</f>
        <v>9.3293637947695185</v>
      </c>
      <c r="AI109" s="50">
        <f>AI67*parameters!$C96</f>
        <v>9.3100256150955687</v>
      </c>
      <c r="AJ109" s="50">
        <f>AJ67*parameters!$C96</f>
        <v>9.2910858960803324</v>
      </c>
      <c r="AK109" s="50">
        <f>AK67*parameters!$C96</f>
        <v>9.2725324479635063</v>
      </c>
    </row>
    <row r="110" spans="1:37">
      <c r="A110" s="91" t="s">
        <v>423</v>
      </c>
      <c r="L110" s="50">
        <f>L68*parameters!$C97</f>
        <v>0.58600000000000008</v>
      </c>
      <c r="M110" s="50">
        <f>M68*parameters!$C97</f>
        <v>0.58600000000000008</v>
      </c>
      <c r="N110" s="50">
        <f>N68*parameters!$C97</f>
        <v>0.70320000000000005</v>
      </c>
      <c r="O110" s="50">
        <f>O68*parameters!$C97</f>
        <v>0.70320000000000005</v>
      </c>
      <c r="P110" s="50">
        <f>P68*parameters!$C97</f>
        <v>0.70320000000000016</v>
      </c>
      <c r="Q110" s="50">
        <f>Q68*parameters!$C97</f>
        <v>0.70320000000000005</v>
      </c>
      <c r="R110" s="50">
        <f>R68*parameters!$C97</f>
        <v>0.70320000000000016</v>
      </c>
      <c r="S110" s="50">
        <f>S68*parameters!$C97</f>
        <v>0.70320000000000005</v>
      </c>
      <c r="T110" s="50">
        <f>T68*parameters!$C97</f>
        <v>0.70320000000000016</v>
      </c>
      <c r="U110" s="50">
        <f>U68*parameters!$C97</f>
        <v>0.70320000000000005</v>
      </c>
      <c r="V110" s="50">
        <f>V68*parameters!$C97</f>
        <v>0.70320000000000005</v>
      </c>
      <c r="W110" s="50">
        <f>W68*parameters!$C97</f>
        <v>0.70320000000000005</v>
      </c>
      <c r="X110" s="50">
        <f>X68*parameters!$C97</f>
        <v>0.70320000000000005</v>
      </c>
      <c r="Y110" s="50">
        <f>Y68*parameters!$C97</f>
        <v>0.70320000000000005</v>
      </c>
      <c r="Z110" s="50">
        <f>Z68*parameters!$C97</f>
        <v>0.70320000000000005</v>
      </c>
      <c r="AA110" s="50">
        <f>AA68*parameters!$C97</f>
        <v>0.70320000000000005</v>
      </c>
      <c r="AB110" s="50">
        <f>AB68*parameters!$C97</f>
        <v>0.70320000000000005</v>
      </c>
      <c r="AC110" s="50">
        <f>AC68*parameters!$C97</f>
        <v>0.70320000000000005</v>
      </c>
      <c r="AD110" s="50">
        <f>AD68*parameters!$C97</f>
        <v>0.70320000000000005</v>
      </c>
      <c r="AE110" s="50">
        <f>AE68*parameters!$C97</f>
        <v>0.70320000000000005</v>
      </c>
      <c r="AF110" s="50">
        <f>AF68*parameters!$C97</f>
        <v>0.70320000000000005</v>
      </c>
      <c r="AG110" s="50">
        <f>AG68*parameters!$C97</f>
        <v>0.70320000000000016</v>
      </c>
      <c r="AH110" s="50">
        <f>AH68*parameters!$C97</f>
        <v>0.70320000000000005</v>
      </c>
      <c r="AI110" s="50">
        <f>AI68*parameters!$C97</f>
        <v>0.70320000000000005</v>
      </c>
      <c r="AJ110" s="50">
        <f>AJ68*parameters!$C97</f>
        <v>0.70320000000000005</v>
      </c>
      <c r="AK110" s="50">
        <f>AK68*parameters!$C97</f>
        <v>0.70320000000000005</v>
      </c>
    </row>
    <row r="111" spans="1:37">
      <c r="A111" s="91" t="s">
        <v>424</v>
      </c>
      <c r="L111" s="50">
        <f>L69*parameters!$C98</f>
        <v>5.2749945939295842E-2</v>
      </c>
      <c r="M111" s="50">
        <f>M69*parameters!$C98</f>
        <v>6.9989034745930129E-2</v>
      </c>
      <c r="N111" s="50">
        <f>N69*parameters!$C98</f>
        <v>5.3616162904440282E-2</v>
      </c>
      <c r="O111" s="50">
        <f>O69*parameters!$C98</f>
        <v>4.9845116060814612E-2</v>
      </c>
      <c r="P111" s="50">
        <f>P69*parameters!$C98</f>
        <v>4.6074069217188936E-2</v>
      </c>
      <c r="Q111" s="50">
        <f>Q69*parameters!$C98</f>
        <v>4.2303022373563266E-2</v>
      </c>
      <c r="R111" s="50">
        <f>R69*parameters!$C98</f>
        <v>3.8531975529937597E-2</v>
      </c>
      <c r="S111" s="50">
        <f>S69*parameters!$C98</f>
        <v>3.4760928686311927E-2</v>
      </c>
      <c r="T111" s="50">
        <f>T69*parameters!$C98</f>
        <v>3.0989881842686254E-2</v>
      </c>
      <c r="U111" s="50">
        <f>U69*parameters!$C98</f>
        <v>2.7218834999059211E-2</v>
      </c>
      <c r="V111" s="50">
        <f>V69*parameters!$C98</f>
        <v>2.3447788155433538E-2</v>
      </c>
      <c r="W111" s="50">
        <f>W69*parameters!$C98</f>
        <v>1.9676741311807869E-2</v>
      </c>
      <c r="X111" s="50">
        <f>X69*parameters!$C98</f>
        <v>1.9676741311807869E-2</v>
      </c>
      <c r="Y111" s="50">
        <f>Y69*parameters!$C98</f>
        <v>1.9676741311807869E-2</v>
      </c>
      <c r="Z111" s="50">
        <f>Z69*parameters!$C98</f>
        <v>1.9676741311807865E-2</v>
      </c>
      <c r="AA111" s="50">
        <f>AA69*parameters!$C98</f>
        <v>1.9676741311807865E-2</v>
      </c>
      <c r="AB111" s="50">
        <f>AB69*parameters!$C98</f>
        <v>1.9676741311807869E-2</v>
      </c>
      <c r="AC111" s="50">
        <f>AC69*parameters!$C98</f>
        <v>1.9676741311807869E-2</v>
      </c>
      <c r="AD111" s="50">
        <f>AD69*parameters!$C98</f>
        <v>1.9676741311807872E-2</v>
      </c>
      <c r="AE111" s="50">
        <f>AE69*parameters!$C98</f>
        <v>1.9676741311807869E-2</v>
      </c>
      <c r="AF111" s="50">
        <f>AF69*parameters!$C98</f>
        <v>1.9676741311807869E-2</v>
      </c>
      <c r="AG111" s="50">
        <f>AG69*parameters!$C98</f>
        <v>1.9676741311807865E-2</v>
      </c>
      <c r="AH111" s="50">
        <f>AH69*parameters!$C98</f>
        <v>1.9676741311807869E-2</v>
      </c>
      <c r="AI111" s="50">
        <f>AI69*parameters!$C98</f>
        <v>1.9676741311807869E-2</v>
      </c>
      <c r="AJ111" s="50">
        <f>AJ69*parameters!$C98</f>
        <v>1.9676741311807872E-2</v>
      </c>
      <c r="AK111" s="50">
        <f>AK69*parameters!$C98</f>
        <v>1.9676741311807872E-2</v>
      </c>
    </row>
    <row r="112" spans="1:37">
      <c r="A112" s="91" t="s">
        <v>425</v>
      </c>
      <c r="L112" s="50">
        <f>L70*parameters!$C99</f>
        <v>4.9362545863285332</v>
      </c>
      <c r="M112" s="50">
        <f>M70*parameters!$C99</f>
        <v>5.340691118601594</v>
      </c>
      <c r="N112" s="50">
        <f>N70*parameters!$C99</f>
        <v>4.9269081863319624</v>
      </c>
      <c r="O112" s="50">
        <f>O70*parameters!$C99</f>
        <v>4.8903522460810613</v>
      </c>
      <c r="P112" s="50">
        <f>P70*parameters!$C99</f>
        <v>4.8537963058301603</v>
      </c>
      <c r="Q112" s="50">
        <f>Q70*parameters!$C99</f>
        <v>4.8172403655792584</v>
      </c>
      <c r="R112" s="50">
        <f>R70*parameters!$C99</f>
        <v>4.7806844253283458</v>
      </c>
      <c r="S112" s="50">
        <f>S70*parameters!$C99</f>
        <v>4.7441284850774448</v>
      </c>
      <c r="T112" s="50">
        <f>T70*parameters!$C99</f>
        <v>4.7075725448265437</v>
      </c>
      <c r="U112" s="50">
        <f>U70*parameters!$C99</f>
        <v>4.6710166045756303</v>
      </c>
      <c r="V112" s="50">
        <f>V70*parameters!$C99</f>
        <v>4.6344606643247293</v>
      </c>
      <c r="W112" s="50">
        <f>W70*parameters!$C99</f>
        <v>4.5979047240738282</v>
      </c>
      <c r="X112" s="50">
        <f>X70*parameters!$C99</f>
        <v>4.5979047240738282</v>
      </c>
      <c r="Y112" s="50">
        <f>Y70*parameters!$C99</f>
        <v>4.5979047240738282</v>
      </c>
      <c r="Z112" s="50">
        <f>Z70*parameters!$C99</f>
        <v>4.5979047240738282</v>
      </c>
      <c r="AA112" s="50">
        <f>AA70*parameters!$C99</f>
        <v>4.5979047240738282</v>
      </c>
      <c r="AB112" s="50">
        <f>AB70*parameters!$C99</f>
        <v>4.5979047240738282</v>
      </c>
      <c r="AC112" s="50">
        <f>AC70*parameters!$C99</f>
        <v>4.5979047240738282</v>
      </c>
      <c r="AD112" s="50">
        <f>AD70*parameters!$C99</f>
        <v>4.5979047240738282</v>
      </c>
      <c r="AE112" s="50">
        <f>AE70*parameters!$C99</f>
        <v>4.5979047240738282</v>
      </c>
      <c r="AF112" s="50">
        <f>AF70*parameters!$C99</f>
        <v>4.5979047240738282</v>
      </c>
      <c r="AG112" s="50">
        <f>AG70*parameters!$C99</f>
        <v>4.5979047240738282</v>
      </c>
      <c r="AH112" s="50">
        <f>AH70*parameters!$C99</f>
        <v>4.5979047240738282</v>
      </c>
      <c r="AI112" s="50">
        <f>AI70*parameters!$C99</f>
        <v>4.5979047240738282</v>
      </c>
      <c r="AJ112" s="50">
        <f>AJ70*parameters!$C99</f>
        <v>4.5979047240738282</v>
      </c>
      <c r="AK112" s="50">
        <f>AK70*parameters!$C99</f>
        <v>4.5979047240738282</v>
      </c>
    </row>
    <row r="113" spans="1:37">
      <c r="A113" s="91" t="s">
        <v>249</v>
      </c>
      <c r="L113" s="50">
        <f>L71*parameters!$C100</f>
        <v>56.545468386028226</v>
      </c>
      <c r="M113" s="50">
        <f>M71*parameters!$C100</f>
        <v>57.51127883879316</v>
      </c>
      <c r="N113" s="50">
        <f>N71*parameters!$C100</f>
        <v>56.780224044826369</v>
      </c>
      <c r="O113" s="50">
        <f>O71*parameters!$C100</f>
        <v>56.313265504069186</v>
      </c>
      <c r="P113" s="50">
        <f>P71*parameters!$C100</f>
        <v>55.846306963312024</v>
      </c>
      <c r="Q113" s="50">
        <f>Q71*parameters!$C100</f>
        <v>55.379348422554884</v>
      </c>
      <c r="R113" s="50">
        <f>R71*parameters!$C100</f>
        <v>55.788261409355528</v>
      </c>
      <c r="S113" s="50">
        <f>S71*parameters!$C100</f>
        <v>55.626917747007852</v>
      </c>
      <c r="T113" s="50">
        <f>T71*parameters!$C100</f>
        <v>55.801215216121108</v>
      </c>
      <c r="U113" s="50">
        <f>U71*parameters!$C100</f>
        <v>55.642715108926865</v>
      </c>
      <c r="V113" s="50">
        <f>V71*parameters!$C100</f>
        <v>55.483425206480113</v>
      </c>
      <c r="W113" s="50">
        <f>W71*parameters!$C100</f>
        <v>55.920937064928715</v>
      </c>
      <c r="X113" s="50">
        <f>X71*parameters!$C100</f>
        <v>55.929489869280872</v>
      </c>
      <c r="Y113" s="50">
        <f>Y71*parameters!$C100</f>
        <v>55.935240228459278</v>
      </c>
      <c r="Z113" s="50">
        <f>Z71*parameters!$C100</f>
        <v>55.932761632451168</v>
      </c>
      <c r="AA113" s="50">
        <f>AA71*parameters!$C100</f>
        <v>55.920679884725047</v>
      </c>
      <c r="AB113" s="50">
        <f>AB71*parameters!$C100</f>
        <v>55.910506689833596</v>
      </c>
      <c r="AC113" s="50">
        <f>AC71*parameters!$C100</f>
        <v>55.894779476608797</v>
      </c>
      <c r="AD113" s="50">
        <f>AD71*parameters!$C100</f>
        <v>55.87859225757353</v>
      </c>
      <c r="AE113" s="50">
        <f>AE71*parameters!$C100</f>
        <v>55.862011392008299</v>
      </c>
      <c r="AF113" s="50">
        <f>AF71*parameters!$C100</f>
        <v>55.844879395768224</v>
      </c>
      <c r="AG113" s="50">
        <f>AG71*parameters!$C100</f>
        <v>55.830138984755344</v>
      </c>
      <c r="AH113" s="50">
        <f>AH71*parameters!$C100</f>
        <v>55.814922549899464</v>
      </c>
      <c r="AI113" s="50">
        <f>AI71*parameters!$C100</f>
        <v>55.800022911464666</v>
      </c>
      <c r="AJ113" s="50">
        <f>AJ71*parameters!$C100</f>
        <v>55.785430278127848</v>
      </c>
      <c r="AK113" s="50">
        <f>AK71*parameters!$C100</f>
        <v>55.771135257949098</v>
      </c>
    </row>
    <row r="114" spans="1:37">
      <c r="A114" s="91" t="s">
        <v>426</v>
      </c>
      <c r="L114" s="50">
        <f>L72*parameters!$C101</f>
        <v>0.44402932003052603</v>
      </c>
      <c r="M114" s="50">
        <f>M72*parameters!$C101</f>
        <v>0.75481924825976021</v>
      </c>
      <c r="N114" s="50">
        <f>N72*parameters!$C101</f>
        <v>0.47240197210961293</v>
      </c>
      <c r="O114" s="50">
        <f>O72*parameters!$C101</f>
        <v>0.47448436921986226</v>
      </c>
      <c r="P114" s="50">
        <f>P72*parameters!$C101</f>
        <v>0.4765667663301108</v>
      </c>
      <c r="Q114" s="50">
        <f>Q72*parameters!$C101</f>
        <v>0.47864916344036007</v>
      </c>
      <c r="R114" s="50">
        <f>R72*parameters!$C101</f>
        <v>0.48073156055060867</v>
      </c>
      <c r="S114" s="50">
        <f>S72*parameters!$C101</f>
        <v>0.48281395766085794</v>
      </c>
      <c r="T114" s="50">
        <f>T72*parameters!$C101</f>
        <v>0.48489635477110654</v>
      </c>
      <c r="U114" s="50">
        <f>U72*parameters!$C101</f>
        <v>0.48697875188135581</v>
      </c>
      <c r="V114" s="50">
        <f>V72*parameters!$C101</f>
        <v>0.48906114899160441</v>
      </c>
      <c r="W114" s="50">
        <f>W72*parameters!$C101</f>
        <v>0.49114354610185368</v>
      </c>
      <c r="X114" s="50">
        <f>X72*parameters!$C101</f>
        <v>0.49114354610185368</v>
      </c>
      <c r="Y114" s="50">
        <f>Y72*parameters!$C101</f>
        <v>0.49114354610185368</v>
      </c>
      <c r="Z114" s="50">
        <f>Z72*parameters!$C101</f>
        <v>0.49114354610185368</v>
      </c>
      <c r="AA114" s="50">
        <f>AA72*parameters!$C101</f>
        <v>0.49114354610185368</v>
      </c>
      <c r="AB114" s="50">
        <f>AB72*parameters!$C101</f>
        <v>0.49114354610185368</v>
      </c>
      <c r="AC114" s="50">
        <f>AC72*parameters!$C101</f>
        <v>0.49114354610185368</v>
      </c>
      <c r="AD114" s="50">
        <f>AD72*parameters!$C101</f>
        <v>0.49114354610185368</v>
      </c>
      <c r="AE114" s="50">
        <f>AE72*parameters!$C101</f>
        <v>0.49114354610185368</v>
      </c>
      <c r="AF114" s="50">
        <f>AF72*parameters!$C101</f>
        <v>0.49114354610185368</v>
      </c>
      <c r="AG114" s="50">
        <f>AG72*parameters!$C101</f>
        <v>0.49114354610185368</v>
      </c>
      <c r="AH114" s="50">
        <f>AH72*parameters!$C101</f>
        <v>0.49114354610185368</v>
      </c>
      <c r="AI114" s="50">
        <f>AI72*parameters!$C101</f>
        <v>0.49114354610185368</v>
      </c>
      <c r="AJ114" s="50">
        <f>AJ72*parameters!$C101</f>
        <v>0.49114354610185368</v>
      </c>
      <c r="AK114" s="50">
        <f>AK72*parameters!$C101</f>
        <v>0.49114354610185368</v>
      </c>
    </row>
    <row r="115" spans="1:37">
      <c r="A115" s="91" t="s">
        <v>427</v>
      </c>
      <c r="L115" s="50">
        <f>L73*parameters!$C102</f>
        <v>1.6317744765067563E-2</v>
      </c>
      <c r="M115" s="50">
        <f>M73*parameters!$C102</f>
        <v>0</v>
      </c>
      <c r="N115" s="50">
        <f>N73*parameters!$C102</f>
        <v>1.0874496452782399E-2</v>
      </c>
      <c r="O115" s="50">
        <f>O73*parameters!$C102</f>
        <v>1.0133061929792752E-2</v>
      </c>
      <c r="P115" s="50">
        <f>P73*parameters!$C102</f>
        <v>9.3916274068031047E-3</v>
      </c>
      <c r="Q115" s="50">
        <f>Q73*parameters!$C102</f>
        <v>8.6501928838134557E-3</v>
      </c>
      <c r="R115" s="50">
        <f>R73*parameters!$C102</f>
        <v>7.9087583608234979E-3</v>
      </c>
      <c r="S115" s="50">
        <f>S73*parameters!$C102</f>
        <v>7.1673238378338498E-3</v>
      </c>
      <c r="T115" s="50">
        <f>T73*parameters!$C102</f>
        <v>6.4258893148442017E-3</v>
      </c>
      <c r="U115" s="50">
        <f>U73*parameters!$C102</f>
        <v>5.6844547918545535E-3</v>
      </c>
      <c r="V115" s="50">
        <f>V73*parameters!$C102</f>
        <v>4.9430202688649054E-3</v>
      </c>
      <c r="W115" s="50">
        <f>W73*parameters!$C102</f>
        <v>4.2015857458752581E-3</v>
      </c>
      <c r="X115" s="50">
        <f>X73*parameters!$C102</f>
        <v>4.2015857458752581E-3</v>
      </c>
      <c r="Y115" s="50">
        <f>Y73*parameters!$C102</f>
        <v>4.2015857458752581E-3</v>
      </c>
      <c r="Z115" s="50">
        <f>Z73*parameters!$C102</f>
        <v>4.2015857458752581E-3</v>
      </c>
      <c r="AA115" s="50">
        <f>AA73*parameters!$C102</f>
        <v>4.2015857458752581E-3</v>
      </c>
      <c r="AB115" s="50">
        <f>AB73*parameters!$C102</f>
        <v>4.2015857458752581E-3</v>
      </c>
      <c r="AC115" s="50">
        <f>AC73*parameters!$C102</f>
        <v>4.2015857458752581E-3</v>
      </c>
      <c r="AD115" s="50">
        <f>AD73*parameters!$C102</f>
        <v>4.2015857458752581E-3</v>
      </c>
      <c r="AE115" s="50">
        <f>AE73*parameters!$C102</f>
        <v>4.2015857458752581E-3</v>
      </c>
      <c r="AF115" s="50">
        <f>AF73*parameters!$C102</f>
        <v>4.2015857458752581E-3</v>
      </c>
      <c r="AG115" s="50">
        <f>AG73*parameters!$C102</f>
        <v>4.2015857458752581E-3</v>
      </c>
      <c r="AH115" s="50">
        <f>AH73*parameters!$C102</f>
        <v>4.2015857458752581E-3</v>
      </c>
      <c r="AI115" s="50">
        <f>AI73*parameters!$C102</f>
        <v>4.2015857458752581E-3</v>
      </c>
      <c r="AJ115" s="50">
        <f>AJ73*parameters!$C102</f>
        <v>4.2015857458752581E-3</v>
      </c>
      <c r="AK115" s="50">
        <f>AK73*parameters!$C102</f>
        <v>4.2015857458752581E-3</v>
      </c>
    </row>
    <row r="116" spans="1:37">
      <c r="A116" s="91" t="s">
        <v>428</v>
      </c>
      <c r="L116" s="50">
        <f>L74*parameters!$C103</f>
        <v>1.2819000256210207</v>
      </c>
      <c r="M116" s="50">
        <f>M74*parameters!$C103</f>
        <v>2.3361077192420185</v>
      </c>
      <c r="N116" s="50">
        <f>N74*parameters!$C103</f>
        <v>3.9060000000000001</v>
      </c>
      <c r="O116" s="50">
        <f>O74*parameters!$C103</f>
        <v>4.4639999999999995</v>
      </c>
      <c r="P116" s="50">
        <f>P74*parameters!$C103</f>
        <v>5.0219999999999994</v>
      </c>
      <c r="Q116" s="50">
        <f>Q74*parameters!$C103</f>
        <v>5.58</v>
      </c>
      <c r="R116" s="50">
        <f>R74*parameters!$C103</f>
        <v>5.6392060377219053</v>
      </c>
      <c r="S116" s="50">
        <f>S74*parameters!$C103</f>
        <v>5.6396813242026154</v>
      </c>
      <c r="T116" s="50">
        <f>T74*parameters!$C103</f>
        <v>5.6747243019633586</v>
      </c>
      <c r="U116" s="50">
        <f>U74*parameters!$C103</f>
        <v>5.6754924462837861</v>
      </c>
      <c r="V116" s="50">
        <f>V74*parameters!$C103</f>
        <v>5.6761792495649273</v>
      </c>
      <c r="W116" s="50">
        <f>W74*parameters!$C103</f>
        <v>5.7383306860279841</v>
      </c>
      <c r="X116" s="50">
        <f>X74*parameters!$C103</f>
        <v>5.7392115396323575</v>
      </c>
      <c r="Y116" s="50">
        <f>Y74*parameters!$C103</f>
        <v>5.7398037693151833</v>
      </c>
      <c r="Z116" s="50">
        <f>Z74*parameters!$C103</f>
        <v>5.7395484986299641</v>
      </c>
      <c r="AA116" s="50">
        <f>AA74*parameters!$C103</f>
        <v>5.7383041990302628</v>
      </c>
      <c r="AB116" s="50">
        <f>AB74*parameters!$C103</f>
        <v>5.7372564613504116</v>
      </c>
      <c r="AC116" s="50">
        <f>AC74*parameters!$C103</f>
        <v>5.7356367151378924</v>
      </c>
      <c r="AD116" s="50">
        <f>AD74*parameters!$C103</f>
        <v>5.7339695929116683</v>
      </c>
      <c r="AE116" s="50">
        <f>AE74*parameters!$C103</f>
        <v>5.7322619290162447</v>
      </c>
      <c r="AF116" s="50">
        <f>AF74*parameters!$C103</f>
        <v>5.7304975041543109</v>
      </c>
      <c r="AG116" s="50">
        <f>AG74*parameters!$C103</f>
        <v>5.7289793887343805</v>
      </c>
      <c r="AH116" s="50">
        <f>AH74*parameters!$C103</f>
        <v>5.727412247603044</v>
      </c>
      <c r="AI116" s="50">
        <f>AI74*parameters!$C103</f>
        <v>5.725877733345639</v>
      </c>
      <c r="AJ116" s="50">
        <f>AJ74*parameters!$C103</f>
        <v>5.7243748375534746</v>
      </c>
      <c r="AK116" s="50">
        <f>AK74*parameters!$C103</f>
        <v>5.7229025929503479</v>
      </c>
    </row>
    <row r="117" spans="1:37">
      <c r="A117" s="91" t="s">
        <v>255</v>
      </c>
      <c r="L117" s="50">
        <f>L75*parameters!$C104</f>
        <v>7.3489711947109359E-3</v>
      </c>
      <c r="M117" s="50">
        <f>M75*parameters!$C104</f>
        <v>2.9420130918460267E-3</v>
      </c>
      <c r="N117" s="50">
        <f>N75*parameters!$C104</f>
        <v>5.4747824524374036E-3</v>
      </c>
      <c r="O117" s="50">
        <f>O75*parameters!$C104</f>
        <v>6.1402048050501305E-3</v>
      </c>
      <c r="P117" s="50">
        <f>P75*parameters!$C104</f>
        <v>6.8056271576628575E-3</v>
      </c>
      <c r="Q117" s="50">
        <f>Q75*parameters!$C104</f>
        <v>7.4710495102758394E-3</v>
      </c>
      <c r="R117" s="50">
        <f>R75*parameters!$C104</f>
        <v>8.6335127420315724E-2</v>
      </c>
      <c r="S117" s="50">
        <f>S75*parameters!$C104</f>
        <v>8.7628302705335656E-2</v>
      </c>
      <c r="T117" s="50">
        <f>T75*parameters!$C104</f>
        <v>0.13457808815771122</v>
      </c>
      <c r="U117" s="50">
        <f>U75*parameters!$C104</f>
        <v>0.13625806671848897</v>
      </c>
      <c r="V117" s="50">
        <f>V75*parameters!$C104</f>
        <v>0.13783061096751736</v>
      </c>
      <c r="W117" s="50">
        <f>W75*parameters!$C104</f>
        <v>0.22058493775251853</v>
      </c>
      <c r="X117" s="50">
        <f>X75*parameters!$C104</f>
        <v>0.22174835909019569</v>
      </c>
      <c r="Y117" s="50">
        <f>Y75*parameters!$C104</f>
        <v>0.22253056926267378</v>
      </c>
      <c r="Z117" s="50">
        <f>Z75*parameters!$C104</f>
        <v>0.22219341066947054</v>
      </c>
      <c r="AA117" s="50">
        <f>AA75*parameters!$C104</f>
        <v>0.22054995402972252</v>
      </c>
      <c r="AB117" s="50">
        <f>AB75*parameters!$C104</f>
        <v>0.21916611411923925</v>
      </c>
      <c r="AC117" s="50">
        <f>AC75*parameters!$C104</f>
        <v>0.21702677189947633</v>
      </c>
      <c r="AD117" s="50">
        <f>AD75*parameters!$C104</f>
        <v>0.21482485598419659</v>
      </c>
      <c r="AE117" s="50">
        <f>AE75*parameters!$C104</f>
        <v>0.21256939309722983</v>
      </c>
      <c r="AF117" s="50">
        <f>AF75*parameters!$C104</f>
        <v>0.21023896097671876</v>
      </c>
      <c r="AG117" s="50">
        <f>AG75*parameters!$C104</f>
        <v>0.20823385154215066</v>
      </c>
      <c r="AH117" s="50">
        <f>AH75*parameters!$C104</f>
        <v>0.20616398951025922</v>
      </c>
      <c r="AI117" s="50">
        <f>AI75*parameters!$C104</f>
        <v>0.20413722067924378</v>
      </c>
      <c r="AJ117" s="50">
        <f>AJ75*parameters!$C104</f>
        <v>0.20215221315446708</v>
      </c>
      <c r="AK117" s="50">
        <f>AK75*parameters!$C104</f>
        <v>0.20020768936861658</v>
      </c>
    </row>
    <row r="118" spans="1:37">
      <c r="A118" s="91" t="s">
        <v>374</v>
      </c>
      <c r="L118" s="50">
        <f>L76*parameters!$C105</f>
        <v>8.8330590396783218E-2</v>
      </c>
      <c r="M118" s="50">
        <f>M76*parameters!$C105</f>
        <v>9.929003827696288E-2</v>
      </c>
      <c r="N118" s="50">
        <f>N76*parameters!$C105</f>
        <v>9.4823585004695468E-2</v>
      </c>
      <c r="O118" s="50">
        <f>O76*parameters!$C105</f>
        <v>0.10388747904418454</v>
      </c>
      <c r="P118" s="50">
        <f>P76*parameters!$C105</f>
        <v>0.11295137308367359</v>
      </c>
      <c r="Q118" s="50">
        <f>Q76*parameters!$C105</f>
        <v>0.12201526712316266</v>
      </c>
      <c r="R118" s="50">
        <f>R76*parameters!$C105</f>
        <v>0.13107916116265173</v>
      </c>
      <c r="S118" s="50">
        <f>S76*parameters!$C105</f>
        <v>0.14014305520214079</v>
      </c>
      <c r="T118" s="50">
        <f>T76*parameters!$C105</f>
        <v>0.14920694924162983</v>
      </c>
      <c r="U118" s="50">
        <f>U76*parameters!$C105</f>
        <v>0.1582708432811189</v>
      </c>
      <c r="V118" s="50">
        <f>V76*parameters!$C105</f>
        <v>0.16733473732060797</v>
      </c>
      <c r="W118" s="50">
        <f>W76*parameters!$C105</f>
        <v>0.17639863136009704</v>
      </c>
      <c r="X118" s="50">
        <f>X76*parameters!$C105</f>
        <v>0.17639863136009704</v>
      </c>
      <c r="Y118" s="50">
        <f>Y76*parameters!$C105</f>
        <v>0.17639863136009704</v>
      </c>
      <c r="Z118" s="50">
        <f>Z76*parameters!$C105</f>
        <v>0.17639863136009704</v>
      </c>
      <c r="AA118" s="50">
        <f>AA76*parameters!$C105</f>
        <v>0.17639863136009704</v>
      </c>
      <c r="AB118" s="50">
        <f>AB76*parameters!$C105</f>
        <v>0.17639863136009704</v>
      </c>
      <c r="AC118" s="50">
        <f>AC76*parameters!$C105</f>
        <v>0.17639863136009704</v>
      </c>
      <c r="AD118" s="50">
        <f>AD76*parameters!$C105</f>
        <v>0.17639863136009704</v>
      </c>
      <c r="AE118" s="50">
        <f>AE76*parameters!$C105</f>
        <v>0.17639863136009704</v>
      </c>
      <c r="AF118" s="50">
        <f>AF76*parameters!$C105</f>
        <v>0.17639863136009704</v>
      </c>
      <c r="AG118" s="50">
        <f>AG76*parameters!$C105</f>
        <v>0.17639863136009704</v>
      </c>
      <c r="AH118" s="50">
        <f>AH76*parameters!$C105</f>
        <v>0.17639863136009704</v>
      </c>
      <c r="AI118" s="50">
        <f>AI76*parameters!$C105</f>
        <v>0.17639863136009704</v>
      </c>
      <c r="AJ118" s="50">
        <f>AJ76*parameters!$C105</f>
        <v>0.17639863136009701</v>
      </c>
      <c r="AK118" s="50">
        <f>AK76*parameters!$C105</f>
        <v>0.17639863136009701</v>
      </c>
    </row>
    <row r="119" spans="1:37">
      <c r="A119" s="91" t="s">
        <v>373</v>
      </c>
      <c r="L119" s="50">
        <f>L77*parameters!$C106</f>
        <v>0.12397715387112629</v>
      </c>
      <c r="M119" s="50">
        <f>M77*parameters!$C106</f>
        <v>0.12518931226311597</v>
      </c>
      <c r="N119" s="50">
        <f>N77*parameters!$C106</f>
        <v>0.27536181667760901</v>
      </c>
      <c r="O119" s="50">
        <f>O77*parameters!$C106</f>
        <v>0.27536181667760901</v>
      </c>
      <c r="P119" s="50">
        <f>P77*parameters!$C106</f>
        <v>0.27536181667760901</v>
      </c>
      <c r="Q119" s="50">
        <f>Q77*parameters!$C106</f>
        <v>0.27536181667760901</v>
      </c>
      <c r="R119" s="50">
        <f>R77*parameters!$C106</f>
        <v>0.27536181667760901</v>
      </c>
      <c r="S119" s="50">
        <f>S77*parameters!$C106</f>
        <v>0.27536181667760901</v>
      </c>
      <c r="T119" s="50">
        <f>T77*parameters!$C106</f>
        <v>0.27536181667760901</v>
      </c>
      <c r="U119" s="50">
        <f>U77*parameters!$C106</f>
        <v>0.27536181667760901</v>
      </c>
      <c r="V119" s="50">
        <f>V77*parameters!$C106</f>
        <v>0.27536181667760901</v>
      </c>
      <c r="W119" s="50">
        <f>W77*parameters!$C106</f>
        <v>0.27536181667760901</v>
      </c>
      <c r="X119" s="50">
        <f>X77*parameters!$C106</f>
        <v>0.27536181667760901</v>
      </c>
      <c r="Y119" s="50">
        <f>Y77*parameters!$C106</f>
        <v>0.27536181667760901</v>
      </c>
      <c r="Z119" s="50">
        <f>Z77*parameters!$C106</f>
        <v>0.27536181667760901</v>
      </c>
      <c r="AA119" s="50">
        <f>AA77*parameters!$C106</f>
        <v>0.27536181667760901</v>
      </c>
      <c r="AB119" s="50">
        <f>AB77*parameters!$C106</f>
        <v>0.27536181667760901</v>
      </c>
      <c r="AC119" s="50">
        <f>AC77*parameters!$C106</f>
        <v>0.27536181667760901</v>
      </c>
      <c r="AD119" s="50">
        <f>AD77*parameters!$C106</f>
        <v>0.27536181667760901</v>
      </c>
      <c r="AE119" s="50">
        <f>AE77*parameters!$C106</f>
        <v>0.27536181667760901</v>
      </c>
      <c r="AF119" s="50">
        <f>AF77*parameters!$C106</f>
        <v>0.27536181667760901</v>
      </c>
      <c r="AG119" s="50">
        <f>AG77*parameters!$C106</f>
        <v>0.27536181667760901</v>
      </c>
      <c r="AH119" s="50">
        <f>AH77*parameters!$C106</f>
        <v>0.27536181667760901</v>
      </c>
      <c r="AI119" s="50">
        <f>AI77*parameters!$C106</f>
        <v>0.27536181667760901</v>
      </c>
      <c r="AJ119" s="50">
        <f>AJ77*parameters!$C106</f>
        <v>0.27536181667760901</v>
      </c>
      <c r="AK119" s="50">
        <f>AK77*parameters!$C106</f>
        <v>0.27536181667760901</v>
      </c>
    </row>
    <row r="120" spans="1:37">
      <c r="A120" s="91" t="s">
        <v>375</v>
      </c>
      <c r="L120" s="50">
        <f>L78*parameters!$C107</f>
        <v>5.6075651540036874E-2</v>
      </c>
      <c r="M120" s="50">
        <f>M78*parameters!$C107</f>
        <v>5.439055432564488E-2</v>
      </c>
      <c r="N120" s="50">
        <f>N78*parameters!$C107</f>
        <v>6.5624659151284792E-2</v>
      </c>
      <c r="O120" s="50">
        <f>O78*parameters!$C107</f>
        <v>7.0521207485766638E-2</v>
      </c>
      <c r="P120" s="50">
        <f>P78*parameters!$C107</f>
        <v>7.5417755820249857E-2</v>
      </c>
      <c r="Q120" s="50">
        <f>Q78*parameters!$C107</f>
        <v>8.0314304154731689E-2</v>
      </c>
      <c r="R120" s="50">
        <f>R78*parameters!$C107</f>
        <v>8.5210852489214908E-2</v>
      </c>
      <c r="S120" s="50">
        <f>S78*parameters!$C107</f>
        <v>9.0107400823696754E-2</v>
      </c>
      <c r="T120" s="50">
        <f>T78*parameters!$C107</f>
        <v>9.5003949158179973E-2</v>
      </c>
      <c r="U120" s="50">
        <f>U78*parameters!$C107</f>
        <v>9.9900497492661819E-2</v>
      </c>
      <c r="V120" s="50">
        <f>V78*parameters!$C107</f>
        <v>0.10479704582714502</v>
      </c>
      <c r="W120" s="50">
        <f>W78*parameters!$C107</f>
        <v>0.10969359416162687</v>
      </c>
      <c r="X120" s="50">
        <f>X78*parameters!$C107</f>
        <v>0.10969359416162687</v>
      </c>
      <c r="Y120" s="50">
        <f>Y78*parameters!$C107</f>
        <v>0.10969359416162687</v>
      </c>
      <c r="Z120" s="50">
        <f>Z78*parameters!$C107</f>
        <v>0.10969359416162687</v>
      </c>
      <c r="AA120" s="50">
        <f>AA78*parameters!$C107</f>
        <v>0.10969359416162687</v>
      </c>
      <c r="AB120" s="50">
        <f>AB78*parameters!$C107</f>
        <v>0.10969359416162687</v>
      </c>
      <c r="AC120" s="50">
        <f>AC78*parameters!$C107</f>
        <v>0.10969359416162687</v>
      </c>
      <c r="AD120" s="50">
        <f>AD78*parameters!$C107</f>
        <v>0.10969359416162687</v>
      </c>
      <c r="AE120" s="50">
        <f>AE78*parameters!$C107</f>
        <v>0.10969359416162687</v>
      </c>
      <c r="AF120" s="50">
        <f>AF78*parameters!$C107</f>
        <v>0.10969359416162687</v>
      </c>
      <c r="AG120" s="50">
        <f>AG78*parameters!$C107</f>
        <v>0.10969359416162687</v>
      </c>
      <c r="AH120" s="50">
        <f>AH78*parameters!$C107</f>
        <v>0.10969359416162687</v>
      </c>
      <c r="AI120" s="50">
        <f>AI78*parameters!$C107</f>
        <v>0.10969359416162687</v>
      </c>
      <c r="AJ120" s="50">
        <f>AJ78*parameters!$C107</f>
        <v>0.10969359416162687</v>
      </c>
      <c r="AK120" s="50">
        <f>AK78*parameters!$C107</f>
        <v>0.10969359416162687</v>
      </c>
    </row>
    <row r="121" spans="1:37">
      <c r="A121" s="77" t="s">
        <v>259</v>
      </c>
      <c r="L121" s="50">
        <f>SUM(L108:L120)</f>
        <v>87.499037860427293</v>
      </c>
      <c r="M121" s="50">
        <f t="shared" ref="M121:AK121" si="21">SUM(M108:M120)</f>
        <v>87.428581857404325</v>
      </c>
      <c r="N121" s="50">
        <f t="shared" si="21"/>
        <v>86.212737439696411</v>
      </c>
      <c r="O121" s="50">
        <f t="shared" si="21"/>
        <v>85.794867489191176</v>
      </c>
      <c r="P121" s="50">
        <f t="shared" si="21"/>
        <v>85.376997538685956</v>
      </c>
      <c r="Q121" s="50">
        <f t="shared" si="21"/>
        <v>84.959127588180706</v>
      </c>
      <c r="R121" s="50">
        <f t="shared" si="21"/>
        <v>84.168919935790655</v>
      </c>
      <c r="S121" s="50">
        <f t="shared" si="21"/>
        <v>84.013909566089964</v>
      </c>
      <c r="T121" s="50">
        <f t="shared" si="21"/>
        <v>83.485035366864139</v>
      </c>
      <c r="U121" s="50">
        <f t="shared" si="21"/>
        <v>83.326857618914829</v>
      </c>
      <c r="V121" s="50">
        <f t="shared" si="21"/>
        <v>83.169559607833122</v>
      </c>
      <c r="W121" s="50">
        <f t="shared" si="21"/>
        <v>82.347496254004326</v>
      </c>
      <c r="X121" s="50">
        <f t="shared" si="21"/>
        <v>82.337969459197168</v>
      </c>
      <c r="Y121" s="50">
        <f t="shared" si="21"/>
        <v>82.3315642510684</v>
      </c>
      <c r="Z121" s="50">
        <f t="shared" si="21"/>
        <v>82.334325108748146</v>
      </c>
      <c r="AA121" s="50">
        <f t="shared" si="21"/>
        <v>82.347782721802261</v>
      </c>
      <c r="AB121" s="50">
        <f t="shared" si="21"/>
        <v>82.359114436673025</v>
      </c>
      <c r="AC121" s="50">
        <f t="shared" si="21"/>
        <v>82.376632659598769</v>
      </c>
      <c r="AD121" s="50">
        <f t="shared" si="21"/>
        <v>82.394663273640433</v>
      </c>
      <c r="AE121" s="50">
        <f t="shared" si="21"/>
        <v>82.413132362545255</v>
      </c>
      <c r="AF121" s="50">
        <f t="shared" si="21"/>
        <v>82.432215344698974</v>
      </c>
      <c r="AG121" s="50">
        <f t="shared" si="21"/>
        <v>82.448634388712023</v>
      </c>
      <c r="AH121" s="50">
        <f t="shared" si="21"/>
        <v>82.465583666001663</v>
      </c>
      <c r="AI121" s="50">
        <f t="shared" si="21"/>
        <v>82.482180070201352</v>
      </c>
      <c r="AJ121" s="50">
        <f t="shared" si="21"/>
        <v>82.498434507666786</v>
      </c>
      <c r="AK121" s="50">
        <f t="shared" si="21"/>
        <v>82.514357439888784</v>
      </c>
    </row>
  </sheetData>
  <phoneticPr fontId="22"/>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AS145"/>
  <sheetViews>
    <sheetView zoomScaleNormal="100" workbookViewId="0">
      <pane xSplit="1" ySplit="6" topLeftCell="G102" activePane="bottomRight" state="frozen"/>
      <selection pane="topRight" activeCell="B1" sqref="B1"/>
      <selection pane="bottomLeft" activeCell="A7" sqref="A7"/>
      <selection pane="bottomRight" activeCell="U113" sqref="U113"/>
    </sheetView>
  </sheetViews>
  <sheetFormatPr defaultColWidth="9.140625" defaultRowHeight="12.75"/>
  <cols>
    <col min="1" max="1" width="37.28515625" style="6" customWidth="1"/>
    <col min="2" max="13" width="8.7109375" style="6" customWidth="1"/>
    <col min="14" max="15" width="9.140625" style="6" customWidth="1"/>
    <col min="16" max="16" width="9.7109375" style="6" customWidth="1"/>
    <col min="17" max="17" width="9.85546875" style="6" customWidth="1"/>
    <col min="18" max="37" width="8.7109375" style="6" customWidth="1"/>
    <col min="38" max="38" width="12.140625" style="6" customWidth="1"/>
    <col min="39" max="39" width="13.42578125" style="6" customWidth="1"/>
    <col min="40" max="41" width="9.140625" style="6"/>
    <col min="42" max="42" width="13.28515625" style="6" customWidth="1"/>
    <col min="43" max="43" width="9.140625" style="6"/>
    <col min="44" max="44" width="12.7109375" style="6" customWidth="1"/>
    <col min="45" max="45" width="11.42578125" style="6" customWidth="1"/>
    <col min="46" max="16384" width="9.140625" style="6"/>
  </cols>
  <sheetData>
    <row r="1" spans="1:37" ht="27.2" customHeight="1">
      <c r="A1" s="78" t="s">
        <v>413</v>
      </c>
      <c r="B1" s="40"/>
      <c r="C1" s="40"/>
      <c r="D1" s="40"/>
      <c r="E1" s="40"/>
      <c r="F1" s="40"/>
      <c r="G1" s="40"/>
      <c r="H1" s="20"/>
      <c r="I1" s="20"/>
    </row>
    <row r="2" spans="1:37" ht="15" customHeight="1">
      <c r="A2" s="64" t="s">
        <v>382</v>
      </c>
      <c r="C2" s="69" t="s">
        <v>945</v>
      </c>
      <c r="D2" s="55"/>
      <c r="E2" s="40"/>
      <c r="F2" s="40"/>
      <c r="G2" s="40"/>
      <c r="H2" s="20"/>
      <c r="I2" s="20"/>
    </row>
    <row r="3" spans="1:37" ht="15" customHeight="1">
      <c r="A3" s="64" t="s">
        <v>383</v>
      </c>
      <c r="C3" s="69" t="s">
        <v>946</v>
      </c>
      <c r="D3" s="38"/>
      <c r="E3" s="36"/>
      <c r="F3" s="36"/>
      <c r="G3" s="36"/>
      <c r="H3" s="36"/>
      <c r="I3" s="36"/>
    </row>
    <row r="4" spans="1:37" ht="15" customHeight="1">
      <c r="A4" s="64" t="s">
        <v>380</v>
      </c>
      <c r="C4" s="69" t="s">
        <v>411</v>
      </c>
      <c r="D4" s="55"/>
      <c r="E4" s="41"/>
      <c r="F4" s="41"/>
      <c r="G4" s="41"/>
      <c r="H4" s="2"/>
      <c r="I4" s="2"/>
    </row>
    <row r="5" spans="1:37" ht="15" customHeight="1">
      <c r="A5" s="64"/>
      <c r="B5" s="69"/>
      <c r="C5" s="55"/>
      <c r="D5" s="55"/>
      <c r="E5" s="41"/>
      <c r="F5" s="41"/>
      <c r="G5" s="41"/>
      <c r="M5" s="18" t="s">
        <v>363</v>
      </c>
      <c r="N5" s="303" t="s">
        <v>364</v>
      </c>
    </row>
    <row r="6" spans="1:37" ht="13.5">
      <c r="A6" s="59" t="s">
        <v>22</v>
      </c>
      <c r="B6" s="59">
        <v>2005</v>
      </c>
      <c r="C6" s="59">
        <v>2006</v>
      </c>
      <c r="D6" s="59">
        <v>2007</v>
      </c>
      <c r="E6" s="59">
        <v>2008</v>
      </c>
      <c r="F6" s="59">
        <v>2009</v>
      </c>
      <c r="G6" s="59">
        <v>2010</v>
      </c>
      <c r="H6" s="59">
        <v>2011</v>
      </c>
      <c r="I6" s="59">
        <v>2012</v>
      </c>
      <c r="J6" s="59">
        <v>2013</v>
      </c>
      <c r="K6" s="466">
        <v>2014</v>
      </c>
      <c r="L6" s="168">
        <v>2015</v>
      </c>
      <c r="M6" s="472">
        <v>2016</v>
      </c>
      <c r="N6" s="318">
        <v>2017</v>
      </c>
      <c r="O6" s="59">
        <v>2018</v>
      </c>
      <c r="P6" s="59">
        <v>2019</v>
      </c>
      <c r="Q6" s="59">
        <v>2020</v>
      </c>
      <c r="R6" s="59">
        <v>2021</v>
      </c>
      <c r="S6" s="59">
        <v>2022</v>
      </c>
      <c r="T6" s="59">
        <v>2023</v>
      </c>
      <c r="U6" s="59">
        <v>2024</v>
      </c>
      <c r="V6" s="59">
        <v>2025</v>
      </c>
      <c r="W6" s="59">
        <v>2026</v>
      </c>
      <c r="X6" s="59">
        <v>2027</v>
      </c>
      <c r="Y6" s="59">
        <v>2028</v>
      </c>
      <c r="Z6" s="59">
        <v>2029</v>
      </c>
      <c r="AA6" s="59">
        <v>2030</v>
      </c>
      <c r="AB6" s="59">
        <v>2031</v>
      </c>
      <c r="AC6" s="59">
        <v>2032</v>
      </c>
      <c r="AD6" s="59">
        <v>2033</v>
      </c>
      <c r="AE6" s="59">
        <v>2034</v>
      </c>
      <c r="AF6" s="59">
        <v>2035</v>
      </c>
      <c r="AG6" s="59">
        <v>2036</v>
      </c>
      <c r="AH6" s="59">
        <v>2037</v>
      </c>
      <c r="AI6" s="59">
        <v>2038</v>
      </c>
      <c r="AJ6" s="59">
        <v>2039</v>
      </c>
      <c r="AK6" s="59">
        <v>2040</v>
      </c>
    </row>
    <row r="7" spans="1:37">
      <c r="A7" s="57" t="s">
        <v>23</v>
      </c>
      <c r="B7" s="76"/>
      <c r="C7" s="76"/>
      <c r="D7" s="76"/>
      <c r="E7" s="76"/>
      <c r="F7" s="76"/>
      <c r="G7" s="76"/>
      <c r="H7" s="76"/>
      <c r="I7" s="76"/>
      <c r="J7" s="76"/>
      <c r="K7" s="570"/>
      <c r="L7" s="278"/>
      <c r="M7" s="376"/>
      <c r="N7" s="76"/>
      <c r="O7" s="76"/>
      <c r="P7" s="76"/>
      <c r="Q7" s="76"/>
      <c r="R7" s="76"/>
      <c r="S7" s="76"/>
      <c r="T7" s="76"/>
      <c r="U7" s="76"/>
      <c r="V7" s="76"/>
      <c r="W7" s="76"/>
      <c r="X7" s="76"/>
      <c r="Y7" s="76"/>
      <c r="Z7" s="76"/>
      <c r="AA7" s="76"/>
      <c r="AB7" s="76"/>
      <c r="AC7" s="76"/>
      <c r="AD7" s="76"/>
      <c r="AE7" s="76"/>
      <c r="AF7" s="76"/>
      <c r="AG7" s="76"/>
      <c r="AH7" s="76"/>
      <c r="AI7" s="76"/>
      <c r="AJ7" s="76"/>
      <c r="AK7" s="76"/>
    </row>
    <row r="8" spans="1:37">
      <c r="A8" s="57" t="s">
        <v>24</v>
      </c>
      <c r="B8" s="82">
        <f>'Baseline Consumption'!B8*parameters!$C$42</f>
        <v>0.36709552413656682</v>
      </c>
      <c r="C8" s="82">
        <f>'Baseline Consumption'!C8*parameters!$C$42</f>
        <v>0.3890503676957246</v>
      </c>
      <c r="D8" s="82">
        <f>'Baseline Consumption'!D8*parameters!$C$42</f>
        <v>0.46326469391548797</v>
      </c>
      <c r="E8" s="82">
        <f>'Baseline Consumption'!E8*parameters!$C$42</f>
        <v>0.46005186861759445</v>
      </c>
      <c r="F8" s="82">
        <f>'Baseline Consumption'!F8*parameters!$C$42</f>
        <v>0.50762639706717105</v>
      </c>
      <c r="G8" s="82">
        <f>'Baseline Consumption'!G8*parameters!$C$42</f>
        <v>0.55211167042261944</v>
      </c>
      <c r="H8" s="82">
        <f>'Baseline Consumption'!H8*parameters!$C$42</f>
        <v>0.54531530921553706</v>
      </c>
      <c r="I8" s="82">
        <f>'Baseline Consumption'!I8*parameters!$C$42</f>
        <v>0.42013869280145616</v>
      </c>
      <c r="J8" s="82">
        <f>'Baseline Consumption'!J8*parameters!$C$42</f>
        <v>0.34599657054237565</v>
      </c>
      <c r="K8" s="542">
        <f>'Baseline Consumption'!K8*parameters!$C$42</f>
        <v>0.3758387747516555</v>
      </c>
      <c r="L8" s="542">
        <f>'Baseline Consumption'!L8*parameters!$C$42</f>
        <v>0.43116115497730606</v>
      </c>
      <c r="M8" s="541">
        <f>'Baseline Consumption'!M8*parameters!$C$42</f>
        <v>0.43245247590589092</v>
      </c>
      <c r="N8" s="82">
        <f>'Baseline Consumption'!N8*parameters!$C$42</f>
        <v>0.49095858692673794</v>
      </c>
      <c r="O8" s="82">
        <f>'Baseline Consumption'!O8*parameters!$C$42</f>
        <v>0.45458791083573347</v>
      </c>
      <c r="P8" s="82">
        <f>'Baseline Consumption'!P8*parameters!$C$42</f>
        <v>0.44090479748654599</v>
      </c>
      <c r="Q8" s="82">
        <f>'Baseline Consumption'!Q8*parameters!$C$42</f>
        <v>0.43582963187572371</v>
      </c>
      <c r="R8" s="82">
        <f>'Baseline Consumption'!R8*parameters!$C$42</f>
        <v>0.43038656961325655</v>
      </c>
      <c r="S8" s="82">
        <f>'Baseline Consumption'!S8*parameters!$C$42</f>
        <v>0.42545412519000092</v>
      </c>
      <c r="T8" s="82">
        <f>'Baseline Consumption'!T8*parameters!$C$42</f>
        <v>0.4214532287820657</v>
      </c>
      <c r="U8" s="82">
        <f>'Baseline Consumption'!U8*parameters!$C$42</f>
        <v>0.41772111647717725</v>
      </c>
      <c r="V8" s="82">
        <f>'Baseline Consumption'!V8*parameters!$C$42</f>
        <v>0.41439202383942331</v>
      </c>
      <c r="W8" s="82">
        <f>'Baseline Consumption'!W8*parameters!$C$42</f>
        <v>0.41138522918704135</v>
      </c>
      <c r="X8" s="82">
        <f>'Baseline Consumption'!X8*parameters!$C$42</f>
        <v>0.40867937706722485</v>
      </c>
      <c r="Y8" s="82">
        <f>'Baseline Consumption'!Y8*parameters!$C$42</f>
        <v>0.40589766835643176</v>
      </c>
      <c r="Z8" s="82">
        <f>'Baseline Consumption'!Z8*parameters!$C$42</f>
        <v>0.40291154630737064</v>
      </c>
      <c r="AA8" s="82">
        <f>'Baseline Consumption'!AA8*parameters!$C$42</f>
        <v>0.40007687385345453</v>
      </c>
      <c r="AB8" s="82">
        <f>'Baseline Consumption'!AB8*parameters!$C$42</f>
        <v>0.39716927083335429</v>
      </c>
      <c r="AC8" s="82">
        <f>'Baseline Consumption'!AC8*parameters!$C$42</f>
        <v>0.39402669465167278</v>
      </c>
      <c r="AD8" s="82">
        <f>'Baseline Consumption'!AD8*parameters!$C$42</f>
        <v>0.39091018460250954</v>
      </c>
      <c r="AE8" s="82">
        <f>'Baseline Consumption'!AE8*parameters!$C$42</f>
        <v>0.38799455595754873</v>
      </c>
      <c r="AF8" s="82">
        <f>'Baseline Consumption'!AF8*parameters!$C$42</f>
        <v>0.38532853917219556</v>
      </c>
      <c r="AG8" s="82">
        <f>'Baseline Consumption'!AG8*parameters!$C$42</f>
        <v>0.38258419308043462</v>
      </c>
      <c r="AH8" s="82">
        <f>'Baseline Consumption'!AH8*parameters!$C$42</f>
        <v>0.38010687721721237</v>
      </c>
      <c r="AI8" s="82">
        <f>'Baseline Consumption'!AI8*parameters!$C$42</f>
        <v>0.37739300357983857</v>
      </c>
      <c r="AJ8" s="82">
        <f>'Baseline Consumption'!AJ8*parameters!$C$42</f>
        <v>0.37490458662320131</v>
      </c>
      <c r="AK8" s="82">
        <f>'Baseline Consumption'!AK8*parameters!$C$42</f>
        <v>0.37272362058102687</v>
      </c>
    </row>
    <row r="9" spans="1:37">
      <c r="A9" s="57" t="s">
        <v>56</v>
      </c>
      <c r="B9" s="82">
        <f>'Baseline Consumption'!B9*parameters!$C$45</f>
        <v>4.1965008874534471E-2</v>
      </c>
      <c r="C9" s="82">
        <f>'Baseline Consumption'!C9*parameters!$C$45</f>
        <v>4.5060237371922864E-2</v>
      </c>
      <c r="D9" s="82">
        <f>'Baseline Consumption'!D9*parameters!$C$45</f>
        <v>2.5309506190681053E-2</v>
      </c>
      <c r="E9" s="82">
        <f>'Baseline Consumption'!E9*parameters!$C$45</f>
        <v>1.9015607825802697E-2</v>
      </c>
      <c r="F9" s="82">
        <f>'Baseline Consumption'!F9*parameters!$C$45</f>
        <v>2.0086909675143694E-2</v>
      </c>
      <c r="G9" s="82">
        <f>'Baseline Consumption'!G9*parameters!$C$45</f>
        <v>1.821213143879695E-2</v>
      </c>
      <c r="H9" s="82">
        <f>'Baseline Consumption'!H9*parameters!$C$45</f>
        <v>1.5935615008947329E-2</v>
      </c>
      <c r="I9" s="82">
        <f>'Baseline Consumption'!I9*parameters!$C$45</f>
        <v>1.3391273116762461E-2</v>
      </c>
      <c r="J9" s="82">
        <f>'Baseline Consumption'!J9*parameters!$C$45</f>
        <v>0</v>
      </c>
      <c r="K9" s="542">
        <f>'Baseline Consumption'!K9*parameters!$C$45</f>
        <v>3.9905993887952131E-3</v>
      </c>
      <c r="L9" s="542">
        <f>'Baseline Consumption'!L9*parameters!$C$45</f>
        <v>5.1422488768367849E-3</v>
      </c>
      <c r="M9" s="541">
        <f>'Baseline Consumption'!M9*parameters!$C$45</f>
        <v>2.2221950594734012E-3</v>
      </c>
      <c r="N9" s="82">
        <f>'Baseline Consumption'!N9*parameters!$C$45</f>
        <v>2.5241259870243285E-3</v>
      </c>
      <c r="O9" s="82">
        <f>'Baseline Consumption'!O9*parameters!$C$45</f>
        <v>2.1437296600979399E-3</v>
      </c>
      <c r="P9" s="82">
        <f>'Baseline Consumption'!P9*parameters!$C$45</f>
        <v>1.9991694289485723E-3</v>
      </c>
      <c r="Q9" s="82">
        <f>'Baseline Consumption'!Q9*parameters!$C$45</f>
        <v>1.9395629854773802E-3</v>
      </c>
      <c r="R9" s="82">
        <f>'Baseline Consumption'!R9*parameters!$C$45</f>
        <v>1.8675151361516127E-3</v>
      </c>
      <c r="S9" s="82">
        <f>'Baseline Consumption'!S9*parameters!$C$45</f>
        <v>1.8043366647501541E-3</v>
      </c>
      <c r="T9" s="82">
        <f>'Baseline Consumption'!T9*parameters!$C$45</f>
        <v>1.7596976622703063E-3</v>
      </c>
      <c r="U9" s="82">
        <f>'Baseline Consumption'!U9*parameters!$C$45</f>
        <v>1.7199852265420241E-3</v>
      </c>
      <c r="V9" s="82">
        <f>'Baseline Consumption'!V9*parameters!$C$45</f>
        <v>1.6836889592307261E-3</v>
      </c>
      <c r="W9" s="82">
        <f>'Baseline Consumption'!W9*parameters!$C$45</f>
        <v>1.6499049753302881E-3</v>
      </c>
      <c r="X9" s="82">
        <f>'Baseline Consumption'!X9*parameters!$C$45</f>
        <v>1.616968469401148E-3</v>
      </c>
      <c r="Y9" s="82">
        <f>'Baseline Consumption'!Y9*parameters!$C$45</f>
        <v>1.5837954430436535E-3</v>
      </c>
      <c r="Z9" s="82">
        <f>'Baseline Consumption'!Z9*parameters!$C$45</f>
        <v>1.5501620512597435E-3</v>
      </c>
      <c r="AA9" s="82">
        <f>'Baseline Consumption'!AA9*parameters!$C$45</f>
        <v>1.5178758634008282E-3</v>
      </c>
      <c r="AB9" s="82">
        <f>'Baseline Consumption'!AB9*parameters!$C$45</f>
        <v>1.4852372464956773E-3</v>
      </c>
      <c r="AC9" s="82">
        <f>'Baseline Consumption'!AC9*parameters!$C$45</f>
        <v>1.4533455680771018E-3</v>
      </c>
      <c r="AD9" s="82">
        <f>'Baseline Consumption'!AD9*parameters!$C$45</f>
        <v>1.422921665568691E-3</v>
      </c>
      <c r="AE9" s="82">
        <f>'Baseline Consumption'!AE9*parameters!$C$45</f>
        <v>1.3934960936503342E-3</v>
      </c>
      <c r="AF9" s="82">
        <f>'Baseline Consumption'!AF9*parameters!$C$45</f>
        <v>1.3657892380045538E-3</v>
      </c>
      <c r="AG9" s="82">
        <f>'Baseline Consumption'!AG9*parameters!$C$45</f>
        <v>1.3388359026667168E-3</v>
      </c>
      <c r="AH9" s="82">
        <f>'Baseline Consumption'!AH9*parameters!$C$45</f>
        <v>1.3102318117726953E-3</v>
      </c>
      <c r="AI9" s="82">
        <f>'Baseline Consumption'!AI9*parameters!$C$45</f>
        <v>1.2827385272047675E-3</v>
      </c>
      <c r="AJ9" s="82">
        <f>'Baseline Consumption'!AJ9*parameters!$C$45</f>
        <v>1.2568347440815809E-3</v>
      </c>
      <c r="AK9" s="82">
        <f>'Baseline Consumption'!AK9*parameters!$C$45</f>
        <v>1.2321593413329383E-3</v>
      </c>
    </row>
    <row r="10" spans="1:37">
      <c r="A10" s="57" t="s">
        <v>25</v>
      </c>
      <c r="B10" s="82">
        <f>'Baseline Consumption'!B10*parameters!$C$37</f>
        <v>0.49964768147143812</v>
      </c>
      <c r="C10" s="82">
        <f>'Baseline Consumption'!C10*parameters!$C$37</f>
        <v>0.54298514574149326</v>
      </c>
      <c r="D10" s="82">
        <f>'Baseline Consumption'!D10*parameters!$C$37</f>
        <v>0.40927530336000001</v>
      </c>
      <c r="E10" s="82">
        <f>'Baseline Consumption'!E10*parameters!$C$37</f>
        <v>0.41779277232000001</v>
      </c>
      <c r="F10" s="82">
        <f>'Baseline Consumption'!F10*parameters!$C$37</f>
        <v>0.44465555904000004</v>
      </c>
      <c r="G10" s="82">
        <f>'Baseline Consumption'!G10*parameters!$C$37</f>
        <v>0.39813707472000004</v>
      </c>
      <c r="H10" s="82">
        <f>'Baseline Consumption'!H10*parameters!$C$37</f>
        <v>0.35227378032000001</v>
      </c>
      <c r="I10" s="82">
        <f>'Baseline Consumption'!I10*parameters!$C$37</f>
        <v>0.30575529600000001</v>
      </c>
      <c r="J10" s="82">
        <f>'Baseline Consumption'!J10*parameters!$C$37</f>
        <v>0.24023630399999998</v>
      </c>
      <c r="K10" s="542">
        <f>'Baseline Consumption'!K10*parameters!$C$37</f>
        <v>0.25893105638400005</v>
      </c>
      <c r="L10" s="542">
        <f>'Baseline Consumption'!L10*parameters!$C$37</f>
        <v>0.27461193513600002</v>
      </c>
      <c r="M10" s="541">
        <f>'Baseline Consumption'!M10*parameters!$C$37</f>
        <v>0.25226005855019157</v>
      </c>
      <c r="N10" s="82">
        <f>'Baseline Consumption'!N10*parameters!$C$37</f>
        <v>0.27593144999401426</v>
      </c>
      <c r="O10" s="82">
        <f>'Baseline Consumption'!O10*parameters!$C$37</f>
        <v>0.29882294247134328</v>
      </c>
      <c r="P10" s="82">
        <f>'Baseline Consumption'!P10*parameters!$C$37</f>
        <v>0.27674372838300709</v>
      </c>
      <c r="Q10" s="82">
        <f>'Baseline Consumption'!Q10*parameters!$C$37</f>
        <v>0.26788291161641364</v>
      </c>
      <c r="R10" s="82">
        <f>'Baseline Consumption'!R10*parameters!$C$37</f>
        <v>0.25878380624042346</v>
      </c>
      <c r="S10" s="82">
        <f>'Baseline Consumption'!S10*parameters!$C$37</f>
        <v>0.25144307179743308</v>
      </c>
      <c r="T10" s="82">
        <f>'Baseline Consumption'!T10*parameters!$C$37</f>
        <v>0.24568388629713805</v>
      </c>
      <c r="U10" s="82">
        <f>'Baseline Consumption'!U10*parameters!$C$37</f>
        <v>0.24078332315114626</v>
      </c>
      <c r="V10" s="82">
        <f>'Baseline Consumption'!V10*parameters!$C$37</f>
        <v>0.23623033435977772</v>
      </c>
      <c r="W10" s="82">
        <f>'Baseline Consumption'!W10*parameters!$C$37</f>
        <v>0.23195811938876415</v>
      </c>
      <c r="X10" s="82">
        <f>'Baseline Consumption'!X10*parameters!$C$37</f>
        <v>0.22766016442113388</v>
      </c>
      <c r="Y10" s="82">
        <f>'Baseline Consumption'!Y10*parameters!$C$37</f>
        <v>0.22334878667860386</v>
      </c>
      <c r="Z10" s="82">
        <f>'Baseline Consumption'!Z10*parameters!$C$37</f>
        <v>0.21899793365216222</v>
      </c>
      <c r="AA10" s="82">
        <f>'Baseline Consumption'!AA10*parameters!$C$37</f>
        <v>0.21477064228974355</v>
      </c>
      <c r="AB10" s="82">
        <f>'Baseline Consumption'!AB10*parameters!$C$37</f>
        <v>0.21068360585838578</v>
      </c>
      <c r="AC10" s="82">
        <f>'Baseline Consumption'!AC10*parameters!$C$37</f>
        <v>0.20675224894635891</v>
      </c>
      <c r="AD10" s="82">
        <f>'Baseline Consumption'!AD10*parameters!$C$37</f>
        <v>0.20297269126327827</v>
      </c>
      <c r="AE10" s="82">
        <f>'Baseline Consumption'!AE10*parameters!$C$37</f>
        <v>0.19932852791406372</v>
      </c>
      <c r="AF10" s="82">
        <f>'Baseline Consumption'!AF10*parameters!$C$37</f>
        <v>0.19587153053575923</v>
      </c>
      <c r="AG10" s="82">
        <f>'Baseline Consumption'!AG10*parameters!$C$37</f>
        <v>0.19254816298773411</v>
      </c>
      <c r="AH10" s="82">
        <f>'Baseline Consumption'!AH10*parameters!$C$37</f>
        <v>0.18913268418215556</v>
      </c>
      <c r="AI10" s="82">
        <f>'Baseline Consumption'!AI10*parameters!$C$37</f>
        <v>0.1859215686769814</v>
      </c>
      <c r="AJ10" s="82">
        <f>'Baseline Consumption'!AJ10*parameters!$C$37</f>
        <v>0.18284425318537528</v>
      </c>
      <c r="AK10" s="82">
        <f>'Baseline Consumption'!AK10*parameters!$C$37</f>
        <v>0.17992011682964557</v>
      </c>
    </row>
    <row r="11" spans="1:37" s="425" customFormat="1">
      <c r="A11" s="70" t="s">
        <v>26</v>
      </c>
      <c r="B11" s="430">
        <f>'Baseline Consumption'!B11*parameters!$C$34</f>
        <v>4.4655945520862428</v>
      </c>
      <c r="C11" s="430">
        <f>'Baseline Consumption'!C11*parameters!$C$34</f>
        <v>4.546538259105807</v>
      </c>
      <c r="D11" s="430">
        <f>'Baseline Consumption'!D11*parameters!$C$34</f>
        <v>4.5317123153934418</v>
      </c>
      <c r="E11" s="430">
        <f>'Baseline Consumption'!E11*parameters!$C$34</f>
        <v>4.6330322291678989</v>
      </c>
      <c r="F11" s="430">
        <f>'Baseline Consumption'!F11*parameters!$C$34</f>
        <v>4.5449921099172794</v>
      </c>
      <c r="G11" s="430">
        <f>'Baseline Consumption'!G11*parameters!$C$34</f>
        <v>4.5252480767892465</v>
      </c>
      <c r="H11" s="430">
        <f>'Baseline Consumption'!H11*parameters!$C$34</f>
        <v>4.7706080898963217</v>
      </c>
      <c r="I11" s="430">
        <f>'Baseline Consumption'!I11*parameters!$C$34</f>
        <v>4.4687562524656252</v>
      </c>
      <c r="J11" s="430">
        <f>'Baseline Consumption'!J11*parameters!$C$34</f>
        <v>4.2509395168894697</v>
      </c>
      <c r="K11" s="571">
        <f>'Baseline Consumption'!K11*parameters!$C$34</f>
        <v>3.8847614790007183</v>
      </c>
      <c r="L11" s="571">
        <f>'Baseline Consumption'!L11*parameters!$C$34</f>
        <v>3.862263118119595</v>
      </c>
      <c r="M11" s="431">
        <f>'Baseline Consumption'!M11*parameters!$C$34</f>
        <v>4.1326913047396721</v>
      </c>
      <c r="N11" s="430">
        <f>'Baseline Consumption'!N11*parameters!$C$34</f>
        <v>4.1853468096002082</v>
      </c>
      <c r="O11" s="430">
        <f>'Baseline Consumption'!O11*parameters!$C$34</f>
        <v>4.5454028450922479</v>
      </c>
      <c r="P11" s="430">
        <f>'Baseline Consumption'!P11*parameters!$C$34</f>
        <v>4.4405940785114151</v>
      </c>
      <c r="Q11" s="430">
        <f>'Baseline Consumption'!Q11*parameters!$C$34</f>
        <v>4.440423448905598</v>
      </c>
      <c r="R11" s="430">
        <f>'Baseline Consumption'!R11*parameters!$C$34</f>
        <v>4.4425403836955466</v>
      </c>
      <c r="S11" s="430">
        <f>'Baseline Consumption'!S11*parameters!$C$34</f>
        <v>4.4521252199959571</v>
      </c>
      <c r="T11" s="430">
        <f>'Baseline Consumption'!T11*parameters!$C$34</f>
        <v>4.4608160572954585</v>
      </c>
      <c r="U11" s="430">
        <f>'Baseline Consumption'!U11*parameters!$C$34</f>
        <v>4.4651034165418171</v>
      </c>
      <c r="V11" s="430">
        <f>'Baseline Consumption'!V11*parameters!$C$34</f>
        <v>4.4696783583274824</v>
      </c>
      <c r="W11" s="430">
        <f>'Baseline Consumption'!W11*parameters!$C$34</f>
        <v>4.4792175239140173</v>
      </c>
      <c r="X11" s="430">
        <f>'Baseline Consumption'!X11*parameters!$C$34</f>
        <v>4.4905804354864536</v>
      </c>
      <c r="Y11" s="430">
        <f>'Baseline Consumption'!Y11*parameters!$C$34</f>
        <v>4.5024970901095012</v>
      </c>
      <c r="Z11" s="430">
        <f>'Baseline Consumption'!Z11*parameters!$C$34</f>
        <v>4.5112240968789727</v>
      </c>
      <c r="AA11" s="430">
        <f>'Baseline Consumption'!AA11*parameters!$C$34</f>
        <v>4.5214780259905432</v>
      </c>
      <c r="AB11" s="430">
        <f>'Baseline Consumption'!AB11*parameters!$C$34</f>
        <v>4.5311318529288709</v>
      </c>
      <c r="AC11" s="430">
        <f>'Baseline Consumption'!AC11*parameters!$C$34</f>
        <v>4.5383181652668503</v>
      </c>
      <c r="AD11" s="430">
        <f>'Baseline Consumption'!AD11*parameters!$C$34</f>
        <v>4.5443635402207647</v>
      </c>
      <c r="AE11" s="430">
        <f>'Baseline Consumption'!AE11*parameters!$C$34</f>
        <v>4.5495200600888914</v>
      </c>
      <c r="AF11" s="430">
        <f>'Baseline Consumption'!AF11*parameters!$C$34</f>
        <v>4.5555375397407323</v>
      </c>
      <c r="AG11" s="430">
        <f>'Baseline Consumption'!AG11*parameters!$C$34</f>
        <v>4.5581881430523348</v>
      </c>
      <c r="AH11" s="430">
        <f>'Baseline Consumption'!AH11*parameters!$C$34</f>
        <v>4.5602165935309236</v>
      </c>
      <c r="AI11" s="430">
        <f>'Baseline Consumption'!AI11*parameters!$C$34</f>
        <v>4.5625115461874106</v>
      </c>
      <c r="AJ11" s="430">
        <f>'Baseline Consumption'!AJ11*parameters!$C$34</f>
        <v>4.5668797645045007</v>
      </c>
      <c r="AK11" s="430">
        <f>'Baseline Consumption'!AK11*parameters!$C$34</f>
        <v>4.5736285715814269</v>
      </c>
    </row>
    <row r="12" spans="1:37">
      <c r="A12" s="57" t="s">
        <v>58</v>
      </c>
      <c r="B12" s="82">
        <f>'Baseline Consumption'!B12*parameters!$C$50</f>
        <v>0</v>
      </c>
      <c r="C12" s="82">
        <f>'Baseline Consumption'!C12*parameters!$C$50</f>
        <v>0</v>
      </c>
      <c r="D12" s="82">
        <f>'Baseline Consumption'!D12*parameters!$C$50</f>
        <v>0</v>
      </c>
      <c r="E12" s="82">
        <f>'Baseline Consumption'!E12*parameters!$C$50</f>
        <v>0</v>
      </c>
      <c r="F12" s="82">
        <f>'Baseline Consumption'!F12*parameters!$C$50</f>
        <v>0</v>
      </c>
      <c r="G12" s="82">
        <f>'Baseline Consumption'!G12*parameters!$C$50</f>
        <v>0</v>
      </c>
      <c r="H12" s="82">
        <f>'Baseline Consumption'!H12*parameters!$C$50</f>
        <v>0</v>
      </c>
      <c r="I12" s="82">
        <f>'Baseline Consumption'!I12*parameters!$C$50</f>
        <v>0</v>
      </c>
      <c r="J12" s="82">
        <f>'Baseline Consumption'!J12*parameters!$C$50</f>
        <v>0</v>
      </c>
      <c r="K12" s="542">
        <f>'Baseline Consumption'!K12*parameters!$C$50</f>
        <v>0</v>
      </c>
      <c r="L12" s="542">
        <f>'Baseline Consumption'!L12*parameters!$C$50</f>
        <v>0</v>
      </c>
      <c r="M12" s="541">
        <f>'Baseline Consumption'!M12*parameters!$C$50</f>
        <v>0</v>
      </c>
      <c r="N12" s="82">
        <f>'Baseline Consumption'!N12*parameters!$C$50</f>
        <v>0</v>
      </c>
      <c r="O12" s="82">
        <f>'Baseline Consumption'!O12*parameters!$C$50</f>
        <v>0</v>
      </c>
      <c r="P12" s="82">
        <f>'Baseline Consumption'!P12*parameters!$C$50</f>
        <v>0</v>
      </c>
      <c r="Q12" s="82">
        <f>'Baseline Consumption'!Q12*parameters!$C$50</f>
        <v>0</v>
      </c>
      <c r="R12" s="82">
        <f>'Baseline Consumption'!R12*parameters!$C$50</f>
        <v>0</v>
      </c>
      <c r="S12" s="82">
        <f>'Baseline Consumption'!S12*parameters!$C$50</f>
        <v>0</v>
      </c>
      <c r="T12" s="82">
        <f>'Baseline Consumption'!T12*parameters!$C$50</f>
        <v>0</v>
      </c>
      <c r="U12" s="82">
        <f>'Baseline Consumption'!U12*parameters!$C$50</f>
        <v>0</v>
      </c>
      <c r="V12" s="82">
        <f>'Baseline Consumption'!V12*parameters!$C$50</f>
        <v>0</v>
      </c>
      <c r="W12" s="82">
        <f>'Baseline Consumption'!W12*parameters!$C$50</f>
        <v>0</v>
      </c>
      <c r="X12" s="82">
        <f>'Baseline Consumption'!X12*parameters!$C$50</f>
        <v>0</v>
      </c>
      <c r="Y12" s="82">
        <f>'Baseline Consumption'!Y12*parameters!$C$50</f>
        <v>0</v>
      </c>
      <c r="Z12" s="82">
        <f>'Baseline Consumption'!Z12*parameters!$C$50</f>
        <v>0</v>
      </c>
      <c r="AA12" s="82">
        <f>'Baseline Consumption'!AA12*parameters!$C$50</f>
        <v>0</v>
      </c>
      <c r="AB12" s="82">
        <f>'Baseline Consumption'!AB12*parameters!$C$50</f>
        <v>0</v>
      </c>
      <c r="AC12" s="82">
        <f>'Baseline Consumption'!AC12*parameters!$C$50</f>
        <v>0</v>
      </c>
      <c r="AD12" s="82">
        <f>'Baseline Consumption'!AD12*parameters!$C$50</f>
        <v>0</v>
      </c>
      <c r="AE12" s="82">
        <f>'Baseline Consumption'!AE12*parameters!$C$50</f>
        <v>0</v>
      </c>
      <c r="AF12" s="82">
        <f>'Baseline Consumption'!AF12*parameters!$C$50</f>
        <v>0</v>
      </c>
      <c r="AG12" s="82">
        <f>'Baseline Consumption'!AG12*parameters!$C$50</f>
        <v>0</v>
      </c>
      <c r="AH12" s="82">
        <f>'Baseline Consumption'!AH12*parameters!$C$50</f>
        <v>0</v>
      </c>
      <c r="AI12" s="82">
        <f>'Baseline Consumption'!AI12*parameters!$C$50</f>
        <v>0</v>
      </c>
      <c r="AJ12" s="82">
        <f>'Baseline Consumption'!AJ12*parameters!$C$50</f>
        <v>0</v>
      </c>
      <c r="AK12" s="82">
        <f>'Baseline Consumption'!AK12*parameters!$C$50</f>
        <v>0</v>
      </c>
    </row>
    <row r="13" spans="1:37">
      <c r="A13" s="57" t="s">
        <v>27</v>
      </c>
      <c r="B13" s="82">
        <f>B91*'Baseline Consumption'!B94</f>
        <v>7.2247055112458929</v>
      </c>
      <c r="C13" s="82">
        <f>C91*'Baseline Consumption'!C94</f>
        <v>6.8159198831761216</v>
      </c>
      <c r="D13" s="82">
        <f>D91*'Baseline Consumption'!D94</f>
        <v>7.3880728698605962</v>
      </c>
      <c r="E13" s="82">
        <f>E91*'Baseline Consumption'!E94</f>
        <v>7.6607057469910966</v>
      </c>
      <c r="F13" s="82">
        <f>F91*'Baseline Consumption'!F94</f>
        <v>8.1393308457149782</v>
      </c>
      <c r="G13" s="82">
        <f>G91*'Baseline Consumption'!G94</f>
        <v>8.319665212759384</v>
      </c>
      <c r="H13" s="82">
        <f>H91*'Baseline Consumption'!H94</f>
        <v>6.3255282640540269</v>
      </c>
      <c r="I13" s="82">
        <f>I91*'Baseline Consumption'!I94</f>
        <v>5.9962433863202111</v>
      </c>
      <c r="J13" s="82">
        <f>J91*'Baseline Consumption'!J94</f>
        <v>7.1934210100194198</v>
      </c>
      <c r="K13" s="542">
        <f>K91*'Baseline Consumption'!K94</f>
        <v>6.8398634227126704</v>
      </c>
      <c r="L13" s="542">
        <f>L91*'Baseline Consumption'!L94</f>
        <v>7.4244092112899933</v>
      </c>
      <c r="M13" s="541">
        <f>M91*'Baseline Consumption'!M94</f>
        <v>6.618609420658875</v>
      </c>
      <c r="N13" s="82">
        <f>N91*'Baseline Consumption'!N94</f>
        <v>6.3156825310425706</v>
      </c>
      <c r="O13" s="82">
        <f>O91*'Baseline Consumption'!O94</f>
        <v>6.0708095893244831</v>
      </c>
      <c r="P13" s="82">
        <f>P91*'Baseline Consumption'!P94</f>
        <v>5.8152750511694435</v>
      </c>
      <c r="Q13" s="82">
        <f>Q91*'Baseline Consumption'!Q94</f>
        <v>5.5566884486937091</v>
      </c>
      <c r="R13" s="82">
        <f>R91*'Baseline Consumption'!R94</f>
        <v>4.931312386749009</v>
      </c>
      <c r="S13" s="82">
        <f>S91*'Baseline Consumption'!S94</f>
        <v>4.8427578115108423</v>
      </c>
      <c r="T13" s="82">
        <f>T91*'Baseline Consumption'!T94</f>
        <v>4.4521512856717642</v>
      </c>
      <c r="U13" s="82">
        <f>U91*'Baseline Consumption'!U94</f>
        <v>4.3615358630451846</v>
      </c>
      <c r="V13" s="82">
        <f>V91*'Baseline Consumption'!V94</f>
        <v>4.2719033695806834</v>
      </c>
      <c r="W13" s="82">
        <f>W91*'Baseline Consumption'!W94</f>
        <v>3.6721161138935883</v>
      </c>
      <c r="X13" s="82">
        <f>X91*'Baseline Consumption'!X94</f>
        <v>3.5964781185387298</v>
      </c>
      <c r="Y13" s="82">
        <f>Y91*'Baseline Consumption'!Y94</f>
        <v>3.5243418496554106</v>
      </c>
      <c r="Z13" s="82">
        <f>Z91*'Baseline Consumption'!Z94</f>
        <v>3.4841939808534681</v>
      </c>
      <c r="AA13" s="82">
        <f>AA91*'Baseline Consumption'!AA94</f>
        <v>3.4814483345203819</v>
      </c>
      <c r="AB13" s="82">
        <f>AB91*'Baseline Consumption'!AB94</f>
        <v>3.4897891279208482</v>
      </c>
      <c r="AC13" s="82">
        <f>AC91*'Baseline Consumption'!AC94</f>
        <v>3.5052620260401515</v>
      </c>
      <c r="AD13" s="82">
        <f>AD91*'Baseline Consumption'!AD94</f>
        <v>3.5253305177297198</v>
      </c>
      <c r="AE13" s="82">
        <f>AE91*'Baseline Consumption'!AE94</f>
        <v>3.550405154284709</v>
      </c>
      <c r="AF13" s="82">
        <f>AF91*'Baseline Consumption'!AF94</f>
        <v>3.5773408944575569</v>
      </c>
      <c r="AG13" s="82">
        <f>AG91*'Baseline Consumption'!AG94</f>
        <v>3.5950431870687765</v>
      </c>
      <c r="AH13" s="82">
        <f>AH91*'Baseline Consumption'!AH94</f>
        <v>3.6163872926890859</v>
      </c>
      <c r="AI13" s="82">
        <f>AI91*'Baseline Consumption'!AI94</f>
        <v>3.6375687330481696</v>
      </c>
      <c r="AJ13" s="82">
        <f>AJ91*'Baseline Consumption'!AJ94</f>
        <v>3.6585892198223915</v>
      </c>
      <c r="AK13" s="82">
        <f>AK91*'Baseline Consumption'!AK94</f>
        <v>3.6794283385546236</v>
      </c>
    </row>
    <row r="14" spans="1:37" s="7" customFormat="1">
      <c r="A14" s="50" t="s">
        <v>28</v>
      </c>
      <c r="B14" s="87">
        <f t="shared" ref="B14:AK14" si="0">SUM(B8:B13)</f>
        <v>12.599008277814676</v>
      </c>
      <c r="C14" s="87">
        <f t="shared" si="0"/>
        <v>12.339553893091068</v>
      </c>
      <c r="D14" s="87">
        <f t="shared" si="0"/>
        <v>12.817634688720208</v>
      </c>
      <c r="E14" s="87">
        <f t="shared" si="0"/>
        <v>13.190598224922393</v>
      </c>
      <c r="F14" s="87">
        <f t="shared" si="0"/>
        <v>13.656691821414572</v>
      </c>
      <c r="G14" s="87">
        <f t="shared" si="0"/>
        <v>13.813374166130046</v>
      </c>
      <c r="H14" s="87">
        <f t="shared" si="0"/>
        <v>12.009661058494833</v>
      </c>
      <c r="I14" s="87">
        <f t="shared" si="0"/>
        <v>11.204284900704055</v>
      </c>
      <c r="J14" s="87">
        <f t="shared" si="0"/>
        <v>12.030593401451265</v>
      </c>
      <c r="K14" s="445">
        <f t="shared" si="0"/>
        <v>11.36338533223784</v>
      </c>
      <c r="L14" s="445">
        <f t="shared" si="0"/>
        <v>11.997587668399731</v>
      </c>
      <c r="M14" s="372">
        <f t="shared" si="0"/>
        <v>11.438235454914103</v>
      </c>
      <c r="N14" s="87">
        <f t="shared" si="0"/>
        <v>11.270443503550556</v>
      </c>
      <c r="O14" s="87">
        <f t="shared" si="0"/>
        <v>11.371767017383906</v>
      </c>
      <c r="P14" s="87">
        <f t="shared" si="0"/>
        <v>10.97551682497936</v>
      </c>
      <c r="Q14" s="87">
        <f t="shared" si="0"/>
        <v>10.702764004076922</v>
      </c>
      <c r="R14" s="87">
        <f t="shared" si="0"/>
        <v>10.064890661434386</v>
      </c>
      <c r="S14" s="87">
        <f t="shared" si="0"/>
        <v>9.9735845651589834</v>
      </c>
      <c r="T14" s="87">
        <f t="shared" si="0"/>
        <v>9.581864155708697</v>
      </c>
      <c r="U14" s="87">
        <f t="shared" si="0"/>
        <v>9.4868637044418662</v>
      </c>
      <c r="V14" s="87">
        <f t="shared" si="0"/>
        <v>9.3938877750665988</v>
      </c>
      <c r="W14" s="87">
        <f t="shared" si="0"/>
        <v>8.796326891358742</v>
      </c>
      <c r="X14" s="87">
        <f t="shared" si="0"/>
        <v>8.7250150639829425</v>
      </c>
      <c r="Y14" s="87">
        <f t="shared" si="0"/>
        <v>8.6576691902429914</v>
      </c>
      <c r="Z14" s="87">
        <f t="shared" si="0"/>
        <v>8.6188777197432334</v>
      </c>
      <c r="AA14" s="87">
        <f t="shared" si="0"/>
        <v>8.6192917525175243</v>
      </c>
      <c r="AB14" s="87">
        <f t="shared" si="0"/>
        <v>8.6302590947879558</v>
      </c>
      <c r="AC14" s="87">
        <f t="shared" si="0"/>
        <v>8.6458124804731113</v>
      </c>
      <c r="AD14" s="87">
        <f t="shared" si="0"/>
        <v>8.6649998554818417</v>
      </c>
      <c r="AE14" s="87">
        <f t="shared" si="0"/>
        <v>8.6886417943388636</v>
      </c>
      <c r="AF14" s="87">
        <f t="shared" si="0"/>
        <v>8.7154442931442482</v>
      </c>
      <c r="AG14" s="87">
        <f t="shared" si="0"/>
        <v>8.7297025220919462</v>
      </c>
      <c r="AH14" s="87">
        <f t="shared" si="0"/>
        <v>8.7471536794311504</v>
      </c>
      <c r="AI14" s="87">
        <f t="shared" si="0"/>
        <v>8.7646775900196054</v>
      </c>
      <c r="AJ14" s="87">
        <f t="shared" si="0"/>
        <v>8.7844746588795495</v>
      </c>
      <c r="AK14" s="87">
        <f t="shared" si="0"/>
        <v>8.8069328068880566</v>
      </c>
    </row>
    <row r="15" spans="1:37">
      <c r="A15" s="57"/>
      <c r="B15" s="82"/>
      <c r="C15" s="82"/>
      <c r="D15" s="82"/>
      <c r="E15" s="82"/>
      <c r="F15" s="82"/>
      <c r="G15" s="82"/>
      <c r="H15" s="82"/>
      <c r="I15" s="82"/>
      <c r="J15" s="82"/>
      <c r="K15" s="542"/>
      <c r="L15" s="542"/>
      <c r="M15" s="541"/>
      <c r="N15" s="82"/>
      <c r="O15" s="82"/>
      <c r="P15" s="82"/>
      <c r="Q15" s="82"/>
      <c r="R15" s="82"/>
      <c r="S15" s="82"/>
      <c r="T15" s="82"/>
      <c r="U15" s="82"/>
      <c r="V15" s="82"/>
      <c r="W15" s="82"/>
      <c r="X15" s="82"/>
      <c r="Y15" s="82"/>
      <c r="Z15" s="82"/>
      <c r="AA15" s="82"/>
      <c r="AB15" s="82"/>
      <c r="AC15" s="82"/>
      <c r="AD15" s="82"/>
      <c r="AE15" s="82"/>
      <c r="AF15" s="82"/>
      <c r="AG15" s="76"/>
      <c r="AH15" s="76"/>
      <c r="AI15" s="76"/>
      <c r="AJ15" s="76"/>
      <c r="AK15" s="76"/>
    </row>
    <row r="16" spans="1:37">
      <c r="A16" s="57" t="s">
        <v>29</v>
      </c>
      <c r="B16" s="82"/>
      <c r="C16" s="82"/>
      <c r="D16" s="82"/>
      <c r="E16" s="82"/>
      <c r="F16" s="82"/>
      <c r="G16" s="82"/>
      <c r="H16" s="82"/>
      <c r="I16" s="82"/>
      <c r="J16" s="82"/>
      <c r="K16" s="542"/>
      <c r="L16" s="542"/>
      <c r="M16" s="541"/>
      <c r="N16" s="82"/>
      <c r="O16" s="82"/>
      <c r="P16" s="82"/>
      <c r="Q16" s="82"/>
      <c r="R16" s="82"/>
      <c r="S16" s="82"/>
      <c r="T16" s="82"/>
      <c r="U16" s="82"/>
      <c r="V16" s="82"/>
      <c r="W16" s="82"/>
      <c r="X16" s="82"/>
      <c r="Y16" s="82"/>
      <c r="Z16" s="82"/>
      <c r="AA16" s="82"/>
      <c r="AB16" s="82"/>
      <c r="AC16" s="82"/>
      <c r="AD16" s="82"/>
      <c r="AE16" s="82"/>
      <c r="AF16" s="82"/>
      <c r="AG16" s="76"/>
      <c r="AH16" s="76"/>
      <c r="AI16" s="76"/>
      <c r="AJ16" s="76"/>
      <c r="AK16" s="76"/>
    </row>
    <row r="17" spans="1:37">
      <c r="A17" s="57" t="s">
        <v>24</v>
      </c>
      <c r="B17" s="82">
        <f>'Baseline Consumption'!B17*parameters!$C$42</f>
        <v>7.8392832180408295E-2</v>
      </c>
      <c r="C17" s="82">
        <f>'Baseline Consumption'!C17*parameters!$C$42</f>
        <v>6.5772049399828406E-2</v>
      </c>
      <c r="D17" s="82">
        <f>'Baseline Consumption'!D17*parameters!$C$42</f>
        <v>8.180347489251881E-2</v>
      </c>
      <c r="E17" s="82">
        <f>'Baseline Consumption'!E17*parameters!$C$42</f>
        <v>8.0518344773361422E-2</v>
      </c>
      <c r="F17" s="82">
        <f>'Baseline Consumption'!F17*parameters!$C$42</f>
        <v>0.16867332813940814</v>
      </c>
      <c r="G17" s="82">
        <f>'Baseline Consumption'!G17*parameters!$C$42</f>
        <v>0.18980383298324607</v>
      </c>
      <c r="H17" s="82">
        <f>'Baseline Consumption'!H17*parameters!$C$42</f>
        <v>0.19672376439409359</v>
      </c>
      <c r="I17" s="82">
        <f>'Baseline Consumption'!I17*parameters!$C$42</f>
        <v>0.21006934640072808</v>
      </c>
      <c r="J17" s="82">
        <f>'Baseline Consumption'!J17*parameters!$C$42</f>
        <v>0.22242636677724148</v>
      </c>
      <c r="K17" s="542">
        <f>'Baseline Consumption'!K17*parameters!$C$42</f>
        <v>0.19561163256020736</v>
      </c>
      <c r="L17" s="542">
        <f>'Baseline Consumption'!L17*parameters!$C$42</f>
        <v>0.19101482098014436</v>
      </c>
      <c r="M17" s="541">
        <f>'Baseline Consumption'!M17*parameters!$C$42</f>
        <v>0.19364022122924299</v>
      </c>
      <c r="N17" s="82">
        <f>'Baseline Consumption'!N17*parameters!$C$42</f>
        <v>0.20052682299425803</v>
      </c>
      <c r="O17" s="82">
        <f>'Baseline Consumption'!O17*parameters!$C$42</f>
        <v>0.19653753402829022</v>
      </c>
      <c r="P17" s="82">
        <f>'Baseline Consumption'!P17*parameters!$C$42</f>
        <v>0.2083343841051285</v>
      </c>
      <c r="Q17" s="82">
        <f>'Baseline Consumption'!Q17*parameters!$C$42</f>
        <v>0.21602731246572762</v>
      </c>
      <c r="R17" s="82">
        <f>'Baseline Consumption'!R17*parameters!$C$42</f>
        <v>0.22668354534662341</v>
      </c>
      <c r="S17" s="82">
        <f>'Baseline Consumption'!S17*parameters!$C$42</f>
        <v>0.23751846144952646</v>
      </c>
      <c r="T17" s="82">
        <f>'Baseline Consumption'!T17*parameters!$C$42</f>
        <v>0.24048881024590577</v>
      </c>
      <c r="U17" s="82">
        <f>'Baseline Consumption'!U17*parameters!$C$42</f>
        <v>0.2432395562229413</v>
      </c>
      <c r="V17" s="82">
        <f>'Baseline Consumption'!V17*parameters!$C$42</f>
        <v>0.24700427857280563</v>
      </c>
      <c r="W17" s="82">
        <f>'Baseline Consumption'!W17*parameters!$C$42</f>
        <v>0.25084265518549254</v>
      </c>
      <c r="X17" s="82">
        <f>'Baseline Consumption'!X17*parameters!$C$42</f>
        <v>0.2548549492216759</v>
      </c>
      <c r="Y17" s="82">
        <f>'Baseline Consumption'!Y17*parameters!$C$42</f>
        <v>0.25864979106063124</v>
      </c>
      <c r="Z17" s="82">
        <f>'Baseline Consumption'!Z17*parameters!$C$42</f>
        <v>0.26150394590341963</v>
      </c>
      <c r="AA17" s="82">
        <f>'Baseline Consumption'!AA17*parameters!$C$42</f>
        <v>0.26532959821083113</v>
      </c>
      <c r="AB17" s="82">
        <f>'Baseline Consumption'!AB17*parameters!$C$42</f>
        <v>0.26856007395362846</v>
      </c>
      <c r="AC17" s="82">
        <f>'Baseline Consumption'!AC17*parameters!$C$42</f>
        <v>0.27142267635461303</v>
      </c>
      <c r="AD17" s="82">
        <f>'Baseline Consumption'!AD17*parameters!$C$42</f>
        <v>0.27444184151929507</v>
      </c>
      <c r="AE17" s="82">
        <f>'Baseline Consumption'!AE17*parameters!$C$42</f>
        <v>0.27773911364206727</v>
      </c>
      <c r="AF17" s="82">
        <f>'Baseline Consumption'!AF17*parameters!$C$42</f>
        <v>0.28069850578285926</v>
      </c>
      <c r="AG17" s="82">
        <f>'Baseline Consumption'!AG17*parameters!$C$42</f>
        <v>0.28353694080113773</v>
      </c>
      <c r="AH17" s="82">
        <f>'Baseline Consumption'!AH17*parameters!$C$42</f>
        <v>0.28715645451071081</v>
      </c>
      <c r="AI17" s="82">
        <f>'Baseline Consumption'!AI17*parameters!$C$42</f>
        <v>0.28924840676288938</v>
      </c>
      <c r="AJ17" s="82">
        <f>'Baseline Consumption'!AJ17*parameters!$C$42</f>
        <v>0.2925446175247598</v>
      </c>
      <c r="AK17" s="82">
        <f>'Baseline Consumption'!AK17*parameters!$C$42</f>
        <v>0.29603586482294536</v>
      </c>
    </row>
    <row r="18" spans="1:37">
      <c r="A18" s="57" t="s">
        <v>30</v>
      </c>
      <c r="B18" s="82">
        <f>'Baseline Consumption'!B18*parameters!$C$31</f>
        <v>2.6214330890347127E-2</v>
      </c>
      <c r="C18" s="82">
        <f>'Baseline Consumption'!C18*parameters!$C$31</f>
        <v>2.5139065522539916E-2</v>
      </c>
      <c r="D18" s="82">
        <f>'Baseline Consumption'!D18*parameters!$C$31</f>
        <v>3.3343445280323958E-2</v>
      </c>
      <c r="E18" s="82">
        <f>'Baseline Consumption'!E18*parameters!$C$31</f>
        <v>2.8155625570519975E-2</v>
      </c>
      <c r="F18" s="82">
        <f>'Baseline Consumption'!F18*parameters!$C$31</f>
        <v>2.5795788612285014E-2</v>
      </c>
      <c r="G18" s="82">
        <f>'Baseline Consumption'!G18*parameters!$C$31</f>
        <v>2.8088747600043675E-2</v>
      </c>
      <c r="H18" s="82">
        <f>'Baseline Consumption'!H18*parameters!$C$31</f>
        <v>2.665564823269451E-2</v>
      </c>
      <c r="I18" s="82">
        <f>'Baseline Consumption'!I18*parameters!$C$31</f>
        <v>2.8661987346983348E-2</v>
      </c>
      <c r="J18" s="82">
        <f>'Baseline Consumption'!J18*parameters!$C$31</f>
        <v>2.8661987346983348E-2</v>
      </c>
      <c r="K18" s="542">
        <f>'Baseline Consumption'!K18*parameters!$C$31</f>
        <v>2.7611047810927294E-2</v>
      </c>
      <c r="L18" s="542">
        <f>'Baseline Consumption'!L18*parameters!$C$31</f>
        <v>3.8741452897339157E-2</v>
      </c>
      <c r="M18" s="541">
        <f>'Baseline Consumption'!M18*parameters!$C$31</f>
        <v>0.47927959331995679</v>
      </c>
      <c r="N18" s="82">
        <f>'Baseline Consumption'!N18*parameters!$C$31</f>
        <v>0.49149510711800271</v>
      </c>
      <c r="O18" s="82">
        <f>'Baseline Consumption'!O18*parameters!$C$31</f>
        <v>0.54359293336520709</v>
      </c>
      <c r="P18" s="82">
        <f>'Baseline Consumption'!P18*parameters!$C$31</f>
        <v>0.50754242137108518</v>
      </c>
      <c r="Q18" s="82">
        <f>'Baseline Consumption'!Q18*parameters!$C$31</f>
        <v>0.44800861436859613</v>
      </c>
      <c r="R18" s="82">
        <f>'Baseline Consumption'!R18*parameters!$C$31</f>
        <v>0.40658332182207363</v>
      </c>
      <c r="S18" s="82">
        <f>'Baseline Consumption'!S18*parameters!$C$31</f>
        <v>0.37257576856608532</v>
      </c>
      <c r="T18" s="82">
        <f>'Baseline Consumption'!T18*parameters!$C$31</f>
        <v>0.36974930588685234</v>
      </c>
      <c r="U18" s="82">
        <f>'Baseline Consumption'!U18*parameters!$C$31</f>
        <v>0.36624995249254683</v>
      </c>
      <c r="V18" s="82">
        <f>'Baseline Consumption'!V18*parameters!$C$31</f>
        <v>0.36827554975114662</v>
      </c>
      <c r="W18" s="82">
        <f>'Baseline Consumption'!W18*parameters!$C$31</f>
        <v>0.37027299109446349</v>
      </c>
      <c r="X18" s="82">
        <f>'Baseline Consumption'!X18*parameters!$C$31</f>
        <v>0.37106156951633823</v>
      </c>
      <c r="Y18" s="82">
        <f>'Baseline Consumption'!Y18*parameters!$C$31</f>
        <v>0.37139496154997731</v>
      </c>
      <c r="Z18" s="82">
        <f>'Baseline Consumption'!Z18*parameters!$C$31</f>
        <v>0.37089265407648564</v>
      </c>
      <c r="AA18" s="82">
        <f>'Baseline Consumption'!AA18*parameters!$C$31</f>
        <v>0.37224871549610034</v>
      </c>
      <c r="AB18" s="82">
        <f>'Baseline Consumption'!AB18*parameters!$C$31</f>
        <v>0.37207909036540271</v>
      </c>
      <c r="AC18" s="82">
        <f>'Baseline Consumption'!AC18*parameters!$C$31</f>
        <v>0.37318715185573798</v>
      </c>
      <c r="AD18" s="82">
        <f>'Baseline Consumption'!AD18*parameters!$C$31</f>
        <v>0.37421578888599488</v>
      </c>
      <c r="AE18" s="82">
        <f>'Baseline Consumption'!AE18*parameters!$C$31</f>
        <v>0.3746243815136901</v>
      </c>
      <c r="AF18" s="82">
        <f>'Baseline Consumption'!AF18*parameters!$C$31</f>
        <v>0.37583328308359898</v>
      </c>
      <c r="AG18" s="82">
        <f>'Baseline Consumption'!AG18*parameters!$C$31</f>
        <v>0.37728432974178738</v>
      </c>
      <c r="AH18" s="82">
        <f>'Baseline Consumption'!AH18*parameters!$C$31</f>
        <v>0.37652235494625486</v>
      </c>
      <c r="AI18" s="82">
        <f>'Baseline Consumption'!AI18*parameters!$C$31</f>
        <v>0.37777085353602741</v>
      </c>
      <c r="AJ18" s="82">
        <f>'Baseline Consumption'!AJ18*parameters!$C$31</f>
        <v>0.37859018389110466</v>
      </c>
      <c r="AK18" s="82">
        <f>'Baseline Consumption'!AK18*parameters!$C$31</f>
        <v>0.37924234082298036</v>
      </c>
    </row>
    <row r="19" spans="1:37">
      <c r="A19" s="57" t="s">
        <v>56</v>
      </c>
      <c r="B19" s="82">
        <f>'Baseline Consumption'!B19*parameters!$C$45</f>
        <v>1.1515238758333064E-2</v>
      </c>
      <c r="C19" s="82">
        <f>'Baseline Consumption'!C19*parameters!$C$45</f>
        <v>9.5300461289957276E-3</v>
      </c>
      <c r="D19" s="82">
        <f>'Baseline Consumption'!D19*parameters!$C$45</f>
        <v>1.218605853625384E-2</v>
      </c>
      <c r="E19" s="82">
        <f>'Baseline Consumption'!E19*parameters!$C$45</f>
        <v>1.4315270961819072E-2</v>
      </c>
      <c r="F19" s="82">
        <f>'Baseline Consumption'!F19*parameters!$C$45</f>
        <v>4.1512946661963626E-3</v>
      </c>
      <c r="G19" s="82">
        <f>'Baseline Consumption'!G19*parameters!$C$45</f>
        <v>4.5530328596992374E-3</v>
      </c>
      <c r="H19" s="82">
        <f>'Baseline Consumption'!H19*parameters!$C$45</f>
        <v>4.4191201285316119E-3</v>
      </c>
      <c r="I19" s="82">
        <f>'Baseline Consumption'!I19*parameters!$C$45</f>
        <v>0</v>
      </c>
      <c r="J19" s="82">
        <f>'Baseline Consumption'!J19*parameters!$C$45</f>
        <v>0</v>
      </c>
      <c r="K19" s="542">
        <f>'Baseline Consumption'!K19*parameters!$C$45</f>
        <v>1.9819084212808441E-3</v>
      </c>
      <c r="L19" s="542">
        <f>'Baseline Consumption'!L19*parameters!$C$45</f>
        <v>1.0311280299907096E-3</v>
      </c>
      <c r="M19" s="541">
        <f>'Baseline Consumption'!M19*parameters!$C$45</f>
        <v>7.7789767041864426E-4</v>
      </c>
      <c r="N19" s="82">
        <f>'Baseline Consumption'!N19*parameters!$C$45</f>
        <v>1.1987260677638978E-3</v>
      </c>
      <c r="O19" s="82">
        <f>'Baseline Consumption'!O19*parameters!$C$45</f>
        <v>1.9189709429055649E-3</v>
      </c>
      <c r="P19" s="82">
        <f>'Baseline Consumption'!P19*parameters!$C$45</f>
        <v>1.863596675796126E-3</v>
      </c>
      <c r="Q19" s="82">
        <f>'Baseline Consumption'!Q19*parameters!$C$45</f>
        <v>1.6147890178138048E-3</v>
      </c>
      <c r="R19" s="82">
        <f>'Baseline Consumption'!R19*parameters!$C$45</f>
        <v>1.5172685173188351E-3</v>
      </c>
      <c r="S19" s="82">
        <f>'Baseline Consumption'!S19*parameters!$C$45</f>
        <v>1.4536723179764269E-3</v>
      </c>
      <c r="T19" s="82">
        <f>'Baseline Consumption'!T19*parameters!$C$45</f>
        <v>1.5446346054294828E-3</v>
      </c>
      <c r="U19" s="82">
        <f>'Baseline Consumption'!U19*parameters!$C$45</f>
        <v>1.6222140648225565E-3</v>
      </c>
      <c r="V19" s="82">
        <f>'Baseline Consumption'!V19*parameters!$C$45</f>
        <v>1.7181249484976451E-3</v>
      </c>
      <c r="W19" s="82">
        <f>'Baseline Consumption'!W19*parameters!$C$45</f>
        <v>1.8175019207590569E-3</v>
      </c>
      <c r="X19" s="82">
        <f>'Baseline Consumption'!X19*parameters!$C$45</f>
        <v>1.9091773828359502E-3</v>
      </c>
      <c r="Y19" s="82">
        <f>'Baseline Consumption'!Y19*parameters!$C$45</f>
        <v>2.0001968704392655E-3</v>
      </c>
      <c r="Z19" s="82">
        <f>'Baseline Consumption'!Z19*parameters!$C$45</f>
        <v>2.0796226196132658E-3</v>
      </c>
      <c r="AA19" s="82">
        <f>'Baseline Consumption'!AA19*parameters!$C$45</f>
        <v>2.1721053064426019E-3</v>
      </c>
      <c r="AB19" s="82">
        <f>'Baseline Consumption'!AB19*parameters!$C$45</f>
        <v>2.2564030536451327E-3</v>
      </c>
      <c r="AC19" s="82">
        <f>'Baseline Consumption'!AC19*parameters!$C$45</f>
        <v>2.3468075633304472E-3</v>
      </c>
      <c r="AD19" s="82">
        <f>'Baseline Consumption'!AD19*parameters!$C$45</f>
        <v>2.435987560748074E-3</v>
      </c>
      <c r="AE19" s="82">
        <f>'Baseline Consumption'!AE19*parameters!$C$45</f>
        <v>2.5244435267919888E-3</v>
      </c>
      <c r="AF19" s="82">
        <f>'Baseline Consumption'!AF19*parameters!$C$45</f>
        <v>2.617953617741281E-3</v>
      </c>
      <c r="AG19" s="82">
        <f>'Baseline Consumption'!AG19*parameters!$C$45</f>
        <v>2.7096175548817583E-3</v>
      </c>
      <c r="AH19" s="82">
        <f>'Baseline Consumption'!AH19*parameters!$C$45</f>
        <v>2.7723324335959714E-3</v>
      </c>
      <c r="AI19" s="82">
        <f>'Baseline Consumption'!AI19*parameters!$C$45</f>
        <v>2.8614460863008394E-3</v>
      </c>
      <c r="AJ19" s="82">
        <f>'Baseline Consumption'!AJ19*parameters!$C$45</f>
        <v>2.9451386859739442E-3</v>
      </c>
      <c r="AK19" s="82">
        <f>'Baseline Consumption'!AK19*parameters!$C$45</f>
        <v>3.0305403603860716E-3</v>
      </c>
    </row>
    <row r="20" spans="1:37">
      <c r="A20" s="57" t="s">
        <v>25</v>
      </c>
      <c r="B20" s="82">
        <f>'Baseline Consumption'!B20*parameters!$C$37</f>
        <v>0.34046486064119219</v>
      </c>
      <c r="C20" s="82">
        <f>'Baseline Consumption'!C20*parameters!$C$37</f>
        <v>0.33911944409526851</v>
      </c>
      <c r="D20" s="82">
        <f>'Baseline Consumption'!D20*parameters!$C$37</f>
        <v>0.33341257950000003</v>
      </c>
      <c r="E20" s="82">
        <f>'Baseline Consumption'!E20*parameters!$C$37</f>
        <v>0.31964204811000002</v>
      </c>
      <c r="F20" s="82">
        <f>'Baseline Consumption'!F20*parameters!$C$37</f>
        <v>0.54135154920000006</v>
      </c>
      <c r="G20" s="82">
        <f>'Baseline Consumption'!G20*parameters!$C$37</f>
        <v>0.68392324000000004</v>
      </c>
      <c r="H20" s="82">
        <f>'Baseline Consumption'!H20*parameters!$C$37</f>
        <v>0.91501038090000009</v>
      </c>
      <c r="I20" s="82">
        <f>'Baseline Consumption'!I20*parameters!$C$37</f>
        <v>0.53924717</v>
      </c>
      <c r="J20" s="82">
        <f>'Baseline Consumption'!J20*parameters!$C$37</f>
        <v>0.51294243000000006</v>
      </c>
      <c r="K20" s="542">
        <f>'Baseline Consumption'!K20*parameters!$C$37</f>
        <v>0.49097797210000005</v>
      </c>
      <c r="L20" s="542">
        <f>'Baseline Consumption'!L20*parameters!$C$37</f>
        <v>0.48951805903000001</v>
      </c>
      <c r="M20" s="541">
        <f>'Baseline Consumption'!M20*parameters!$C$37</f>
        <v>0.52895687491716248</v>
      </c>
      <c r="N20" s="82">
        <f>'Baseline Consumption'!N20*parameters!$C$37</f>
        <v>0.5581020400937533</v>
      </c>
      <c r="O20" s="82">
        <f>'Baseline Consumption'!O20*parameters!$C$37</f>
        <v>0.60928919604120357</v>
      </c>
      <c r="P20" s="82">
        <f>'Baseline Consumption'!P20*parameters!$C$37</f>
        <v>0.59353666325764765</v>
      </c>
      <c r="Q20" s="82">
        <f>'Baseline Consumption'!Q20*parameters!$C$37</f>
        <v>0.58323102517775016</v>
      </c>
      <c r="R20" s="82">
        <f>'Baseline Consumption'!R20*parameters!$C$37</f>
        <v>0.57376484515538539</v>
      </c>
      <c r="S20" s="82">
        <f>'Baseline Consumption'!S20*parameters!$C$37</f>
        <v>0.56943633756804946</v>
      </c>
      <c r="T20" s="82">
        <f>'Baseline Consumption'!T20*parameters!$C$37</f>
        <v>0.56580876187507745</v>
      </c>
      <c r="U20" s="82">
        <f>'Baseline Consumption'!U20*parameters!$C$37</f>
        <v>0.56212773556514806</v>
      </c>
      <c r="V20" s="82">
        <f>'Baseline Consumption'!V20*parameters!$C$37</f>
        <v>0.55888513235189685</v>
      </c>
      <c r="W20" s="82">
        <f>'Baseline Consumption'!W20*parameters!$C$37</f>
        <v>0.55657692855779506</v>
      </c>
      <c r="X20" s="82">
        <f>'Baseline Consumption'!X20*parameters!$C$37</f>
        <v>0.55431598773788637</v>
      </c>
      <c r="Y20" s="82">
        <f>'Baseline Consumption'!Y20*parameters!$C$37</f>
        <v>0.55184509224964506</v>
      </c>
      <c r="Z20" s="82">
        <f>'Baseline Consumption'!Z20*parameters!$C$37</f>
        <v>0.54883661833640507</v>
      </c>
      <c r="AA20" s="82">
        <f>'Baseline Consumption'!AA20*parameters!$C$37</f>
        <v>0.5462903626496094</v>
      </c>
      <c r="AB20" s="82">
        <f>'Baseline Consumption'!AB20*parameters!$C$37</f>
        <v>0.54376623508985422</v>
      </c>
      <c r="AC20" s="82">
        <f>'Baseline Consumption'!AC20*parameters!$C$37</f>
        <v>0.54149614406401159</v>
      </c>
      <c r="AD20" s="82">
        <f>'Baseline Consumption'!AD20*parameters!$C$37</f>
        <v>0.53938298997425449</v>
      </c>
      <c r="AE20" s="82">
        <f>'Baseline Consumption'!AE20*parameters!$C$37</f>
        <v>0.53720157191618245</v>
      </c>
      <c r="AF20" s="82">
        <f>'Baseline Consumption'!AF20*parameters!$C$37</f>
        <v>0.53521772769728182</v>
      </c>
      <c r="AG20" s="82">
        <f>'Baseline Consumption'!AG20*parameters!$C$37</f>
        <v>0.53358732372090056</v>
      </c>
      <c r="AH20" s="82">
        <f>'Baseline Consumption'!AH20*parameters!$C$37</f>
        <v>0.5311697234595073</v>
      </c>
      <c r="AI20" s="82">
        <f>'Baseline Consumption'!AI20*parameters!$C$37</f>
        <v>0.52914506976817632</v>
      </c>
      <c r="AJ20" s="82">
        <f>'Baseline Consumption'!AJ20*parameters!$C$37</f>
        <v>0.5272906206924719</v>
      </c>
      <c r="AK20" s="82">
        <f>'Baseline Consumption'!AK20*parameters!$C$37</f>
        <v>0.52571951144043483</v>
      </c>
    </row>
    <row r="21" spans="1:37">
      <c r="A21" s="57" t="s">
        <v>31</v>
      </c>
      <c r="B21" s="82">
        <f>'Baseline Consumption'!B21*parameters!$C$47</f>
        <v>0</v>
      </c>
      <c r="C21" s="82">
        <f>'Baseline Consumption'!C21*parameters!$C$47</f>
        <v>0</v>
      </c>
      <c r="D21" s="82">
        <f>'Baseline Consumption'!D21*parameters!$C$47</f>
        <v>2.950187231636898E-3</v>
      </c>
      <c r="E21" s="82">
        <f>'Baseline Consumption'!E21*parameters!$C$47</f>
        <v>1.6155787220868724E-3</v>
      </c>
      <c r="F21" s="82">
        <f>'Baseline Consumption'!F21*parameters!$C$47</f>
        <v>2.8237506359953167E-2</v>
      </c>
      <c r="G21" s="82">
        <f>'Baseline Consumption'!G21*parameters!$C$47</f>
        <v>3.1047208485321637E-2</v>
      </c>
      <c r="H21" s="82">
        <f>'Baseline Consumption'!H21*parameters!$C$47</f>
        <v>2.6692170191000503E-3</v>
      </c>
      <c r="I21" s="82">
        <f>'Baseline Consumption'!I21*parameters!$C$47</f>
        <v>0</v>
      </c>
      <c r="J21" s="82">
        <f>'Baseline Consumption'!J21*parameters!$C$47</f>
        <v>0</v>
      </c>
      <c r="K21" s="542">
        <f>'Baseline Consumption'!K21*parameters!$C$47</f>
        <v>8.2886212698369979E-4</v>
      </c>
      <c r="L21" s="542">
        <f>'Baseline Consumption'!L21*parameters!$C$47</f>
        <v>1.6858212752210843E-4</v>
      </c>
      <c r="M21" s="541">
        <f>'Baseline Consumption'!M21*parameters!$C$47</f>
        <v>0</v>
      </c>
      <c r="N21" s="82">
        <f>'Baseline Consumption'!N21*parameters!$C$47</f>
        <v>0</v>
      </c>
      <c r="O21" s="82">
        <f>'Baseline Consumption'!O21*parameters!$C$47</f>
        <v>0</v>
      </c>
      <c r="P21" s="82">
        <f>'Baseline Consumption'!P21*parameters!$C$47</f>
        <v>0</v>
      </c>
      <c r="Q21" s="82">
        <f>'Baseline Consumption'!Q21*parameters!$C$47</f>
        <v>0</v>
      </c>
      <c r="R21" s="82">
        <f>'Baseline Consumption'!R21*parameters!$C$47</f>
        <v>0</v>
      </c>
      <c r="S21" s="82">
        <f>'Baseline Consumption'!S21*parameters!$C$47</f>
        <v>0</v>
      </c>
      <c r="T21" s="82">
        <f>'Baseline Consumption'!T21*parameters!$C$47</f>
        <v>0</v>
      </c>
      <c r="U21" s="82">
        <f>'Baseline Consumption'!U21*parameters!$C$47</f>
        <v>0</v>
      </c>
      <c r="V21" s="82">
        <f>'Baseline Consumption'!V21*parameters!$C$47</f>
        <v>0</v>
      </c>
      <c r="W21" s="82">
        <f>'Baseline Consumption'!W21*parameters!$C$47</f>
        <v>0</v>
      </c>
      <c r="X21" s="82">
        <f>'Baseline Consumption'!X21*parameters!$C$47</f>
        <v>0</v>
      </c>
      <c r="Y21" s="82">
        <f>'Baseline Consumption'!Y21*parameters!$C$47</f>
        <v>0</v>
      </c>
      <c r="Z21" s="82">
        <f>'Baseline Consumption'!Z21*parameters!$C$47</f>
        <v>0</v>
      </c>
      <c r="AA21" s="82">
        <f>'Baseline Consumption'!AA21*parameters!$C$47</f>
        <v>0</v>
      </c>
      <c r="AB21" s="82">
        <f>'Baseline Consumption'!AB21*parameters!$C$47</f>
        <v>0</v>
      </c>
      <c r="AC21" s="82">
        <f>'Baseline Consumption'!AC21*parameters!$C$47</f>
        <v>0</v>
      </c>
      <c r="AD21" s="82">
        <f>'Baseline Consumption'!AD21*parameters!$C$47</f>
        <v>0</v>
      </c>
      <c r="AE21" s="82">
        <f>'Baseline Consumption'!AE21*parameters!$C$47</f>
        <v>0</v>
      </c>
      <c r="AF21" s="82">
        <f>'Baseline Consumption'!AF21*parameters!$C$47</f>
        <v>0</v>
      </c>
      <c r="AG21" s="82">
        <f>'Baseline Consumption'!AG21*parameters!$C$47</f>
        <v>0</v>
      </c>
      <c r="AH21" s="82">
        <f>'Baseline Consumption'!AH21*parameters!$C$47</f>
        <v>0</v>
      </c>
      <c r="AI21" s="82">
        <f>'Baseline Consumption'!AI21*parameters!$C$47</f>
        <v>0</v>
      </c>
      <c r="AJ21" s="82">
        <f>'Baseline Consumption'!AJ21*parameters!$C$47</f>
        <v>0</v>
      </c>
      <c r="AK21" s="82">
        <f>'Baseline Consumption'!AK21*parameters!$C$47</f>
        <v>0</v>
      </c>
    </row>
    <row r="22" spans="1:37" s="425" customFormat="1">
      <c r="A22" s="70" t="s">
        <v>26</v>
      </c>
      <c r="B22" s="430">
        <f>'Baseline Consumption'!B22*parameters!$C$34</f>
        <v>2.8077661308445379</v>
      </c>
      <c r="C22" s="430">
        <f>'Baseline Consumption'!C22*parameters!$C$34</f>
        <v>2.9333854662478194</v>
      </c>
      <c r="D22" s="430">
        <f>'Baseline Consumption'!D22*parameters!$C$34</f>
        <v>2.9763627410666489</v>
      </c>
      <c r="E22" s="430">
        <f>'Baseline Consumption'!E22*parameters!$C$34</f>
        <v>3.0455901080513668</v>
      </c>
      <c r="F22" s="430">
        <f>'Baseline Consumption'!F22*parameters!$C$34</f>
        <v>2.9864652994065239</v>
      </c>
      <c r="G22" s="430">
        <f>'Baseline Consumption'!G22*parameters!$C$34</f>
        <v>2.9119382296861338</v>
      </c>
      <c r="H22" s="430">
        <f>'Baseline Consumption'!H22*parameters!$C$34</f>
        <v>2.9707318069099973</v>
      </c>
      <c r="I22" s="430">
        <f>'Baseline Consumption'!I22*parameters!$C$34</f>
        <v>3.0224867164380456</v>
      </c>
      <c r="J22" s="430">
        <f>'Baseline Consumption'!J22*parameters!$C$34</f>
        <v>3.088733000633948</v>
      </c>
      <c r="K22" s="571">
        <f>'Baseline Consumption'!K22*parameters!$C$34</f>
        <v>3.0654722740956619</v>
      </c>
      <c r="L22" s="571">
        <f>'Baseline Consumption'!L22*parameters!$C$34</f>
        <v>2.8742412755415501</v>
      </c>
      <c r="M22" s="431">
        <f>'Baseline Consumption'!M22*parameters!$C$34</f>
        <v>2.9266712042266008</v>
      </c>
      <c r="N22" s="430">
        <f>'Baseline Consumption'!N22*parameters!$C$34</f>
        <v>2.9789382020694384</v>
      </c>
      <c r="O22" s="430">
        <f>'Baseline Consumption'!O22*parameters!$C$34</f>
        <v>3.1537887581576833</v>
      </c>
      <c r="P22" s="430">
        <f>'Baseline Consumption'!P22*parameters!$C$34</f>
        <v>3.1184594059108739</v>
      </c>
      <c r="Q22" s="430">
        <f>'Baseline Consumption'!Q22*parameters!$C$34</f>
        <v>3.1109555251584355</v>
      </c>
      <c r="R22" s="430">
        <f>'Baseline Consumption'!R22*parameters!$C$34</f>
        <v>3.103572736048807</v>
      </c>
      <c r="S22" s="430">
        <f>'Baseline Consumption'!S22*parameters!$C$34</f>
        <v>3.1020563967090582</v>
      </c>
      <c r="T22" s="430">
        <f>'Baseline Consumption'!T22*parameters!$C$34</f>
        <v>3.1043251707750392</v>
      </c>
      <c r="U22" s="430">
        <f>'Baseline Consumption'!U22*parameters!$C$34</f>
        <v>3.1060523813352354</v>
      </c>
      <c r="V22" s="430">
        <f>'Baseline Consumption'!V22*parameters!$C$34</f>
        <v>3.1142521612345919</v>
      </c>
      <c r="W22" s="430">
        <f>'Baseline Consumption'!W22*parameters!$C$34</f>
        <v>3.1324250490092571</v>
      </c>
      <c r="X22" s="430">
        <f>'Baseline Consumption'!X22*parameters!$C$34</f>
        <v>3.1551916522119328</v>
      </c>
      <c r="Y22" s="430">
        <f>'Baseline Consumption'!Y22*parameters!$C$34</f>
        <v>3.182971824103404</v>
      </c>
      <c r="Z22" s="430">
        <f>'Baseline Consumption'!Z22*parameters!$C$34</f>
        <v>3.2077221531867615</v>
      </c>
      <c r="AA22" s="430">
        <f>'Baseline Consumption'!AA22*parameters!$C$34</f>
        <v>3.2375600713401846</v>
      </c>
      <c r="AB22" s="430">
        <f>'Baseline Consumption'!AB22*parameters!$C$34</f>
        <v>3.269735090225891</v>
      </c>
      <c r="AC22" s="430">
        <f>'Baseline Consumption'!AC22*parameters!$C$34</f>
        <v>3.3034792567187199</v>
      </c>
      <c r="AD22" s="430">
        <f>'Baseline Consumption'!AD22*parameters!$C$34</f>
        <v>3.3377826276859395</v>
      </c>
      <c r="AE22" s="430">
        <f>'Baseline Consumption'!AE22*parameters!$C$34</f>
        <v>3.3723258847387019</v>
      </c>
      <c r="AF22" s="430">
        <f>'Baseline Consumption'!AF22*parameters!$C$34</f>
        <v>3.4080368867832647</v>
      </c>
      <c r="AG22" s="430">
        <f>'Baseline Consumption'!AG22*parameters!$C$34</f>
        <v>3.4412046937807972</v>
      </c>
      <c r="AH22" s="430">
        <f>'Baseline Consumption'!AH22*parameters!$C$34</f>
        <v>3.4747586798645909</v>
      </c>
      <c r="AI22" s="430">
        <f>'Baseline Consumption'!AI22*parameters!$C$34</f>
        <v>3.5094648879828254</v>
      </c>
      <c r="AJ22" s="430">
        <f>'Baseline Consumption'!AJ22*parameters!$C$34</f>
        <v>3.5465527688425382</v>
      </c>
      <c r="AK22" s="430">
        <f>'Baseline Consumption'!AK22*parameters!$C$34</f>
        <v>3.5859376109423633</v>
      </c>
    </row>
    <row r="23" spans="1:37">
      <c r="A23" s="57" t="s">
        <v>57</v>
      </c>
      <c r="B23" s="82">
        <f>'Baseline Consumption'!B23*parameters!$C$36</f>
        <v>0</v>
      </c>
      <c r="C23" s="82">
        <f>'Baseline Consumption'!C23*parameters!$C$36</f>
        <v>0</v>
      </c>
      <c r="D23" s="82">
        <f>'Baseline Consumption'!D23*parameters!$C$36</f>
        <v>0</v>
      </c>
      <c r="E23" s="82">
        <f>'Baseline Consumption'!E23*parameters!$C$36</f>
        <v>0</v>
      </c>
      <c r="F23" s="82">
        <f>'Baseline Consumption'!F23*parameters!$C$36</f>
        <v>0</v>
      </c>
      <c r="G23" s="82">
        <f>'Baseline Consumption'!G23*parameters!$C$36</f>
        <v>0</v>
      </c>
      <c r="H23" s="82">
        <f>'Baseline Consumption'!H23*parameters!$C$36</f>
        <v>0</v>
      </c>
      <c r="I23" s="82">
        <f>'Baseline Consumption'!I23*parameters!$C$36</f>
        <v>0</v>
      </c>
      <c r="J23" s="82">
        <f>'Baseline Consumption'!J23*parameters!$C$36</f>
        <v>0</v>
      </c>
      <c r="K23" s="542">
        <f>'Baseline Consumption'!K23*parameters!$C$36</f>
        <v>0</v>
      </c>
      <c r="L23" s="542">
        <f>'Baseline Consumption'!L23*parameters!$C$36</f>
        <v>0</v>
      </c>
      <c r="M23" s="541">
        <f>'Baseline Consumption'!M23*parameters!$C$36</f>
        <v>0</v>
      </c>
      <c r="N23" s="82">
        <f>'Baseline Consumption'!N23*parameters!$C$36</f>
        <v>0</v>
      </c>
      <c r="O23" s="82">
        <f>'Baseline Consumption'!O23*parameters!$C$36</f>
        <v>0</v>
      </c>
      <c r="P23" s="82">
        <f>'Baseline Consumption'!P23*parameters!$C$36</f>
        <v>0</v>
      </c>
      <c r="Q23" s="82">
        <f>'Baseline Consumption'!Q23*parameters!$C$36</f>
        <v>0</v>
      </c>
      <c r="R23" s="82">
        <f>'Baseline Consumption'!R23*parameters!$C$36</f>
        <v>0</v>
      </c>
      <c r="S23" s="82">
        <f>'Baseline Consumption'!S23*parameters!$C$36</f>
        <v>0</v>
      </c>
      <c r="T23" s="82">
        <f>'Baseline Consumption'!T23*parameters!$C$36</f>
        <v>0</v>
      </c>
      <c r="U23" s="82">
        <f>'Baseline Consumption'!U23*parameters!$C$36</f>
        <v>0</v>
      </c>
      <c r="V23" s="82">
        <f>'Baseline Consumption'!V23*parameters!$C$36</f>
        <v>0</v>
      </c>
      <c r="W23" s="82">
        <f>'Baseline Consumption'!W23*parameters!$C$36</f>
        <v>0</v>
      </c>
      <c r="X23" s="82">
        <f>'Baseline Consumption'!X23*parameters!$C$36</f>
        <v>0</v>
      </c>
      <c r="Y23" s="82">
        <f>'Baseline Consumption'!Y23*parameters!$C$36</f>
        <v>0</v>
      </c>
      <c r="Z23" s="82">
        <f>'Baseline Consumption'!Z23*parameters!$C$36</f>
        <v>0</v>
      </c>
      <c r="AA23" s="82">
        <f>'Baseline Consumption'!AA23*parameters!$C$36</f>
        <v>0</v>
      </c>
      <c r="AB23" s="82">
        <f>'Baseline Consumption'!AB23*parameters!$C$36</f>
        <v>0</v>
      </c>
      <c r="AC23" s="82">
        <f>'Baseline Consumption'!AC23*parameters!$C$36</f>
        <v>0</v>
      </c>
      <c r="AD23" s="82">
        <f>'Baseline Consumption'!AD23*parameters!$C$36</f>
        <v>0</v>
      </c>
      <c r="AE23" s="82">
        <f>'Baseline Consumption'!AE23*parameters!$C$36</f>
        <v>0</v>
      </c>
      <c r="AF23" s="82">
        <f>'Baseline Consumption'!AF23*parameters!$C$36</f>
        <v>0</v>
      </c>
      <c r="AG23" s="82">
        <f>'Baseline Consumption'!AG23*parameters!$C$36</f>
        <v>0</v>
      </c>
      <c r="AH23" s="82">
        <f>'Baseline Consumption'!AH23*parameters!$C$36</f>
        <v>0</v>
      </c>
      <c r="AI23" s="82">
        <f>'Baseline Consumption'!AI23*parameters!$C$36</f>
        <v>0</v>
      </c>
      <c r="AJ23" s="82">
        <f>'Baseline Consumption'!AJ23*parameters!$C$36</f>
        <v>0</v>
      </c>
      <c r="AK23" s="82">
        <f>'Baseline Consumption'!AK23*parameters!$C$36</f>
        <v>0</v>
      </c>
    </row>
    <row r="24" spans="1:37">
      <c r="A24" s="57" t="s">
        <v>59</v>
      </c>
      <c r="B24" s="82">
        <f>'Baseline Consumption'!B22*parameters!$C$50</f>
        <v>0</v>
      </c>
      <c r="C24" s="82">
        <f>'Baseline Consumption'!C22*parameters!$C$50</f>
        <v>0</v>
      </c>
      <c r="D24" s="82">
        <f>'Baseline Consumption'!D22*parameters!$C$50</f>
        <v>0</v>
      </c>
      <c r="E24" s="82">
        <f>'Baseline Consumption'!E22*parameters!$C$50</f>
        <v>0</v>
      </c>
      <c r="F24" s="82">
        <f>'Baseline Consumption'!F22*parameters!$C$50</f>
        <v>0</v>
      </c>
      <c r="G24" s="82">
        <f>'Baseline Consumption'!G22*parameters!$C$50</f>
        <v>0</v>
      </c>
      <c r="H24" s="82">
        <f>'Baseline Consumption'!H22*parameters!$C$50</f>
        <v>0</v>
      </c>
      <c r="I24" s="82">
        <f>'Baseline Consumption'!I22*parameters!$C$50</f>
        <v>0</v>
      </c>
      <c r="J24" s="82">
        <f>'Baseline Consumption'!J22*parameters!$C$50</f>
        <v>0</v>
      </c>
      <c r="K24" s="542">
        <f>'Baseline Consumption'!K22*parameters!$C$50</f>
        <v>0</v>
      </c>
      <c r="L24" s="542">
        <f>'Baseline Consumption'!L22*parameters!$C$50</f>
        <v>0</v>
      </c>
      <c r="M24" s="541">
        <f>'Baseline Consumption'!M22*parameters!$C$50</f>
        <v>0</v>
      </c>
      <c r="N24" s="82">
        <f>'Baseline Consumption'!N22*parameters!$C$50</f>
        <v>0</v>
      </c>
      <c r="O24" s="82">
        <f>'Baseline Consumption'!O22*parameters!$C$50</f>
        <v>0</v>
      </c>
      <c r="P24" s="82">
        <f>'Baseline Consumption'!P22*parameters!$C$50</f>
        <v>0</v>
      </c>
      <c r="Q24" s="82">
        <f>'Baseline Consumption'!Q22*parameters!$C$50</f>
        <v>0</v>
      </c>
      <c r="R24" s="82">
        <f>'Baseline Consumption'!R22*parameters!$C$50</f>
        <v>0</v>
      </c>
      <c r="S24" s="82">
        <f>'Baseline Consumption'!S22*parameters!$C$50</f>
        <v>0</v>
      </c>
      <c r="T24" s="82">
        <f>'Baseline Consumption'!T22*parameters!$C$50</f>
        <v>0</v>
      </c>
      <c r="U24" s="82">
        <f>'Baseline Consumption'!U22*parameters!$C$50</f>
        <v>0</v>
      </c>
      <c r="V24" s="82">
        <f>'Baseline Consumption'!V22*parameters!$C$50</f>
        <v>0</v>
      </c>
      <c r="W24" s="82">
        <f>'Baseline Consumption'!W22*parameters!$C$50</f>
        <v>0</v>
      </c>
      <c r="X24" s="82">
        <f>'Baseline Consumption'!X22*parameters!$C$50</f>
        <v>0</v>
      </c>
      <c r="Y24" s="82">
        <f>'Baseline Consumption'!Y22*parameters!$C$50</f>
        <v>0</v>
      </c>
      <c r="Z24" s="82">
        <f>'Baseline Consumption'!Z22*parameters!$C$50</f>
        <v>0</v>
      </c>
      <c r="AA24" s="82">
        <f>'Baseline Consumption'!AA22*parameters!$C$50</f>
        <v>0</v>
      </c>
      <c r="AB24" s="82">
        <f>'Baseline Consumption'!AB22*parameters!$C$50</f>
        <v>0</v>
      </c>
      <c r="AC24" s="82">
        <f>'Baseline Consumption'!AC22*parameters!$C$50</f>
        <v>0</v>
      </c>
      <c r="AD24" s="82">
        <f>'Baseline Consumption'!AD22*parameters!$C$50</f>
        <v>0</v>
      </c>
      <c r="AE24" s="82">
        <f>'Baseline Consumption'!AE22*parameters!$C$50</f>
        <v>0</v>
      </c>
      <c r="AF24" s="82">
        <f>'Baseline Consumption'!AF22*parameters!$C$50</f>
        <v>0</v>
      </c>
      <c r="AG24" s="82">
        <f>'Baseline Consumption'!AG22*parameters!$C$50</f>
        <v>0</v>
      </c>
      <c r="AH24" s="82">
        <f>'Baseline Consumption'!AH22*parameters!$C$50</f>
        <v>0</v>
      </c>
      <c r="AI24" s="82">
        <f>'Baseline Consumption'!AI22*parameters!$C$50</f>
        <v>0</v>
      </c>
      <c r="AJ24" s="82">
        <f>'Baseline Consumption'!AJ22*parameters!$C$50</f>
        <v>0</v>
      </c>
      <c r="AK24" s="82">
        <f>'Baseline Consumption'!AK22*parameters!$C$50</f>
        <v>0</v>
      </c>
    </row>
    <row r="25" spans="1:37">
      <c r="A25" s="57" t="s">
        <v>27</v>
      </c>
      <c r="B25" s="82">
        <f>B91*'Baseline Consumption'!B95</f>
        <v>6.1125499214584158</v>
      </c>
      <c r="C25" s="82">
        <f>C91*'Baseline Consumption'!C95</f>
        <v>5.6564693512991751</v>
      </c>
      <c r="D25" s="82">
        <f>D91*'Baseline Consumption'!D95</f>
        <v>6.1793543454363196</v>
      </c>
      <c r="E25" s="82">
        <f>E91*'Baseline Consumption'!E95</f>
        <v>6.2992551843322966</v>
      </c>
      <c r="F25" s="82">
        <f>F91*'Baseline Consumption'!F95</f>
        <v>6.6562679782593541</v>
      </c>
      <c r="G25" s="82">
        <f>G91*'Baseline Consumption'!G95</f>
        <v>6.8720816294570328</v>
      </c>
      <c r="H25" s="82">
        <f>H91*'Baseline Consumption'!H95</f>
        <v>5.1139796065473879</v>
      </c>
      <c r="I25" s="82">
        <f>I91*'Baseline Consumption'!I95</f>
        <v>4.9372863241752869</v>
      </c>
      <c r="J25" s="82">
        <f>J91*'Baseline Consumption'!J95</f>
        <v>6.3654817303870947</v>
      </c>
      <c r="K25" s="542">
        <f>K91*'Baseline Consumption'!K95</f>
        <v>6.6149764942316915</v>
      </c>
      <c r="L25" s="542">
        <f>L91*'Baseline Consumption'!L95</f>
        <v>7.0028052045400679</v>
      </c>
      <c r="M25" s="541">
        <f>M91*'Baseline Consumption'!M95</f>
        <v>5.6460437248725226</v>
      </c>
      <c r="N25" s="82">
        <f>N91*'Baseline Consumption'!N95</f>
        <v>5.6071265092057505</v>
      </c>
      <c r="O25" s="82">
        <f>O91*'Baseline Consumption'!O95</f>
        <v>5.3868289806009635</v>
      </c>
      <c r="P25" s="82">
        <f>P91*'Baseline Consumption'!P95</f>
        <v>5.1742165418147446</v>
      </c>
      <c r="Q25" s="82">
        <f>Q91*'Baseline Consumption'!Q95</f>
        <v>4.9559212414860694</v>
      </c>
      <c r="R25" s="82">
        <f>R91*'Baseline Consumption'!R95</f>
        <v>4.3945789280684133</v>
      </c>
      <c r="S25" s="82">
        <f>S91*'Baseline Consumption'!S95</f>
        <v>4.3109800115211865</v>
      </c>
      <c r="T25" s="82">
        <f>T91*'Baseline Consumption'!T95</f>
        <v>3.9576607748754604</v>
      </c>
      <c r="U25" s="82">
        <f>U91*'Baseline Consumption'!U95</f>
        <v>3.8756129728668633</v>
      </c>
      <c r="V25" s="82">
        <f>V91*'Baseline Consumption'!V95</f>
        <v>3.8007220451373653</v>
      </c>
      <c r="W25" s="82">
        <f>W91*'Baseline Consumption'!W95</f>
        <v>3.2715852818470945</v>
      </c>
      <c r="X25" s="82">
        <f>X91*'Baseline Consumption'!X95</f>
        <v>3.2301110516561695</v>
      </c>
      <c r="Y25" s="82">
        <f>Y91*'Baseline Consumption'!Y95</f>
        <v>3.2093824783826541</v>
      </c>
      <c r="Z25" s="82">
        <f>Z91*'Baseline Consumption'!Z95</f>
        <v>3.2144023481448638</v>
      </c>
      <c r="AA25" s="82">
        <f>AA91*'Baseline Consumption'!AA95</f>
        <v>3.2511226767330266</v>
      </c>
      <c r="AB25" s="82">
        <f>AB91*'Baseline Consumption'!AB95</f>
        <v>3.2972472769906718</v>
      </c>
      <c r="AC25" s="82">
        <f>AC91*'Baseline Consumption'!AC95</f>
        <v>3.3490361406988352</v>
      </c>
      <c r="AD25" s="82">
        <f>AD91*'Baseline Consumption'!AD95</f>
        <v>3.4035150817734712</v>
      </c>
      <c r="AE25" s="82">
        <f>AE91*'Baseline Consumption'!AE95</f>
        <v>3.4588660468325703</v>
      </c>
      <c r="AF25" s="82">
        <f>AF91*'Baseline Consumption'!AF95</f>
        <v>3.519860505715803</v>
      </c>
      <c r="AG25" s="82">
        <f>AG91*'Baseline Consumption'!AG95</f>
        <v>3.5722117629237924</v>
      </c>
      <c r="AH25" s="82">
        <f>AH91*'Baseline Consumption'!AH95</f>
        <v>3.6276667017222786</v>
      </c>
      <c r="AI25" s="82">
        <f>AI91*'Baseline Consumption'!AI95</f>
        <v>3.6831222269274302</v>
      </c>
      <c r="AJ25" s="82">
        <f>AJ91*'Baseline Consumption'!AJ95</f>
        <v>3.7385738163097924</v>
      </c>
      <c r="AK25" s="82">
        <f>AK91*'Baseline Consumption'!AK95</f>
        <v>3.793994282474312</v>
      </c>
    </row>
    <row r="26" spans="1:37" s="7" customFormat="1">
      <c r="A26" s="50" t="s">
        <v>28</v>
      </c>
      <c r="B26" s="87">
        <f>SUM(B17:B25)</f>
        <v>9.3769033147732337</v>
      </c>
      <c r="C26" s="87">
        <f>SUM(C17:C25)</f>
        <v>9.0294154226936278</v>
      </c>
      <c r="D26" s="87">
        <f t="shared" ref="D26:AF26" si="1">SUM(D17:D25)</f>
        <v>9.619412831943702</v>
      </c>
      <c r="E26" s="87">
        <f t="shared" si="1"/>
        <v>9.7890921605214505</v>
      </c>
      <c r="F26" s="87">
        <f t="shared" si="1"/>
        <v>10.410942744643721</v>
      </c>
      <c r="G26" s="87">
        <f t="shared" si="1"/>
        <v>10.721435921071478</v>
      </c>
      <c r="H26" s="87">
        <f t="shared" si="1"/>
        <v>9.2301895441318038</v>
      </c>
      <c r="I26" s="87">
        <f t="shared" si="1"/>
        <v>8.7377515443610427</v>
      </c>
      <c r="J26" s="87">
        <f t="shared" si="1"/>
        <v>10.218245515145266</v>
      </c>
      <c r="K26" s="445">
        <f t="shared" si="1"/>
        <v>10.397460191346752</v>
      </c>
      <c r="L26" s="445">
        <f t="shared" si="1"/>
        <v>10.597520523146613</v>
      </c>
      <c r="M26" s="372">
        <f t="shared" si="1"/>
        <v>9.7753695162359051</v>
      </c>
      <c r="N26" s="87">
        <f t="shared" si="1"/>
        <v>9.8373874075489667</v>
      </c>
      <c r="O26" s="87">
        <f t="shared" si="1"/>
        <v>9.891956373136253</v>
      </c>
      <c r="P26" s="87">
        <f t="shared" si="1"/>
        <v>9.6039530131352748</v>
      </c>
      <c r="Q26" s="87">
        <f t="shared" si="1"/>
        <v>9.3157585076743921</v>
      </c>
      <c r="R26" s="87">
        <f t="shared" si="1"/>
        <v>8.7067006449586231</v>
      </c>
      <c r="S26" s="87">
        <f t="shared" si="1"/>
        <v>8.5940206481318828</v>
      </c>
      <c r="T26" s="87">
        <f t="shared" si="1"/>
        <v>8.2395774582637653</v>
      </c>
      <c r="U26" s="87">
        <f t="shared" si="1"/>
        <v>8.1549048125475565</v>
      </c>
      <c r="V26" s="87">
        <f t="shared" si="1"/>
        <v>8.0908572919963042</v>
      </c>
      <c r="W26" s="87">
        <f t="shared" si="1"/>
        <v>7.5835204076148628</v>
      </c>
      <c r="X26" s="87">
        <f t="shared" si="1"/>
        <v>7.5674443877268391</v>
      </c>
      <c r="Y26" s="87">
        <f t="shared" si="1"/>
        <v>7.5762443442167511</v>
      </c>
      <c r="Z26" s="87">
        <f t="shared" si="1"/>
        <v>7.6054373422675488</v>
      </c>
      <c r="AA26" s="87">
        <f t="shared" si="1"/>
        <v>7.6747235297361946</v>
      </c>
      <c r="AB26" s="87">
        <f t="shared" si="1"/>
        <v>7.7536441696790934</v>
      </c>
      <c r="AC26" s="87">
        <f t="shared" si="1"/>
        <v>7.8409681772552489</v>
      </c>
      <c r="AD26" s="87">
        <f t="shared" si="1"/>
        <v>7.9317743173997028</v>
      </c>
      <c r="AE26" s="87">
        <f t="shared" si="1"/>
        <v>8.0232814421700045</v>
      </c>
      <c r="AF26" s="87">
        <f t="shared" si="1"/>
        <v>8.1222648626805487</v>
      </c>
      <c r="AG26" s="87">
        <f>SUM(AG17:AG25)</f>
        <v>8.2105346685232963</v>
      </c>
      <c r="AH26" s="87">
        <f>SUM(AH17:AH25)</f>
        <v>8.3000462469369385</v>
      </c>
      <c r="AI26" s="87">
        <f>SUM(AI17:AI25)</f>
        <v>8.3916128910636498</v>
      </c>
      <c r="AJ26" s="87">
        <f>SUM(AJ17:AJ25)</f>
        <v>8.4864971459466414</v>
      </c>
      <c r="AK26" s="87">
        <f>SUM(AK17:AK25)</f>
        <v>8.5839601508634225</v>
      </c>
    </row>
    <row r="27" spans="1:37">
      <c r="A27" s="57"/>
      <c r="B27" s="82"/>
      <c r="C27" s="82"/>
      <c r="D27" s="82"/>
      <c r="E27" s="82"/>
      <c r="F27" s="82"/>
      <c r="G27" s="82"/>
      <c r="H27" s="82"/>
      <c r="I27" s="82"/>
      <c r="J27" s="82"/>
      <c r="K27" s="542"/>
      <c r="L27" s="542"/>
      <c r="M27" s="541"/>
      <c r="N27" s="82"/>
      <c r="O27" s="82"/>
      <c r="P27" s="82"/>
      <c r="Q27" s="82"/>
      <c r="R27" s="82"/>
      <c r="S27" s="82"/>
      <c r="T27" s="82"/>
      <c r="U27" s="82"/>
      <c r="V27" s="82"/>
      <c r="W27" s="82"/>
      <c r="X27" s="82"/>
      <c r="Y27" s="82"/>
      <c r="Z27" s="82"/>
      <c r="AA27" s="82"/>
      <c r="AB27" s="82"/>
      <c r="AC27" s="82"/>
      <c r="AD27" s="82"/>
      <c r="AE27" s="82"/>
      <c r="AF27" s="82"/>
      <c r="AG27" s="76"/>
      <c r="AH27" s="76"/>
      <c r="AI27" s="76"/>
      <c r="AJ27" s="76"/>
      <c r="AK27" s="76"/>
    </row>
    <row r="28" spans="1:37">
      <c r="A28" s="57" t="s">
        <v>32</v>
      </c>
      <c r="B28" s="82"/>
      <c r="C28" s="82"/>
      <c r="D28" s="82"/>
      <c r="E28" s="82"/>
      <c r="F28" s="82"/>
      <c r="G28" s="82"/>
      <c r="H28" s="82"/>
      <c r="I28" s="82"/>
      <c r="J28" s="82"/>
      <c r="K28" s="542"/>
      <c r="L28" s="542"/>
      <c r="M28" s="541"/>
      <c r="N28" s="82"/>
      <c r="O28" s="82"/>
      <c r="P28" s="82"/>
      <c r="Q28" s="82"/>
      <c r="R28" s="82"/>
      <c r="S28" s="82"/>
      <c r="T28" s="82"/>
      <c r="U28" s="82"/>
      <c r="V28" s="82"/>
      <c r="W28" s="82"/>
      <c r="X28" s="82"/>
      <c r="Y28" s="82"/>
      <c r="Z28" s="82"/>
      <c r="AA28" s="82"/>
      <c r="AB28" s="82"/>
      <c r="AC28" s="82"/>
      <c r="AD28" s="82"/>
      <c r="AE28" s="82"/>
      <c r="AF28" s="82"/>
      <c r="AG28" s="76"/>
      <c r="AH28" s="76"/>
      <c r="AI28" s="76"/>
      <c r="AJ28" s="76"/>
      <c r="AK28" s="76"/>
    </row>
    <row r="29" spans="1:37">
      <c r="A29" s="57" t="s">
        <v>24</v>
      </c>
      <c r="B29" s="82">
        <f>'Baseline Consumption'!B29*parameters!$C$42</f>
        <v>0.29376546648868512</v>
      </c>
      <c r="C29" s="82">
        <f>'Baseline Consumption'!C29*parameters!$C$42</f>
        <v>0.26465121865516184</v>
      </c>
      <c r="D29" s="82">
        <f>'Baseline Consumption'!D29*parameters!$C$42</f>
        <v>0.11257245563003722</v>
      </c>
      <c r="E29" s="82">
        <f>'Baseline Consumption'!E29*parameters!$C$42</f>
        <v>0.112831953057944</v>
      </c>
      <c r="F29" s="82">
        <f>'Baseline Consumption'!F29*parameters!$C$42</f>
        <v>0.33821164770517215</v>
      </c>
      <c r="G29" s="82">
        <f>'Baseline Consumption'!G29*parameters!$C$42</f>
        <v>0.32400107427218172</v>
      </c>
      <c r="H29" s="82">
        <f>'Baseline Consumption'!H29*parameters!$C$42</f>
        <v>0.37256416435187945</v>
      </c>
      <c r="I29" s="82">
        <f>'Baseline Consumption'!I29*parameters!$C$42</f>
        <v>0.33363955016586216</v>
      </c>
      <c r="J29" s="82">
        <f>'Baseline Consumption'!J29*parameters!$C$42</f>
        <v>0.34599657054237565</v>
      </c>
      <c r="K29" s="542">
        <f>'Baseline Consumption'!K29*parameters!$C$42</f>
        <v>0.28920370489191999</v>
      </c>
      <c r="L29" s="542">
        <f>'Baseline Consumption'!L29*parameters!$C$42</f>
        <v>0.32814067609831371</v>
      </c>
      <c r="M29" s="541">
        <f>'Baseline Consumption'!M29*parameters!$C$42</f>
        <v>0.3564641775293918</v>
      </c>
      <c r="N29" s="82">
        <f>'Baseline Consumption'!N29*parameters!$C$42</f>
        <v>0.36577516174809455</v>
      </c>
      <c r="O29" s="82">
        <f>'Baseline Consumption'!O29*parameters!$C$42</f>
        <v>0.40475071631365112</v>
      </c>
      <c r="P29" s="82">
        <f>'Baseline Consumption'!P29*parameters!$C$42</f>
        <v>0.40071949448723615</v>
      </c>
      <c r="Q29" s="82">
        <f>'Baseline Consumption'!Q29*parameters!$C$42</f>
        <v>0.42227949443132107</v>
      </c>
      <c r="R29" s="82">
        <f>'Baseline Consumption'!R29*parameters!$C$42</f>
        <v>0.43604048543428364</v>
      </c>
      <c r="S29" s="82">
        <f>'Baseline Consumption'!S29*parameters!$C$42</f>
        <v>0.44892127654076985</v>
      </c>
      <c r="T29" s="82">
        <f>'Baseline Consumption'!T29*parameters!$C$42</f>
        <v>0.46396896809739768</v>
      </c>
      <c r="U29" s="82">
        <f>'Baseline Consumption'!U29*parameters!$C$42</f>
        <v>0.48065630050770081</v>
      </c>
      <c r="V29" s="82">
        <f>'Baseline Consumption'!V29*parameters!$C$42</f>
        <v>0.48873108414695271</v>
      </c>
      <c r="W29" s="82">
        <f>'Baseline Consumption'!W29*parameters!$C$42</f>
        <v>0.49484907011120521</v>
      </c>
      <c r="X29" s="82">
        <f>'Baseline Consumption'!X29*parameters!$C$42</f>
        <v>0.50351550940680845</v>
      </c>
      <c r="Y29" s="82">
        <f>'Baseline Consumption'!Y29*parameters!$C$42</f>
        <v>0.51457844929825747</v>
      </c>
      <c r="Z29" s="82">
        <f>'Baseline Consumption'!Z29*parameters!$C$42</f>
        <v>0.52399908935880191</v>
      </c>
      <c r="AA29" s="82">
        <f>'Baseline Consumption'!AA29*parameters!$C$42</f>
        <v>0.53244775670977673</v>
      </c>
      <c r="AB29" s="82">
        <f>'Baseline Consumption'!AB29*parameters!$C$42</f>
        <v>0.53997576718064877</v>
      </c>
      <c r="AC29" s="82">
        <f>'Baseline Consumption'!AC29*parameters!$C$42</f>
        <v>0.54474301428405603</v>
      </c>
      <c r="AD29" s="82">
        <f>'Baseline Consumption'!AD29*parameters!$C$42</f>
        <v>0.55183406078659458</v>
      </c>
      <c r="AE29" s="82">
        <f>'Baseline Consumption'!AE29*parameters!$C$42</f>
        <v>0.55485023681945067</v>
      </c>
      <c r="AF29" s="82">
        <f>'Baseline Consumption'!AF29*parameters!$C$42</f>
        <v>0.55746992215596369</v>
      </c>
      <c r="AG29" s="82">
        <f>'Baseline Consumption'!AG29*parameters!$C$42</f>
        <v>0.56115761445449996</v>
      </c>
      <c r="AH29" s="82">
        <f>'Baseline Consumption'!AH29*parameters!$C$42</f>
        <v>0.56736237108023502</v>
      </c>
      <c r="AI29" s="82">
        <f>'Baseline Consumption'!AI29*parameters!$C$42</f>
        <v>0.57665215367906164</v>
      </c>
      <c r="AJ29" s="82">
        <f>'Baseline Consumption'!AJ29*parameters!$C$42</f>
        <v>0.57998395340746123</v>
      </c>
      <c r="AK29" s="82">
        <f>'Baseline Consumption'!AK29*parameters!$C$42</f>
        <v>0.58193770454496552</v>
      </c>
    </row>
    <row r="30" spans="1:37">
      <c r="A30" s="57" t="s">
        <v>30</v>
      </c>
      <c r="B30" s="82">
        <f>'Baseline Consumption'!B30*parameters!$C$31</f>
        <v>0.41049136637050876</v>
      </c>
      <c r="C30" s="82">
        <f>'Baseline Consumption'!C30*parameters!$C$31</f>
        <v>0.42081465420273995</v>
      </c>
      <c r="D30" s="82">
        <f>'Baseline Consumption'!D30*parameters!$C$31</f>
        <v>0.32875299486989901</v>
      </c>
      <c r="E30" s="82">
        <f>'Baseline Consumption'!E30*parameters!$C$31</f>
        <v>0.31933275502852382</v>
      </c>
      <c r="F30" s="82">
        <f>'Baseline Consumption'!F30*parameters!$C$31</f>
        <v>0.27888113688614796</v>
      </c>
      <c r="G30" s="82">
        <f>'Baseline Consumption'!G30*parameters!$C$31</f>
        <v>0.33458093229711899</v>
      </c>
      <c r="H30" s="82">
        <f>'Baseline Consumption'!H30*parameters!$C$31</f>
        <v>0.40442064146593498</v>
      </c>
      <c r="I30" s="82">
        <f>'Baseline Consumption'!I30*parameters!$C$31</f>
        <v>0.34394384816380014</v>
      </c>
      <c r="J30" s="82">
        <f>'Baseline Consumption'!J30*parameters!$C$31</f>
        <v>0.36305183972845573</v>
      </c>
      <c r="K30" s="542">
        <f>'Baseline Consumption'!K30*parameters!$C$31</f>
        <v>0.41829304334187495</v>
      </c>
      <c r="L30" s="542">
        <f>'Baseline Consumption'!L30*parameters!$C$31</f>
        <v>0.32080407037900227</v>
      </c>
      <c r="M30" s="541">
        <f>'Baseline Consumption'!M30*parameters!$C$31</f>
        <v>0.40533831863025982</v>
      </c>
      <c r="N30" s="82">
        <f>'Baseline Consumption'!N30*parameters!$C$31</f>
        <v>0.40589287067881252</v>
      </c>
      <c r="O30" s="82">
        <f>'Baseline Consumption'!O30*parameters!$C$31</f>
        <v>0.40939037643154491</v>
      </c>
      <c r="P30" s="82">
        <f>'Baseline Consumption'!P30*parameters!$C$31</f>
        <v>0.41753500042287695</v>
      </c>
      <c r="Q30" s="82">
        <f>'Baseline Consumption'!Q30*parameters!$C$31</f>
        <v>0.42220149483019748</v>
      </c>
      <c r="R30" s="82">
        <f>'Baseline Consumption'!R30*parameters!$C$31</f>
        <v>0.42609015545179585</v>
      </c>
      <c r="S30" s="82">
        <f>'Baseline Consumption'!S30*parameters!$C$31</f>
        <v>0.4300135465436648</v>
      </c>
      <c r="T30" s="82">
        <f>'Baseline Consumption'!T30*parameters!$C$31</f>
        <v>0.43311099936866021</v>
      </c>
      <c r="U30" s="82">
        <f>'Baseline Consumption'!U30*parameters!$C$31</f>
        <v>0.43628506699424957</v>
      </c>
      <c r="V30" s="82">
        <f>'Baseline Consumption'!V30*parameters!$C$31</f>
        <v>0.43861686686698514</v>
      </c>
      <c r="W30" s="82">
        <f>'Baseline Consumption'!W30*parameters!$C$31</f>
        <v>0.44180612459652097</v>
      </c>
      <c r="X30" s="82">
        <f>'Baseline Consumption'!X30*parameters!$C$31</f>
        <v>0.44566422785260801</v>
      </c>
      <c r="Y30" s="82">
        <f>'Baseline Consumption'!Y30*parameters!$C$31</f>
        <v>0.44731756190600552</v>
      </c>
      <c r="Z30" s="82">
        <f>'Baseline Consumption'!Z30*parameters!$C$31</f>
        <v>0.4498521379727472</v>
      </c>
      <c r="AA30" s="82">
        <f>'Baseline Consumption'!AA30*parameters!$C$31</f>
        <v>0.45199742629068024</v>
      </c>
      <c r="AB30" s="82">
        <f>'Baseline Consumption'!AB30*parameters!$C$31</f>
        <v>0.45495167549412263</v>
      </c>
      <c r="AC30" s="82">
        <f>'Baseline Consumption'!AC30*parameters!$C$31</f>
        <v>0.45800089350313095</v>
      </c>
      <c r="AD30" s="82">
        <f>'Baseline Consumption'!AD30*parameters!$C$31</f>
        <v>0.46005407008921384</v>
      </c>
      <c r="AE30" s="82">
        <f>'Baseline Consumption'!AE30*parameters!$C$31</f>
        <v>0.46267117761976634</v>
      </c>
      <c r="AF30" s="82">
        <f>'Baseline Consumption'!AF30*parameters!$C$31</f>
        <v>0.46509494977218696</v>
      </c>
      <c r="AG30" s="82">
        <f>'Baseline Consumption'!AG30*parameters!$C$31</f>
        <v>0.46775919104140418</v>
      </c>
      <c r="AH30" s="82">
        <f>'Baseline Consumption'!AH30*parameters!$C$31</f>
        <v>0.4708485282954431</v>
      </c>
      <c r="AI30" s="82">
        <f>'Baseline Consumption'!AI30*parameters!$C$31</f>
        <v>0.47367339891901145</v>
      </c>
      <c r="AJ30" s="82">
        <f>'Baseline Consumption'!AJ30*parameters!$C$31</f>
        <v>0.47718118492053146</v>
      </c>
      <c r="AK30" s="82">
        <f>'Baseline Consumption'!AK30*parameters!$C$31</f>
        <v>0.48087859293538199</v>
      </c>
    </row>
    <row r="31" spans="1:37">
      <c r="A31" s="57" t="s">
        <v>25</v>
      </c>
      <c r="B31" s="82">
        <f>'Baseline Consumption'!B31*parameters!$C$37</f>
        <v>1.3134286543884857</v>
      </c>
      <c r="C31" s="82">
        <f>'Baseline Consumption'!C31*parameters!$C$37</f>
        <v>1.3573026306593434</v>
      </c>
      <c r="D31" s="82">
        <f>'Baseline Consumption'!D31*parameters!$C$37</f>
        <v>1.1723652917900003</v>
      </c>
      <c r="E31" s="82">
        <f>'Baseline Consumption'!E31*parameters!$C$37</f>
        <v>1.0886973363805001</v>
      </c>
      <c r="F31" s="82">
        <f>'Baseline Consumption'!F31*parameters!$C$37</f>
        <v>1.1255462268050003</v>
      </c>
      <c r="G31" s="82">
        <f>'Baseline Consumption'!G31*parameters!$C$37</f>
        <v>1.1880710503200003</v>
      </c>
      <c r="H31" s="82">
        <f>'Baseline Consumption'!H31*parameters!$C$37</f>
        <v>1.2939358150950002</v>
      </c>
      <c r="I31" s="82">
        <f>'Baseline Consumption'!I31*parameters!$C$37</f>
        <v>1.3021863085000003</v>
      </c>
      <c r="J31" s="82">
        <f>'Baseline Consumption'!J31*parameters!$C$37</f>
        <v>1.3419477225000003</v>
      </c>
      <c r="K31" s="542">
        <f>'Baseline Consumption'!K31*parameters!$C$37</f>
        <v>1.3679616276095001</v>
      </c>
      <c r="L31" s="542">
        <f>'Baseline Consumption'!L31*parameters!$C$37</f>
        <v>1.3029517157195001</v>
      </c>
      <c r="M31" s="541">
        <f>'Baseline Consumption'!M31*parameters!$C$37</f>
        <v>1.1297770402520484</v>
      </c>
      <c r="N31" s="82">
        <f>'Baseline Consumption'!N31*parameters!$C$37</f>
        <v>1.1529684781370322</v>
      </c>
      <c r="O31" s="82">
        <f>'Baseline Consumption'!O31*parameters!$C$37</f>
        <v>1.1834048172634895</v>
      </c>
      <c r="P31" s="82">
        <f>'Baseline Consumption'!P31*parameters!$C$37</f>
        <v>1.2177618271647743</v>
      </c>
      <c r="Q31" s="82">
        <f>'Baseline Consumption'!Q31*parameters!$C$37</f>
        <v>1.2364541072667214</v>
      </c>
      <c r="R31" s="82">
        <f>'Baseline Consumption'!R31*parameters!$C$37</f>
        <v>1.2536066221442481</v>
      </c>
      <c r="S31" s="82">
        <f>'Baseline Consumption'!S31*parameters!$C$37</f>
        <v>1.2706783579326184</v>
      </c>
      <c r="T31" s="82">
        <f>'Baseline Consumption'!T31*parameters!$C$37</f>
        <v>1.2866887822554558</v>
      </c>
      <c r="U31" s="82">
        <f>'Baseline Consumption'!U31*parameters!$C$37</f>
        <v>1.3067524886583588</v>
      </c>
      <c r="V31" s="82">
        <f>'Baseline Consumption'!V31*parameters!$C$37</f>
        <v>1.3205239415432255</v>
      </c>
      <c r="W31" s="82">
        <f>'Baseline Consumption'!W31*parameters!$C$37</f>
        <v>1.3341891323241681</v>
      </c>
      <c r="X31" s="82">
        <f>'Baseline Consumption'!X31*parameters!$C$37</f>
        <v>1.3471730218813547</v>
      </c>
      <c r="Y31" s="82">
        <f>'Baseline Consumption'!Y31*parameters!$C$37</f>
        <v>1.3620731579859391</v>
      </c>
      <c r="Z31" s="82">
        <f>'Baseline Consumption'!Z31*parameters!$C$37</f>
        <v>1.373104004679256</v>
      </c>
      <c r="AA31" s="82">
        <f>'Baseline Consumption'!AA31*parameters!$C$37</f>
        <v>1.3850945510217489</v>
      </c>
      <c r="AB31" s="82">
        <f>'Baseline Consumption'!AB31*parameters!$C$37</f>
        <v>1.3977928133919735</v>
      </c>
      <c r="AC31" s="82">
        <f>'Baseline Consumption'!AC31*parameters!$C$37</f>
        <v>1.4075765951511578</v>
      </c>
      <c r="AD31" s="82">
        <f>'Baseline Consumption'!AD31*parameters!$C$37</f>
        <v>1.4162880496901913</v>
      </c>
      <c r="AE31" s="82">
        <f>'Baseline Consumption'!AE31*parameters!$C$37</f>
        <v>1.4291614873989231</v>
      </c>
      <c r="AF31" s="82">
        <f>'Baseline Consumption'!AF31*parameters!$C$37</f>
        <v>1.4428190532578864</v>
      </c>
      <c r="AG31" s="82">
        <f>'Baseline Consumption'!AG31*parameters!$C$37</f>
        <v>1.4569692000278849</v>
      </c>
      <c r="AH31" s="82">
        <f>'Baseline Consumption'!AH31*parameters!$C$37</f>
        <v>1.4709587208634367</v>
      </c>
      <c r="AI31" s="82">
        <f>'Baseline Consumption'!AI31*parameters!$C$37</f>
        <v>1.4876411741461544</v>
      </c>
      <c r="AJ31" s="82">
        <f>'Baseline Consumption'!AJ31*parameters!$C$37</f>
        <v>1.5021945512688779</v>
      </c>
      <c r="AK31" s="82">
        <f>'Baseline Consumption'!AK31*parameters!$C$37</f>
        <v>1.5187862160207966</v>
      </c>
    </row>
    <row r="32" spans="1:37">
      <c r="A32" s="57" t="s">
        <v>31</v>
      </c>
      <c r="B32" s="82">
        <f>'Baseline Consumption'!B32*parameters!$C$47</f>
        <v>6.4940704680892469E-2</v>
      </c>
      <c r="C32" s="82">
        <f>'Baseline Consumption'!C32*parameters!$C$47</f>
        <v>6.8805229156745432E-2</v>
      </c>
      <c r="D32" s="82">
        <f>'Baseline Consumption'!D32*parameters!$C$47</f>
        <v>6.7994791433917068E-2</v>
      </c>
      <c r="E32" s="82">
        <f>'Baseline Consumption'!E32*parameters!$C$47</f>
        <v>7.0678056963643959E-2</v>
      </c>
      <c r="F32" s="82">
        <f>'Baseline Consumption'!F32*parameters!$C$47</f>
        <v>8.1158245891268369E-2</v>
      </c>
      <c r="G32" s="82">
        <f>'Baseline Consumption'!G32*parameters!$C$47</f>
        <v>7.6423897810022498E-2</v>
      </c>
      <c r="H32" s="82">
        <f>'Baseline Consumption'!H32*parameters!$C$47</f>
        <v>7.8250204191511991E-2</v>
      </c>
      <c r="I32" s="82">
        <f>'Baseline Consumption'!I32*parameters!$C$47</f>
        <v>5.6194042507369479E-2</v>
      </c>
      <c r="J32" s="82">
        <f>'Baseline Consumption'!J32*parameters!$C$47</f>
        <v>5.6194042507369479E-2</v>
      </c>
      <c r="K32" s="542">
        <f>'Baseline Consumption'!K32*parameters!$C$47</f>
        <v>3.575345954531383E-2</v>
      </c>
      <c r="L32" s="542">
        <f>'Baseline Consumption'!L32*parameters!$C$47</f>
        <v>2.9417581252607919E-2</v>
      </c>
      <c r="M32" s="541">
        <f>'Baseline Consumption'!M32*parameters!$C$47</f>
        <v>3.2105655743326522E-2</v>
      </c>
      <c r="N32" s="82">
        <f>'Baseline Consumption'!N32*parameters!$C$47</f>
        <v>3.2386708130123579E-2</v>
      </c>
      <c r="O32" s="82">
        <f>'Baseline Consumption'!O32*parameters!$C$47</f>
        <v>3.2155796585858411E-2</v>
      </c>
      <c r="P32" s="82">
        <f>'Baseline Consumption'!P32*parameters!$C$47</f>
        <v>3.00241305125135E-2</v>
      </c>
      <c r="Q32" s="82">
        <f>'Baseline Consumption'!Q32*parameters!$C$47</f>
        <v>2.7622428517169513E-2</v>
      </c>
      <c r="R32" s="82">
        <f>'Baseline Consumption'!R32*parameters!$C$47</f>
        <v>2.6533160516208142E-2</v>
      </c>
      <c r="S32" s="82">
        <f>'Baseline Consumption'!S32*parameters!$C$47</f>
        <v>2.5761130061390174E-2</v>
      </c>
      <c r="T32" s="82">
        <f>'Baseline Consumption'!T32*parameters!$C$47</f>
        <v>2.5102725037267543E-2</v>
      </c>
      <c r="U32" s="82">
        <f>'Baseline Consumption'!U32*parameters!$C$47</f>
        <v>2.4561775694395032E-2</v>
      </c>
      <c r="V32" s="82">
        <f>'Baseline Consumption'!V32*parameters!$C$47</f>
        <v>2.434180604534723E-2</v>
      </c>
      <c r="W32" s="82">
        <f>'Baseline Consumption'!W32*parameters!$C$47</f>
        <v>2.4050620177316337E-2</v>
      </c>
      <c r="X32" s="82">
        <f>'Baseline Consumption'!X32*parameters!$C$47</f>
        <v>2.3835527732420526E-2</v>
      </c>
      <c r="Y32" s="82">
        <f>'Baseline Consumption'!Y32*parameters!$C$47</f>
        <v>2.3574638121254498E-2</v>
      </c>
      <c r="Z32" s="82">
        <f>'Baseline Consumption'!Z32*parameters!$C$47</f>
        <v>2.3823423558006422E-2</v>
      </c>
      <c r="AA32" s="82">
        <f>'Baseline Consumption'!AA32*parameters!$C$47</f>
        <v>2.4054059836631624E-2</v>
      </c>
      <c r="AB32" s="82">
        <f>'Baseline Consumption'!AB32*parameters!$C$47</f>
        <v>2.4287864802718037E-2</v>
      </c>
      <c r="AC32" s="82">
        <f>'Baseline Consumption'!AC32*parameters!$C$47</f>
        <v>2.4466346717292708E-2</v>
      </c>
      <c r="AD32" s="82">
        <f>'Baseline Consumption'!AD32*parameters!$C$47</f>
        <v>2.4633249894234432E-2</v>
      </c>
      <c r="AE32" s="82">
        <f>'Baseline Consumption'!AE32*parameters!$C$47</f>
        <v>2.4851604892421279E-2</v>
      </c>
      <c r="AF32" s="82">
        <f>'Baseline Consumption'!AF32*parameters!$C$47</f>
        <v>2.5056765219639916E-2</v>
      </c>
      <c r="AG32" s="82">
        <f>'Baseline Consumption'!AG32*parameters!$C$47</f>
        <v>2.5335099163921296E-2</v>
      </c>
      <c r="AH32" s="82">
        <f>'Baseline Consumption'!AH32*parameters!$C$47</f>
        <v>2.5561101315793783E-2</v>
      </c>
      <c r="AI32" s="82">
        <f>'Baseline Consumption'!AI32*parameters!$C$47</f>
        <v>2.5760108345405042E-2</v>
      </c>
      <c r="AJ32" s="82">
        <f>'Baseline Consumption'!AJ32*parameters!$C$47</f>
        <v>2.6008156982287287E-2</v>
      </c>
      <c r="AK32" s="82">
        <f>'Baseline Consumption'!AK32*parameters!$C$47</f>
        <v>2.6302114562565638E-2</v>
      </c>
    </row>
    <row r="33" spans="1:37">
      <c r="A33" s="57" t="s">
        <v>60</v>
      </c>
      <c r="B33" s="82">
        <f>'Baseline Consumption'!B33*parameters!$C$50</f>
        <v>0</v>
      </c>
      <c r="C33" s="82">
        <f>'Baseline Consumption'!C33*parameters!$C$50</f>
        <v>0</v>
      </c>
      <c r="D33" s="82">
        <f>'Baseline Consumption'!D33*parameters!$C$50</f>
        <v>0</v>
      </c>
      <c r="E33" s="82">
        <f>'Baseline Consumption'!E33*parameters!$C$49</f>
        <v>0</v>
      </c>
      <c r="F33" s="82">
        <f>'Baseline Consumption'!F33*parameters!$C$49</f>
        <v>0</v>
      </c>
      <c r="G33" s="82">
        <f>'Baseline Consumption'!G33*parameters!$C$49</f>
        <v>0</v>
      </c>
      <c r="H33" s="82">
        <f>'Baseline Consumption'!H33*parameters!$C$49</f>
        <v>0</v>
      </c>
      <c r="I33" s="82">
        <f>'Baseline Consumption'!I33*parameters!$C$49</f>
        <v>0</v>
      </c>
      <c r="J33" s="82">
        <f>'Baseline Consumption'!J33*parameters!$C$49</f>
        <v>0</v>
      </c>
      <c r="K33" s="542">
        <f>'Baseline Consumption'!K33*parameters!$C$49</f>
        <v>0</v>
      </c>
      <c r="L33" s="542">
        <f>'Baseline Consumption'!L33*parameters!$C$49</f>
        <v>0</v>
      </c>
      <c r="M33" s="541">
        <f>'Baseline Consumption'!M33*parameters!$C$49</f>
        <v>0</v>
      </c>
      <c r="N33" s="82">
        <f>'Baseline Consumption'!N33*parameters!$C$49</f>
        <v>0</v>
      </c>
      <c r="O33" s="82">
        <f>'Baseline Consumption'!O33*parameters!$C$49</f>
        <v>0</v>
      </c>
      <c r="P33" s="82">
        <f>'Baseline Consumption'!P33*parameters!$C$49</f>
        <v>0</v>
      </c>
      <c r="Q33" s="82">
        <f>'Baseline Consumption'!Q33*parameters!$C$49</f>
        <v>0</v>
      </c>
      <c r="R33" s="82">
        <f>'Baseline Consumption'!R33*parameters!$C$49</f>
        <v>0</v>
      </c>
      <c r="S33" s="82">
        <f>'Baseline Consumption'!S33*parameters!$C$49</f>
        <v>0</v>
      </c>
      <c r="T33" s="82">
        <f>'Baseline Consumption'!T33*parameters!$C$49</f>
        <v>0</v>
      </c>
      <c r="U33" s="82">
        <f>'Baseline Consumption'!U33*parameters!$C$49</f>
        <v>0</v>
      </c>
      <c r="V33" s="82">
        <f>'Baseline Consumption'!V33*parameters!$C$49</f>
        <v>0</v>
      </c>
      <c r="W33" s="82">
        <f>'Baseline Consumption'!W33*parameters!$C$49</f>
        <v>0</v>
      </c>
      <c r="X33" s="82">
        <f>'Baseline Consumption'!X33*parameters!$C$49</f>
        <v>0</v>
      </c>
      <c r="Y33" s="82">
        <f>'Baseline Consumption'!Y33*parameters!$C$49</f>
        <v>0</v>
      </c>
      <c r="Z33" s="82">
        <f>'Baseline Consumption'!Z33*parameters!$C$49</f>
        <v>0</v>
      </c>
      <c r="AA33" s="82">
        <f>'Baseline Consumption'!AA33*parameters!$C$49</f>
        <v>0</v>
      </c>
      <c r="AB33" s="82">
        <f>'Baseline Consumption'!AB33*parameters!$C$49</f>
        <v>0</v>
      </c>
      <c r="AC33" s="82">
        <f>'Baseline Consumption'!AC33*parameters!$C$49</f>
        <v>0</v>
      </c>
      <c r="AD33" s="82">
        <f>'Baseline Consumption'!AD33*parameters!$C$49</f>
        <v>0</v>
      </c>
      <c r="AE33" s="82">
        <f>'Baseline Consumption'!AE33*parameters!$C$49</f>
        <v>0</v>
      </c>
      <c r="AF33" s="82">
        <f>'Baseline Consumption'!AF33*parameters!$C$49</f>
        <v>0</v>
      </c>
      <c r="AG33" s="82">
        <f>'Baseline Consumption'!AG33*parameters!$C$49</f>
        <v>0</v>
      </c>
      <c r="AH33" s="82">
        <f>'Baseline Consumption'!AH33*parameters!$C$49</f>
        <v>0</v>
      </c>
      <c r="AI33" s="82">
        <f>'Baseline Consumption'!AI33*parameters!$C$49</f>
        <v>0</v>
      </c>
      <c r="AJ33" s="82">
        <f>'Baseline Consumption'!AJ33*parameters!$C$49</f>
        <v>0</v>
      </c>
      <c r="AK33" s="82">
        <f>'Baseline Consumption'!AK33*parameters!$C$49</f>
        <v>0</v>
      </c>
    </row>
    <row r="34" spans="1:37" s="425" customFormat="1">
      <c r="A34" s="479" t="s">
        <v>33</v>
      </c>
      <c r="B34" s="480">
        <f>'Baseline Consumption'!B34*parameters!$C$35</f>
        <v>5.8477902065251364</v>
      </c>
      <c r="C34" s="480">
        <f>'Baseline Consumption'!C34*parameters!$C$35</f>
        <v>5.8756500167088532</v>
      </c>
      <c r="D34" s="480">
        <f>'Baseline Consumption'!D34*parameters!$C$35</f>
        <v>5.2585708581390369</v>
      </c>
      <c r="E34" s="480">
        <f>'Baseline Consumption'!E34*parameters!$C$35</f>
        <v>4.9716626603635543</v>
      </c>
      <c r="F34" s="480">
        <f>'Baseline Consumption'!F34*parameters!$C$35</f>
        <v>4.1347556691349086</v>
      </c>
      <c r="G34" s="480">
        <f>'Baseline Consumption'!G34*parameters!$C$35</f>
        <v>4.2987696939088895</v>
      </c>
      <c r="H34" s="480">
        <f>'Baseline Consumption'!H34*parameters!$C$35</f>
        <v>4.0287149842891452</v>
      </c>
      <c r="I34" s="480">
        <f>'Baseline Consumption'!I34*parameters!$C$35</f>
        <v>4.0305432719588996</v>
      </c>
      <c r="J34" s="480">
        <f>'Baseline Consumption'!J34*parameters!$C$35</f>
        <v>4.3546488134153885</v>
      </c>
      <c r="K34" s="480">
        <f>'Baseline Consumption'!K34*parameters!$C$35</f>
        <v>4.104331300230494</v>
      </c>
      <c r="L34" s="480">
        <f>'Baseline Consumption'!L34*parameters!$C$35</f>
        <v>3.9663371331565189</v>
      </c>
      <c r="M34" s="481">
        <f>'Baseline Consumption'!M34*parameters!$C$35</f>
        <v>5.0099084864082339</v>
      </c>
      <c r="N34" s="480">
        <f>'Baseline Consumption'!N34*parameters!$C$35</f>
        <v>5.0875318567099468</v>
      </c>
      <c r="O34" s="480">
        <f>'Baseline Consumption'!O34*parameters!$C$35</f>
        <v>5.3767362281331268</v>
      </c>
      <c r="P34" s="480">
        <f>'Baseline Consumption'!P34*parameters!$C$35</f>
        <v>5.5150740199889743</v>
      </c>
      <c r="Q34" s="480">
        <f>'Baseline Consumption'!Q34*parameters!$C$35</f>
        <v>5.405645103614364</v>
      </c>
      <c r="R34" s="480">
        <f>'Baseline Consumption'!R34*parameters!$C$35</f>
        <v>5.332070353790793</v>
      </c>
      <c r="S34" s="480">
        <f>'Baseline Consumption'!S34*parameters!$C$35</f>
        <v>5.3538835482801339</v>
      </c>
      <c r="T34" s="480">
        <f>'Baseline Consumption'!T34*parameters!$C$35</f>
        <v>5.384731067245589</v>
      </c>
      <c r="U34" s="480">
        <f>'Baseline Consumption'!U34*parameters!$C$35</f>
        <v>5.4215814268178084</v>
      </c>
      <c r="V34" s="480">
        <f>'Baseline Consumption'!V34*parameters!$C$35</f>
        <v>5.4520942572475741</v>
      </c>
      <c r="W34" s="480">
        <f>'Baseline Consumption'!W34*parameters!$C$35</f>
        <v>5.4387482630566391</v>
      </c>
      <c r="X34" s="480">
        <f>'Baseline Consumption'!X34*parameters!$C$35</f>
        <v>5.4971927937422684</v>
      </c>
      <c r="Y34" s="480">
        <f>'Baseline Consumption'!Y34*parameters!$C$35</f>
        <v>5.538425908316662</v>
      </c>
      <c r="Z34" s="480">
        <f>'Baseline Consumption'!Z34*parameters!$C$35</f>
        <v>5.5784043767567493</v>
      </c>
      <c r="AA34" s="480">
        <f>'Baseline Consumption'!AA34*parameters!$C$35</f>
        <v>5.6126464415169872</v>
      </c>
      <c r="AB34" s="480">
        <f>'Baseline Consumption'!AB34*parameters!$C$35</f>
        <v>5.7176109195478411</v>
      </c>
      <c r="AC34" s="480">
        <f>'Baseline Consumption'!AC34*parameters!$C$35</f>
        <v>5.7481242329004552</v>
      </c>
      <c r="AD34" s="480">
        <f>'Baseline Consumption'!AD34*parameters!$C$35</f>
        <v>5.7952669322322139</v>
      </c>
      <c r="AE34" s="480">
        <f>'Baseline Consumption'!AE34*parameters!$C$35</f>
        <v>5.8540516147128168</v>
      </c>
      <c r="AF34" s="480">
        <f>'Baseline Consumption'!AF34*parameters!$C$35</f>
        <v>5.9264002315834139</v>
      </c>
      <c r="AG34" s="480">
        <f>'Baseline Consumption'!AG34*parameters!$C$35</f>
        <v>5.9768157347112201</v>
      </c>
      <c r="AH34" s="480">
        <f>'Baseline Consumption'!AH34*parameters!$C$35</f>
        <v>6.0236480672363752</v>
      </c>
      <c r="AI34" s="480">
        <f>'Baseline Consumption'!AI34*parameters!$C$35</f>
        <v>6.0863894430206091</v>
      </c>
      <c r="AJ34" s="480">
        <f>'Baseline Consumption'!AJ34*parameters!$C$35</f>
        <v>6.1418909281868119</v>
      </c>
      <c r="AK34" s="480">
        <f>'Baseline Consumption'!AK34*parameters!$C$35</f>
        <v>6.2090647203917904</v>
      </c>
    </row>
    <row r="35" spans="1:37" s="425" customFormat="1">
      <c r="A35" s="70" t="s">
        <v>26</v>
      </c>
      <c r="B35" s="430">
        <f>'Baseline Consumption'!B35*parameters!$C$34</f>
        <v>3.6940237143179391</v>
      </c>
      <c r="C35" s="430">
        <f>'Baseline Consumption'!C35*parameters!$C$34</f>
        <v>3.5497954214476892</v>
      </c>
      <c r="D35" s="430">
        <f>'Baseline Consumption'!D35*parameters!$C$34</f>
        <v>3.4571359329037765</v>
      </c>
      <c r="E35" s="430">
        <f>'Baseline Consumption'!E35*parameters!$C$34</f>
        <v>3.3656650188330093</v>
      </c>
      <c r="F35" s="430">
        <f>'Baseline Consumption'!F35*parameters!$C$34</f>
        <v>3.270909990210066</v>
      </c>
      <c r="G35" s="430">
        <f>'Baseline Consumption'!G35*parameters!$C$34</f>
        <v>3.2361770736328968</v>
      </c>
      <c r="H35" s="430">
        <f>'Baseline Consumption'!H35*parameters!$C$34</f>
        <v>3.268602029522476</v>
      </c>
      <c r="I35" s="430">
        <f>'Baseline Consumption'!I35*parameters!$C$34</f>
        <v>3.3938372733900466</v>
      </c>
      <c r="J35" s="430">
        <f>'Baseline Consumption'!J35*parameters!$C$34</f>
        <v>3.7230054370298835</v>
      </c>
      <c r="K35" s="571">
        <f>'Baseline Consumption'!K35*parameters!$C$34</f>
        <v>3.8390277558576487</v>
      </c>
      <c r="L35" s="571">
        <f>'Baseline Consumption'!L35*parameters!$C$34</f>
        <v>3.7051461874167231</v>
      </c>
      <c r="M35" s="431">
        <f>'Baseline Consumption'!M35*parameters!$C$34</f>
        <v>3.8208340309084896</v>
      </c>
      <c r="N35" s="430">
        <f>'Baseline Consumption'!N35*parameters!$C$34</f>
        <v>3.8604559390970845</v>
      </c>
      <c r="O35" s="430">
        <f>'Baseline Consumption'!O35*parameters!$C$34</f>
        <v>3.9795533438955046</v>
      </c>
      <c r="P35" s="430">
        <f>'Baseline Consumption'!P35*parameters!$C$34</f>
        <v>4.0956166236546219</v>
      </c>
      <c r="Q35" s="430">
        <f>'Baseline Consumption'!Q35*parameters!$C$34</f>
        <v>4.2565951531940538</v>
      </c>
      <c r="R35" s="430">
        <f>'Baseline Consumption'!R35*parameters!$C$34</f>
        <v>4.3463494372441298</v>
      </c>
      <c r="S35" s="430">
        <f>'Baseline Consumption'!S35*parameters!$C$34</f>
        <v>4.4185544897769509</v>
      </c>
      <c r="T35" s="430">
        <f>'Baseline Consumption'!T35*parameters!$C$34</f>
        <v>4.4777028794259426</v>
      </c>
      <c r="U35" s="430">
        <f>'Baseline Consumption'!U35*parameters!$C$34</f>
        <v>4.481554495127499</v>
      </c>
      <c r="V35" s="430">
        <f>'Baseline Consumption'!V35*parameters!$C$34</f>
        <v>4.494275229258756</v>
      </c>
      <c r="W35" s="430">
        <f>'Baseline Consumption'!W35*parameters!$C$34</f>
        <v>4.5174851086047854</v>
      </c>
      <c r="X35" s="430">
        <f>'Baseline Consumption'!X35*parameters!$C$34</f>
        <v>4.5593350754773851</v>
      </c>
      <c r="Y35" s="430">
        <f>'Baseline Consumption'!Y35*parameters!$C$34</f>
        <v>4.6091325487116226</v>
      </c>
      <c r="Z35" s="430">
        <f>'Baseline Consumption'!Z35*parameters!$C$34</f>
        <v>4.6520264003831748</v>
      </c>
      <c r="AA35" s="430">
        <f>'Baseline Consumption'!AA35*parameters!$C$34</f>
        <v>4.6944197029486832</v>
      </c>
      <c r="AB35" s="430">
        <f>'Baseline Consumption'!AB35*parameters!$C$34</f>
        <v>4.7330259576946032</v>
      </c>
      <c r="AC35" s="430">
        <f>'Baseline Consumption'!AC35*parameters!$C$34</f>
        <v>4.7822986616175225</v>
      </c>
      <c r="AD35" s="430">
        <f>'Baseline Consumption'!AD35*parameters!$C$34</f>
        <v>4.827951609090257</v>
      </c>
      <c r="AE35" s="430">
        <f>'Baseline Consumption'!AE35*parameters!$C$34</f>
        <v>4.8754901101213788</v>
      </c>
      <c r="AF35" s="430">
        <f>'Baseline Consumption'!AF35*parameters!$C$34</f>
        <v>4.9267751002229536</v>
      </c>
      <c r="AG35" s="430">
        <f>'Baseline Consumption'!AG35*parameters!$C$34</f>
        <v>4.963126705035223</v>
      </c>
      <c r="AH35" s="430">
        <f>'Baseline Consumption'!AH35*parameters!$C$34</f>
        <v>5.0248138789526209</v>
      </c>
      <c r="AI35" s="430">
        <f>'Baseline Consumption'!AI35*parameters!$C$34</f>
        <v>5.0903104841032567</v>
      </c>
      <c r="AJ35" s="430">
        <f>'Baseline Consumption'!AJ35*parameters!$C$34</f>
        <v>5.1420261950263342</v>
      </c>
      <c r="AK35" s="430">
        <f>'Baseline Consumption'!AK35*parameters!$C$34</f>
        <v>5.1917074170310205</v>
      </c>
    </row>
    <row r="36" spans="1:37">
      <c r="A36" s="57" t="s">
        <v>61</v>
      </c>
      <c r="B36" s="82">
        <f>'Baseline Consumption'!B36*parameters!$C$34</f>
        <v>0</v>
      </c>
      <c r="C36" s="82">
        <f>'Baseline Consumption'!C36*parameters!$C$34</f>
        <v>0</v>
      </c>
      <c r="D36" s="82">
        <f>'Baseline Consumption'!D36*parameters!$C$34</f>
        <v>0</v>
      </c>
      <c r="E36" s="82">
        <f>'Baseline Consumption'!E36*parameters!$C$34</f>
        <v>0</v>
      </c>
      <c r="F36" s="82">
        <f>'Baseline Consumption'!F36*parameters!$C$34</f>
        <v>0</v>
      </c>
      <c r="G36" s="82">
        <f>'Baseline Consumption'!G36*parameters!$C$34</f>
        <v>0</v>
      </c>
      <c r="H36" s="82">
        <f>'Baseline Consumption'!H36*parameters!$C$34</f>
        <v>0</v>
      </c>
      <c r="I36" s="82">
        <f>'Baseline Consumption'!I36*parameters!$C$34</f>
        <v>0</v>
      </c>
      <c r="J36" s="82">
        <f>'Baseline Consumption'!J36*parameters!$C$34</f>
        <v>0</v>
      </c>
      <c r="K36" s="542">
        <f>'Baseline Consumption'!K36*parameters!$C$34</f>
        <v>0</v>
      </c>
      <c r="L36" s="542">
        <f>'Baseline Consumption'!L36*parameters!$C$34</f>
        <v>0</v>
      </c>
      <c r="M36" s="541">
        <f>'Baseline Consumption'!M36*parameters!$C$34</f>
        <v>0</v>
      </c>
      <c r="N36" s="82">
        <f>'Baseline Consumption'!N36*parameters!$C$34</f>
        <v>0</v>
      </c>
      <c r="O36" s="82">
        <f>'Baseline Consumption'!O36*parameters!$C$34</f>
        <v>0</v>
      </c>
      <c r="P36" s="82">
        <f>'Baseline Consumption'!P36*parameters!$C$34</f>
        <v>0</v>
      </c>
      <c r="Q36" s="82">
        <f>'Baseline Consumption'!Q36*parameters!$C$34</f>
        <v>0</v>
      </c>
      <c r="R36" s="82">
        <f>'Baseline Consumption'!R36*parameters!$C$34</f>
        <v>0</v>
      </c>
      <c r="S36" s="82">
        <f>'Baseline Consumption'!S36*parameters!$C$34</f>
        <v>0</v>
      </c>
      <c r="T36" s="82">
        <f>'Baseline Consumption'!T36*parameters!$C$34</f>
        <v>0</v>
      </c>
      <c r="U36" s="82">
        <f>'Baseline Consumption'!U36*parameters!$C$34</f>
        <v>0</v>
      </c>
      <c r="V36" s="82">
        <f>'Baseline Consumption'!V36*parameters!$C$34</f>
        <v>0</v>
      </c>
      <c r="W36" s="82">
        <f>'Baseline Consumption'!W36*parameters!$C$34</f>
        <v>0</v>
      </c>
      <c r="X36" s="82">
        <f>'Baseline Consumption'!X36*parameters!$C$34</f>
        <v>0</v>
      </c>
      <c r="Y36" s="82">
        <f>'Baseline Consumption'!Y36*parameters!$C$34</f>
        <v>0</v>
      </c>
      <c r="Z36" s="82">
        <f>'Baseline Consumption'!Z36*parameters!$C$34</f>
        <v>0</v>
      </c>
      <c r="AA36" s="82">
        <f>'Baseline Consumption'!AA36*parameters!$C$34</f>
        <v>0</v>
      </c>
      <c r="AB36" s="82">
        <f>'Baseline Consumption'!AB36*parameters!$C$34</f>
        <v>0</v>
      </c>
      <c r="AC36" s="82">
        <f>'Baseline Consumption'!AC36*parameters!$C$34</f>
        <v>0</v>
      </c>
      <c r="AD36" s="82">
        <f>'Baseline Consumption'!AD36*parameters!$C$34</f>
        <v>0</v>
      </c>
      <c r="AE36" s="82">
        <f>'Baseline Consumption'!AE36*parameters!$C$34</f>
        <v>0</v>
      </c>
      <c r="AF36" s="82">
        <f>'Baseline Consumption'!AF36*parameters!$C$34</f>
        <v>0</v>
      </c>
      <c r="AG36" s="82">
        <f>'Baseline Consumption'!AG36*parameters!$C$34</f>
        <v>0</v>
      </c>
      <c r="AH36" s="82">
        <f>'Baseline Consumption'!AH36*parameters!$C$34</f>
        <v>0</v>
      </c>
      <c r="AI36" s="82">
        <f>'Baseline Consumption'!AI36*parameters!$C$34</f>
        <v>0</v>
      </c>
      <c r="AJ36" s="82">
        <f>'Baseline Consumption'!AJ36*parameters!$C$34</f>
        <v>0</v>
      </c>
      <c r="AK36" s="82">
        <f>'Baseline Consumption'!AK36*parameters!$C$34</f>
        <v>0</v>
      </c>
    </row>
    <row r="37" spans="1:37">
      <c r="A37" s="57" t="s">
        <v>35</v>
      </c>
      <c r="B37" s="82">
        <f>'Baseline Consumption'!B37*parameters!$C$34</f>
        <v>0</v>
      </c>
      <c r="C37" s="82">
        <f>'Baseline Consumption'!C37*parameters!$C$34</f>
        <v>0</v>
      </c>
      <c r="D37" s="82">
        <f>'Baseline Consumption'!D37*parameters!$C$34</f>
        <v>0</v>
      </c>
      <c r="E37" s="82">
        <f>'Baseline Consumption'!E37*parameters!$C$34</f>
        <v>0</v>
      </c>
      <c r="F37" s="82">
        <f>'Baseline Consumption'!F37*parameters!$C$34</f>
        <v>0</v>
      </c>
      <c r="G37" s="82">
        <f>'Baseline Consumption'!G37*parameters!$C$34</f>
        <v>0</v>
      </c>
      <c r="H37" s="82">
        <f>'Baseline Consumption'!H37*parameters!$C$34</f>
        <v>0</v>
      </c>
      <c r="I37" s="82">
        <f>'Baseline Consumption'!I37*parameters!$C$34</f>
        <v>0</v>
      </c>
      <c r="J37" s="82">
        <f>'Baseline Consumption'!J37*parameters!$C$34</f>
        <v>0</v>
      </c>
      <c r="K37" s="542">
        <f>'Baseline Consumption'!K37*parameters!$C$34</f>
        <v>0</v>
      </c>
      <c r="L37" s="542">
        <f>'Baseline Consumption'!L37*parameters!$C$34</f>
        <v>0</v>
      </c>
      <c r="M37" s="541">
        <f>'Baseline Consumption'!M37*parameters!$C$34</f>
        <v>0</v>
      </c>
      <c r="N37" s="82">
        <f>'Baseline Consumption'!N37*parameters!$C$34</f>
        <v>0</v>
      </c>
      <c r="O37" s="82">
        <f>'Baseline Consumption'!O37*parameters!$C$34</f>
        <v>0</v>
      </c>
      <c r="P37" s="82">
        <f>'Baseline Consumption'!P37*parameters!$C$34</f>
        <v>0</v>
      </c>
      <c r="Q37" s="82">
        <f>'Baseline Consumption'!Q37*parameters!$C$34</f>
        <v>0</v>
      </c>
      <c r="R37" s="82">
        <f>'Baseline Consumption'!R37*parameters!$C$34</f>
        <v>0</v>
      </c>
      <c r="S37" s="82">
        <f>'Baseline Consumption'!S37*parameters!$C$34</f>
        <v>0</v>
      </c>
      <c r="T37" s="82">
        <f>'Baseline Consumption'!T37*parameters!$C$34</f>
        <v>0</v>
      </c>
      <c r="U37" s="82">
        <f>'Baseline Consumption'!U37*parameters!$C$34</f>
        <v>0</v>
      </c>
      <c r="V37" s="82">
        <f>'Baseline Consumption'!V37*parameters!$C$34</f>
        <v>0</v>
      </c>
      <c r="W37" s="82">
        <f>'Baseline Consumption'!W37*parameters!$C$34</f>
        <v>0</v>
      </c>
      <c r="X37" s="82">
        <f>'Baseline Consumption'!X37*parameters!$C$34</f>
        <v>0</v>
      </c>
      <c r="Y37" s="82">
        <f>'Baseline Consumption'!Y37*parameters!$C$34</f>
        <v>0</v>
      </c>
      <c r="Z37" s="82">
        <f>'Baseline Consumption'!Z37*parameters!$C$34</f>
        <v>0</v>
      </c>
      <c r="AA37" s="82">
        <f>'Baseline Consumption'!AA37*parameters!$C$34</f>
        <v>0</v>
      </c>
      <c r="AB37" s="82">
        <f>'Baseline Consumption'!AB37*parameters!$C$34</f>
        <v>0</v>
      </c>
      <c r="AC37" s="82">
        <f>'Baseline Consumption'!AC37*parameters!$C$34</f>
        <v>0</v>
      </c>
      <c r="AD37" s="82">
        <f>'Baseline Consumption'!AD37*parameters!$C$34</f>
        <v>0</v>
      </c>
      <c r="AE37" s="82">
        <f>'Baseline Consumption'!AE37*parameters!$C$34</f>
        <v>0</v>
      </c>
      <c r="AF37" s="82">
        <f>'Baseline Consumption'!AF37*parameters!$C$34</f>
        <v>0</v>
      </c>
      <c r="AG37" s="82">
        <f>'Baseline Consumption'!AG37*parameters!$C$34</f>
        <v>0</v>
      </c>
      <c r="AH37" s="82">
        <f>'Baseline Consumption'!AH37*parameters!$C$34</f>
        <v>0</v>
      </c>
      <c r="AI37" s="82">
        <f>'Baseline Consumption'!AI37*parameters!$C$34</f>
        <v>0</v>
      </c>
      <c r="AJ37" s="82">
        <f>'Baseline Consumption'!AJ37*parameters!$C$34</f>
        <v>0</v>
      </c>
      <c r="AK37" s="82">
        <f>'Baseline Consumption'!AK37*parameters!$C$34</f>
        <v>0</v>
      </c>
    </row>
    <row r="38" spans="1:37">
      <c r="A38" s="57" t="s">
        <v>62</v>
      </c>
      <c r="B38" s="82">
        <f>SUM(B35:B37)</f>
        <v>3.6940237143179391</v>
      </c>
      <c r="C38" s="82">
        <f>SUM(C35:C37)</f>
        <v>3.5497954214476892</v>
      </c>
      <c r="D38" s="82">
        <f>SUM(D35:D37)</f>
        <v>3.4571359329037765</v>
      </c>
      <c r="E38" s="82">
        <f t="shared" ref="E38:AF38" si="2">SUM(E35:E37)</f>
        <v>3.3656650188330093</v>
      </c>
      <c r="F38" s="82">
        <f t="shared" si="2"/>
        <v>3.270909990210066</v>
      </c>
      <c r="G38" s="82">
        <f t="shared" si="2"/>
        <v>3.2361770736328968</v>
      </c>
      <c r="H38" s="82">
        <f t="shared" si="2"/>
        <v>3.268602029522476</v>
      </c>
      <c r="I38" s="82">
        <f t="shared" si="2"/>
        <v>3.3938372733900466</v>
      </c>
      <c r="J38" s="82">
        <f t="shared" si="2"/>
        <v>3.7230054370298835</v>
      </c>
      <c r="K38" s="542">
        <f t="shared" si="2"/>
        <v>3.8390277558576487</v>
      </c>
      <c r="L38" s="542">
        <f t="shared" si="2"/>
        <v>3.7051461874167231</v>
      </c>
      <c r="M38" s="541">
        <f t="shared" si="2"/>
        <v>3.8208340309084896</v>
      </c>
      <c r="N38" s="82">
        <f t="shared" si="2"/>
        <v>3.8604559390970845</v>
      </c>
      <c r="O38" s="82">
        <f t="shared" si="2"/>
        <v>3.9795533438955046</v>
      </c>
      <c r="P38" s="82">
        <f t="shared" si="2"/>
        <v>4.0956166236546219</v>
      </c>
      <c r="Q38" s="82">
        <f t="shared" si="2"/>
        <v>4.2565951531940538</v>
      </c>
      <c r="R38" s="82">
        <f t="shared" si="2"/>
        <v>4.3463494372441298</v>
      </c>
      <c r="S38" s="82">
        <f t="shared" si="2"/>
        <v>4.4185544897769509</v>
      </c>
      <c r="T38" s="82">
        <f t="shared" si="2"/>
        <v>4.4777028794259426</v>
      </c>
      <c r="U38" s="82">
        <f t="shared" si="2"/>
        <v>4.481554495127499</v>
      </c>
      <c r="V38" s="82">
        <f t="shared" si="2"/>
        <v>4.494275229258756</v>
      </c>
      <c r="W38" s="82">
        <f t="shared" si="2"/>
        <v>4.5174851086047854</v>
      </c>
      <c r="X38" s="82">
        <f t="shared" si="2"/>
        <v>4.5593350754773851</v>
      </c>
      <c r="Y38" s="82">
        <f t="shared" si="2"/>
        <v>4.6091325487116226</v>
      </c>
      <c r="Z38" s="82">
        <f t="shared" si="2"/>
        <v>4.6520264003831748</v>
      </c>
      <c r="AA38" s="82">
        <f t="shared" si="2"/>
        <v>4.6944197029486832</v>
      </c>
      <c r="AB38" s="82">
        <f t="shared" si="2"/>
        <v>4.7330259576946032</v>
      </c>
      <c r="AC38" s="82">
        <f t="shared" si="2"/>
        <v>4.7822986616175225</v>
      </c>
      <c r="AD38" s="82">
        <f t="shared" si="2"/>
        <v>4.827951609090257</v>
      </c>
      <c r="AE38" s="82">
        <f t="shared" si="2"/>
        <v>4.8754901101213788</v>
      </c>
      <c r="AF38" s="82">
        <f t="shared" si="2"/>
        <v>4.9267751002229536</v>
      </c>
      <c r="AG38" s="82">
        <f>SUM(AG35:AG37)</f>
        <v>4.963126705035223</v>
      </c>
      <c r="AH38" s="82">
        <f>SUM(AH35:AH37)</f>
        <v>5.0248138789526209</v>
      </c>
      <c r="AI38" s="82">
        <f>SUM(AI35:AI37)</f>
        <v>5.0903104841032567</v>
      </c>
      <c r="AJ38" s="82">
        <f>SUM(AJ35:AJ37)</f>
        <v>5.1420261950263342</v>
      </c>
      <c r="AK38" s="82">
        <f>SUM(AK35:AK37)</f>
        <v>5.1917074170310205</v>
      </c>
    </row>
    <row r="39" spans="1:37">
      <c r="A39" s="57" t="s">
        <v>36</v>
      </c>
      <c r="B39" s="82">
        <f>'Baseline Consumption'!B39*parameters!$C$36</f>
        <v>0</v>
      </c>
      <c r="C39" s="82">
        <f>'Baseline Consumption'!C39*parameters!$C$36</f>
        <v>0</v>
      </c>
      <c r="D39" s="82">
        <f>'Baseline Consumption'!D39*parameters!$C$36</f>
        <v>0</v>
      </c>
      <c r="E39" s="82">
        <f>'Baseline Consumption'!E39*parameters!$C$36</f>
        <v>0</v>
      </c>
      <c r="F39" s="82">
        <f>'Baseline Consumption'!F39*parameters!$C$36</f>
        <v>8.5336161511314094E-4</v>
      </c>
      <c r="G39" s="82">
        <f>'Baseline Consumption'!G39*parameters!$C$36</f>
        <v>0</v>
      </c>
      <c r="H39" s="82">
        <f>'Baseline Consumption'!H39*parameters!$C$36</f>
        <v>0</v>
      </c>
      <c r="I39" s="82">
        <f>'Baseline Consumption'!I39*parameters!$C$36</f>
        <v>0</v>
      </c>
      <c r="J39" s="82">
        <f>'Baseline Consumption'!J39*parameters!$C$36</f>
        <v>0</v>
      </c>
      <c r="K39" s="542">
        <f>'Baseline Consumption'!K39*parameters!$C$36</f>
        <v>0</v>
      </c>
      <c r="L39" s="542">
        <f>'Baseline Consumption'!L39*parameters!$C$36</f>
        <v>0</v>
      </c>
      <c r="M39" s="541">
        <f>'Baseline Consumption'!M39*parameters!$C$36</f>
        <v>0</v>
      </c>
      <c r="N39" s="82">
        <f>'Baseline Consumption'!N39*parameters!$C$36</f>
        <v>0</v>
      </c>
      <c r="O39" s="82">
        <f>'Baseline Consumption'!O39*parameters!$C$36</f>
        <v>0</v>
      </c>
      <c r="P39" s="82">
        <f>'Baseline Consumption'!P39*parameters!$C$36</f>
        <v>0</v>
      </c>
      <c r="Q39" s="82">
        <f>'Baseline Consumption'!Q39*parameters!$C$36</f>
        <v>0</v>
      </c>
      <c r="R39" s="82">
        <f>'Baseline Consumption'!R39*parameters!$C$36</f>
        <v>0</v>
      </c>
      <c r="S39" s="82">
        <f>'Baseline Consumption'!S39*parameters!$C$36</f>
        <v>0</v>
      </c>
      <c r="T39" s="82">
        <f>'Baseline Consumption'!T39*parameters!$C$36</f>
        <v>0</v>
      </c>
      <c r="U39" s="82">
        <f>'Baseline Consumption'!U39*parameters!$C$36</f>
        <v>0</v>
      </c>
      <c r="V39" s="82">
        <f>'Baseline Consumption'!V39*parameters!$C$36</f>
        <v>0</v>
      </c>
      <c r="W39" s="82">
        <f>'Baseline Consumption'!W39*parameters!$C$36</f>
        <v>0</v>
      </c>
      <c r="X39" s="82">
        <f>'Baseline Consumption'!X39*parameters!$C$36</f>
        <v>0</v>
      </c>
      <c r="Y39" s="82">
        <f>'Baseline Consumption'!Y39*parameters!$C$36</f>
        <v>0</v>
      </c>
      <c r="Z39" s="82">
        <f>'Baseline Consumption'!Z39*parameters!$C$36</f>
        <v>0</v>
      </c>
      <c r="AA39" s="82">
        <f>'Baseline Consumption'!AA39*parameters!$C$36</f>
        <v>0</v>
      </c>
      <c r="AB39" s="82">
        <f>'Baseline Consumption'!AB39*parameters!$C$36</f>
        <v>0</v>
      </c>
      <c r="AC39" s="82">
        <f>'Baseline Consumption'!AC39*parameters!$C$36</f>
        <v>0</v>
      </c>
      <c r="AD39" s="82">
        <f>'Baseline Consumption'!AD39*parameters!$C$36</f>
        <v>0</v>
      </c>
      <c r="AE39" s="82">
        <f>'Baseline Consumption'!AE39*parameters!$C$36</f>
        <v>0</v>
      </c>
      <c r="AF39" s="82">
        <f>'Baseline Consumption'!AF39*parameters!$C$36</f>
        <v>0</v>
      </c>
      <c r="AG39" s="82">
        <f>'Baseline Consumption'!AG39*parameters!$C$36</f>
        <v>0</v>
      </c>
      <c r="AH39" s="82">
        <f>'Baseline Consumption'!AH39*parameters!$C$36</f>
        <v>0</v>
      </c>
      <c r="AI39" s="82">
        <f>'Baseline Consumption'!AI39*parameters!$C$36</f>
        <v>0</v>
      </c>
      <c r="AJ39" s="82">
        <f>'Baseline Consumption'!AJ39*parameters!$C$36</f>
        <v>0</v>
      </c>
      <c r="AK39" s="82">
        <f>'Baseline Consumption'!AK39*parameters!$C$36</f>
        <v>0</v>
      </c>
    </row>
    <row r="40" spans="1:37">
      <c r="A40" s="57" t="s">
        <v>37</v>
      </c>
      <c r="B40" s="82">
        <f>'Baseline Consumption'!B40*parameters!$C$36</f>
        <v>0.33890495067688509</v>
      </c>
      <c r="C40" s="82">
        <f>'Baseline Consumption'!C40*parameters!$C$36</f>
        <v>0.33503363630557448</v>
      </c>
      <c r="D40" s="82">
        <f>'Baseline Consumption'!D40*parameters!$C$36</f>
        <v>0.34107373759601411</v>
      </c>
      <c r="E40" s="82">
        <f>'Baseline Consumption'!E40*parameters!$C$36</f>
        <v>0.32232687290844925</v>
      </c>
      <c r="F40" s="82">
        <f>'Baseline Consumption'!F40*parameters!$C$36</f>
        <v>0.26311983132655181</v>
      </c>
      <c r="G40" s="82">
        <f>'Baseline Consumption'!G40*parameters!$C$36</f>
        <v>0.26589664293128507</v>
      </c>
      <c r="H40" s="82">
        <f>'Baseline Consumption'!H40*parameters!$C$36</f>
        <v>0.27510753020552214</v>
      </c>
      <c r="I40" s="82">
        <f>'Baseline Consumption'!I40*parameters!$C$36</f>
        <v>0.24381760431804025</v>
      </c>
      <c r="J40" s="82">
        <f>'Baseline Consumption'!J40*parameters!$C$36</f>
        <v>0.22349947062487024</v>
      </c>
      <c r="K40" s="542">
        <f>'Baseline Consumption'!K40*parameters!$C$36</f>
        <v>0.24145392809840152</v>
      </c>
      <c r="L40" s="542">
        <f>'Baseline Consumption'!L40*parameters!$C$36</f>
        <v>0.23891416138675528</v>
      </c>
      <c r="M40" s="541">
        <f>'Baseline Consumption'!M40*parameters!$C$36</f>
        <v>9.6345592609171235E-2</v>
      </c>
      <c r="N40" s="82">
        <f>'Baseline Consumption'!N40*parameters!$C$36</f>
        <v>9.0658598666102375E-2</v>
      </c>
      <c r="O40" s="82">
        <f>'Baseline Consumption'!O40*parameters!$C$36</f>
        <v>9.3677910990193972E-2</v>
      </c>
      <c r="P40" s="82">
        <f>'Baseline Consumption'!P40*parameters!$C$36</f>
        <v>9.8680389338176119E-2</v>
      </c>
      <c r="Q40" s="82">
        <f>'Baseline Consumption'!Q40*parameters!$C$36</f>
        <v>0.1025375320927686</v>
      </c>
      <c r="R40" s="82">
        <f>'Baseline Consumption'!R40*parameters!$C$36</f>
        <v>0.10399831770094306</v>
      </c>
      <c r="S40" s="82">
        <f>'Baseline Consumption'!S40*parameters!$C$36</f>
        <v>0.10536860365919203</v>
      </c>
      <c r="T40" s="82">
        <f>'Baseline Consumption'!T40*parameters!$C$36</f>
        <v>0.10657221533562625</v>
      </c>
      <c r="U40" s="82">
        <f>'Baseline Consumption'!U40*parameters!$C$36</f>
        <v>0.10803792476907496</v>
      </c>
      <c r="V40" s="82">
        <f>'Baseline Consumption'!V40*parameters!$C$36</f>
        <v>0.10813305574445888</v>
      </c>
      <c r="W40" s="82">
        <f>'Baseline Consumption'!W40*parameters!$C$36</f>
        <v>0.10810543501629311</v>
      </c>
      <c r="X40" s="82">
        <f>'Baseline Consumption'!X40*parameters!$C$36</f>
        <v>0.10793588359905393</v>
      </c>
      <c r="Y40" s="82">
        <f>'Baseline Consumption'!Y40*parameters!$C$36</f>
        <v>0.10761631229781052</v>
      </c>
      <c r="Z40" s="82">
        <f>'Baseline Consumption'!Z40*parameters!$C$36</f>
        <v>0.10642957904462218</v>
      </c>
      <c r="AA40" s="82">
        <f>'Baseline Consumption'!AA40*parameters!$C$36</f>
        <v>0.10583239187958632</v>
      </c>
      <c r="AB40" s="82">
        <f>'Baseline Consumption'!AB40*parameters!$C$36</f>
        <v>0.10536128964064882</v>
      </c>
      <c r="AC40" s="82">
        <f>'Baseline Consumption'!AC40*parameters!$C$36</f>
        <v>0.10446855813383699</v>
      </c>
      <c r="AD40" s="82">
        <f>'Baseline Consumption'!AD40*parameters!$C$36</f>
        <v>0.10381196557150195</v>
      </c>
      <c r="AE40" s="82">
        <f>'Baseline Consumption'!AE40*parameters!$C$36</f>
        <v>0.10324173384438917</v>
      </c>
      <c r="AF40" s="82">
        <f>'Baseline Consumption'!AF40*parameters!$C$36</f>
        <v>0.10248677457015423</v>
      </c>
      <c r="AG40" s="82">
        <f>'Baseline Consumption'!AG40*parameters!$C$36</f>
        <v>0.10269261340087028</v>
      </c>
      <c r="AH40" s="82">
        <f>'Baseline Consumption'!AH40*parameters!$C$36</f>
        <v>0.10291235017442874</v>
      </c>
      <c r="AI40" s="82">
        <f>'Baseline Consumption'!AI40*parameters!$C$36</f>
        <v>0.10301807458314238</v>
      </c>
      <c r="AJ40" s="82">
        <f>'Baseline Consumption'!AJ40*parameters!$C$36</f>
        <v>0.10301557477466097</v>
      </c>
      <c r="AK40" s="82">
        <f>'Baseline Consumption'!AK40*parameters!$C$36</f>
        <v>0.10320665792495125</v>
      </c>
    </row>
    <row r="41" spans="1:37">
      <c r="A41" s="57" t="s">
        <v>63</v>
      </c>
      <c r="B41" s="82">
        <f>'Baseline Consumption'!B41*parameters!$C$36</f>
        <v>0</v>
      </c>
      <c r="C41" s="82">
        <f>'Baseline Consumption'!C41*parameters!$C$36</f>
        <v>0</v>
      </c>
      <c r="D41" s="82">
        <f>'Baseline Consumption'!D41*parameters!$C$36</f>
        <v>0</v>
      </c>
      <c r="E41" s="82">
        <f>'Baseline Consumption'!E41*parameters!$C$36</f>
        <v>0</v>
      </c>
      <c r="F41" s="82">
        <f>'Baseline Consumption'!F41*parameters!$C$36</f>
        <v>0</v>
      </c>
      <c r="G41" s="82">
        <f>'Baseline Consumption'!G41*parameters!$C$36</f>
        <v>0</v>
      </c>
      <c r="H41" s="82">
        <f>'Baseline Consumption'!H41*parameters!$C$36</f>
        <v>0</v>
      </c>
      <c r="I41" s="82">
        <f>'Baseline Consumption'!I41*parameters!$C$36</f>
        <v>0</v>
      </c>
      <c r="J41" s="82">
        <f>'Baseline Consumption'!J41*parameters!$C$36</f>
        <v>0</v>
      </c>
      <c r="K41" s="542">
        <f>'Baseline Consumption'!K41*parameters!$C$36</f>
        <v>0</v>
      </c>
      <c r="L41" s="542">
        <f>'Baseline Consumption'!L41*parameters!$C$36</f>
        <v>0</v>
      </c>
      <c r="M41" s="541">
        <f>'Baseline Consumption'!M41*parameters!$C$36</f>
        <v>0</v>
      </c>
      <c r="N41" s="82">
        <f>'Baseline Consumption'!N41*parameters!$C$36</f>
        <v>0</v>
      </c>
      <c r="O41" s="82">
        <f>'Baseline Consumption'!O41*parameters!$C$36</f>
        <v>0</v>
      </c>
      <c r="P41" s="82">
        <f>'Baseline Consumption'!P41*parameters!$C$36</f>
        <v>0</v>
      </c>
      <c r="Q41" s="82">
        <f>'Baseline Consumption'!Q41*parameters!$C$36</f>
        <v>0</v>
      </c>
      <c r="R41" s="82">
        <f>'Baseline Consumption'!R41*parameters!$C$36</f>
        <v>0</v>
      </c>
      <c r="S41" s="82">
        <f>'Baseline Consumption'!S41*parameters!$C$36</f>
        <v>0</v>
      </c>
      <c r="T41" s="82">
        <f>'Baseline Consumption'!T41*parameters!$C$36</f>
        <v>0</v>
      </c>
      <c r="U41" s="82">
        <f>'Baseline Consumption'!U41*parameters!$C$36</f>
        <v>0</v>
      </c>
      <c r="V41" s="82">
        <f>'Baseline Consumption'!V41*parameters!$C$36</f>
        <v>0</v>
      </c>
      <c r="W41" s="82">
        <f>'Baseline Consumption'!W41*parameters!$C$36</f>
        <v>0</v>
      </c>
      <c r="X41" s="82">
        <f>'Baseline Consumption'!X41*parameters!$C$36</f>
        <v>0</v>
      </c>
      <c r="Y41" s="82">
        <f>'Baseline Consumption'!Y41*parameters!$C$36</f>
        <v>0</v>
      </c>
      <c r="Z41" s="82">
        <f>'Baseline Consumption'!Z41*parameters!$C$36</f>
        <v>0</v>
      </c>
      <c r="AA41" s="82">
        <f>'Baseline Consumption'!AA41*parameters!$C$36</f>
        <v>0</v>
      </c>
      <c r="AB41" s="82">
        <f>'Baseline Consumption'!AB41*parameters!$C$36</f>
        <v>0</v>
      </c>
      <c r="AC41" s="82">
        <f>'Baseline Consumption'!AC41*parameters!$C$36</f>
        <v>0</v>
      </c>
      <c r="AD41" s="82">
        <f>'Baseline Consumption'!AD41*parameters!$C$36</f>
        <v>0</v>
      </c>
      <c r="AE41" s="82">
        <f>'Baseline Consumption'!AE41*parameters!$C$36</f>
        <v>0</v>
      </c>
      <c r="AF41" s="82">
        <f>'Baseline Consumption'!AF41*parameters!$C$36</f>
        <v>0</v>
      </c>
      <c r="AG41" s="82">
        <f>'Baseline Consumption'!AG41*parameters!$C$36</f>
        <v>0</v>
      </c>
      <c r="AH41" s="82">
        <f>'Baseline Consumption'!AH41*parameters!$C$36</f>
        <v>0</v>
      </c>
      <c r="AI41" s="82">
        <f>'Baseline Consumption'!AI41*parameters!$C$36</f>
        <v>0</v>
      </c>
      <c r="AJ41" s="82">
        <f>'Baseline Consumption'!AJ41*parameters!$C$36</f>
        <v>0</v>
      </c>
      <c r="AK41" s="82">
        <f>'Baseline Consumption'!AK41*parameters!$C$36</f>
        <v>0</v>
      </c>
    </row>
    <row r="42" spans="1:37">
      <c r="A42" s="57" t="s">
        <v>64</v>
      </c>
      <c r="B42" s="82">
        <f>'Baseline Consumption'!B42*parameters!$C$36</f>
        <v>0</v>
      </c>
      <c r="C42" s="82">
        <f>'Baseline Consumption'!C42*parameters!$C$36</f>
        <v>0</v>
      </c>
      <c r="D42" s="82">
        <f>'Baseline Consumption'!D42*parameters!$C$36</f>
        <v>0</v>
      </c>
      <c r="E42" s="82">
        <f>'Baseline Consumption'!E42*parameters!$C$36</f>
        <v>0</v>
      </c>
      <c r="F42" s="82">
        <f>'Baseline Consumption'!F42*parameters!$C$36</f>
        <v>0</v>
      </c>
      <c r="G42" s="82">
        <f>'Baseline Consumption'!G42*parameters!$C$36</f>
        <v>0</v>
      </c>
      <c r="H42" s="82">
        <f>'Baseline Consumption'!H42*parameters!$C$36</f>
        <v>0</v>
      </c>
      <c r="I42" s="82">
        <f>'Baseline Consumption'!I42*parameters!$C$36</f>
        <v>0</v>
      </c>
      <c r="J42" s="82">
        <f>'Baseline Consumption'!J42*parameters!$C$36</f>
        <v>0</v>
      </c>
      <c r="K42" s="542">
        <f>'Baseline Consumption'!K42*parameters!$C$36</f>
        <v>0</v>
      </c>
      <c r="L42" s="542">
        <f>'Baseline Consumption'!L42*parameters!$C$36</f>
        <v>0</v>
      </c>
      <c r="M42" s="541">
        <f>'Baseline Consumption'!M42*parameters!$C$36</f>
        <v>0</v>
      </c>
      <c r="N42" s="82">
        <f>'Baseline Consumption'!N42*parameters!$C$36</f>
        <v>0</v>
      </c>
      <c r="O42" s="82">
        <f>'Baseline Consumption'!O42*parameters!$C$36</f>
        <v>0</v>
      </c>
      <c r="P42" s="82">
        <f>'Baseline Consumption'!P42*parameters!$C$36</f>
        <v>0</v>
      </c>
      <c r="Q42" s="82">
        <f>'Baseline Consumption'!Q42*parameters!$C$36</f>
        <v>0</v>
      </c>
      <c r="R42" s="82">
        <f>'Baseline Consumption'!R42*parameters!$C$36</f>
        <v>0</v>
      </c>
      <c r="S42" s="82">
        <f>'Baseline Consumption'!S42*parameters!$C$36</f>
        <v>0</v>
      </c>
      <c r="T42" s="82">
        <f>'Baseline Consumption'!T42*parameters!$C$36</f>
        <v>0</v>
      </c>
      <c r="U42" s="82">
        <f>'Baseline Consumption'!U42*parameters!$C$36</f>
        <v>0</v>
      </c>
      <c r="V42" s="82">
        <f>'Baseline Consumption'!V42*parameters!$C$36</f>
        <v>0</v>
      </c>
      <c r="W42" s="82">
        <f>'Baseline Consumption'!W42*parameters!$C$36</f>
        <v>0</v>
      </c>
      <c r="X42" s="82">
        <f>'Baseline Consumption'!X42*parameters!$C$36</f>
        <v>0</v>
      </c>
      <c r="Y42" s="82">
        <f>'Baseline Consumption'!Y42*parameters!$C$36</f>
        <v>0</v>
      </c>
      <c r="Z42" s="82">
        <f>'Baseline Consumption'!Z42*parameters!$C$36</f>
        <v>0</v>
      </c>
      <c r="AA42" s="82">
        <f>'Baseline Consumption'!AA42*parameters!$C$36</f>
        <v>0</v>
      </c>
      <c r="AB42" s="82">
        <f>'Baseline Consumption'!AB42*parameters!$C$36</f>
        <v>0</v>
      </c>
      <c r="AC42" s="82">
        <f>'Baseline Consumption'!AC42*parameters!$C$36</f>
        <v>0</v>
      </c>
      <c r="AD42" s="82">
        <f>'Baseline Consumption'!AD42*parameters!$C$36</f>
        <v>0</v>
      </c>
      <c r="AE42" s="82">
        <f>'Baseline Consumption'!AE42*parameters!$C$36</f>
        <v>0</v>
      </c>
      <c r="AF42" s="82">
        <f>'Baseline Consumption'!AF42*parameters!$C$36</f>
        <v>0</v>
      </c>
      <c r="AG42" s="82">
        <f>'Baseline Consumption'!AG42*parameters!$C$36</f>
        <v>0</v>
      </c>
      <c r="AH42" s="82">
        <f>'Baseline Consumption'!AH42*parameters!$C$36</f>
        <v>0</v>
      </c>
      <c r="AI42" s="82">
        <f>'Baseline Consumption'!AI42*parameters!$C$36</f>
        <v>0</v>
      </c>
      <c r="AJ42" s="82">
        <f>'Baseline Consumption'!AJ42*parameters!$C$36</f>
        <v>0</v>
      </c>
      <c r="AK42" s="82">
        <f>'Baseline Consumption'!AK42*parameters!$C$36</f>
        <v>0</v>
      </c>
    </row>
    <row r="43" spans="1:37">
      <c r="A43" s="57" t="s">
        <v>65</v>
      </c>
      <c r="B43" s="82">
        <f>SUM(B40:B42)</f>
        <v>0.33890495067688509</v>
      </c>
      <c r="C43" s="82">
        <f>SUM(C40:C42)</f>
        <v>0.33503363630557448</v>
      </c>
      <c r="D43" s="82">
        <f>SUM(D40:D42)</f>
        <v>0.34107373759601411</v>
      </c>
      <c r="E43" s="82">
        <f t="shared" ref="E43:AF43" si="3">SUM(E40:E42)</f>
        <v>0.32232687290844925</v>
      </c>
      <c r="F43" s="82">
        <f t="shared" si="3"/>
        <v>0.26311983132655181</v>
      </c>
      <c r="G43" s="82">
        <f t="shared" si="3"/>
        <v>0.26589664293128507</v>
      </c>
      <c r="H43" s="82">
        <f t="shared" si="3"/>
        <v>0.27510753020552214</v>
      </c>
      <c r="I43" s="82">
        <f t="shared" si="3"/>
        <v>0.24381760431804025</v>
      </c>
      <c r="J43" s="82">
        <f t="shared" si="3"/>
        <v>0.22349947062487024</v>
      </c>
      <c r="K43" s="542">
        <f t="shared" si="3"/>
        <v>0.24145392809840152</v>
      </c>
      <c r="L43" s="542">
        <f t="shared" si="3"/>
        <v>0.23891416138675528</v>
      </c>
      <c r="M43" s="541">
        <f t="shared" si="3"/>
        <v>9.6345592609171235E-2</v>
      </c>
      <c r="N43" s="82">
        <f t="shared" si="3"/>
        <v>9.0658598666102375E-2</v>
      </c>
      <c r="O43" s="82">
        <f t="shared" si="3"/>
        <v>9.3677910990193972E-2</v>
      </c>
      <c r="P43" s="82">
        <f t="shared" si="3"/>
        <v>9.8680389338176119E-2</v>
      </c>
      <c r="Q43" s="82">
        <f t="shared" si="3"/>
        <v>0.1025375320927686</v>
      </c>
      <c r="R43" s="82">
        <f t="shared" si="3"/>
        <v>0.10399831770094306</v>
      </c>
      <c r="S43" s="82">
        <f t="shared" si="3"/>
        <v>0.10536860365919203</v>
      </c>
      <c r="T43" s="82">
        <f t="shared" si="3"/>
        <v>0.10657221533562625</v>
      </c>
      <c r="U43" s="82">
        <f t="shared" si="3"/>
        <v>0.10803792476907496</v>
      </c>
      <c r="V43" s="82">
        <f t="shared" si="3"/>
        <v>0.10813305574445888</v>
      </c>
      <c r="W43" s="82">
        <f t="shared" si="3"/>
        <v>0.10810543501629311</v>
      </c>
      <c r="X43" s="82">
        <f t="shared" si="3"/>
        <v>0.10793588359905393</v>
      </c>
      <c r="Y43" s="82">
        <f t="shared" si="3"/>
        <v>0.10761631229781052</v>
      </c>
      <c r="Z43" s="82">
        <f t="shared" si="3"/>
        <v>0.10642957904462218</v>
      </c>
      <c r="AA43" s="82">
        <f t="shared" si="3"/>
        <v>0.10583239187958632</v>
      </c>
      <c r="AB43" s="82">
        <f t="shared" si="3"/>
        <v>0.10536128964064882</v>
      </c>
      <c r="AC43" s="82">
        <f t="shared" si="3"/>
        <v>0.10446855813383699</v>
      </c>
      <c r="AD43" s="82">
        <f t="shared" si="3"/>
        <v>0.10381196557150195</v>
      </c>
      <c r="AE43" s="82">
        <f t="shared" si="3"/>
        <v>0.10324173384438917</v>
      </c>
      <c r="AF43" s="82">
        <f t="shared" si="3"/>
        <v>0.10248677457015423</v>
      </c>
      <c r="AG43" s="82">
        <f>SUM(AG40:AG42)</f>
        <v>0.10269261340087028</v>
      </c>
      <c r="AH43" s="82">
        <f>SUM(AH40:AH42)</f>
        <v>0.10291235017442874</v>
      </c>
      <c r="AI43" s="82">
        <f>SUM(AI40:AI42)</f>
        <v>0.10301807458314238</v>
      </c>
      <c r="AJ43" s="82">
        <f>SUM(AJ40:AJ42)</f>
        <v>0.10301557477466097</v>
      </c>
      <c r="AK43" s="82">
        <f>SUM(AK40:AK42)</f>
        <v>0.10320665792495125</v>
      </c>
    </row>
    <row r="44" spans="1:37">
      <c r="A44" s="57" t="s">
        <v>66</v>
      </c>
      <c r="B44" s="82">
        <f>'Baseline Consumption'!B44*parameters!$C$50</f>
        <v>0</v>
      </c>
      <c r="C44" s="82">
        <f>'Baseline Consumption'!C44*parameters!$C$50</f>
        <v>0</v>
      </c>
      <c r="D44" s="82">
        <f>'Baseline Consumption'!D44*parameters!$C$50</f>
        <v>0</v>
      </c>
      <c r="E44" s="82">
        <f>'Baseline Consumption'!E44*parameters!$C$50</f>
        <v>0</v>
      </c>
      <c r="F44" s="82">
        <f>'Baseline Consumption'!F44*parameters!$C$50</f>
        <v>0</v>
      </c>
      <c r="G44" s="82">
        <f>'Baseline Consumption'!G44*parameters!$C$50</f>
        <v>0</v>
      </c>
      <c r="H44" s="82">
        <f>'Baseline Consumption'!H44*parameters!$C$50</f>
        <v>0</v>
      </c>
      <c r="I44" s="82">
        <f>'Baseline Consumption'!I44*parameters!$C$50</f>
        <v>0</v>
      </c>
      <c r="J44" s="82">
        <f>'Baseline Consumption'!J44*parameters!$C$50</f>
        <v>0</v>
      </c>
      <c r="K44" s="542">
        <f>'Baseline Consumption'!K44*parameters!$C$50</f>
        <v>0</v>
      </c>
      <c r="L44" s="542">
        <f>'Baseline Consumption'!L44*parameters!$C$50</f>
        <v>0</v>
      </c>
      <c r="M44" s="541">
        <f>'Baseline Consumption'!M44*parameters!$C$50</f>
        <v>0</v>
      </c>
      <c r="N44" s="82">
        <f>'Baseline Consumption'!N44*parameters!$C$50</f>
        <v>0</v>
      </c>
      <c r="O44" s="82">
        <f>'Baseline Consumption'!O44*parameters!$C$50</f>
        <v>0</v>
      </c>
      <c r="P44" s="82">
        <f>'Baseline Consumption'!P44*parameters!$C$50</f>
        <v>0</v>
      </c>
      <c r="Q44" s="82">
        <f>'Baseline Consumption'!Q44*parameters!$C$50</f>
        <v>0</v>
      </c>
      <c r="R44" s="82">
        <f>'Baseline Consumption'!R44*parameters!$C$50</f>
        <v>0</v>
      </c>
      <c r="S44" s="82">
        <f>'Baseline Consumption'!S44*parameters!$C$50</f>
        <v>0</v>
      </c>
      <c r="T44" s="82">
        <f>'Baseline Consumption'!T44*parameters!$C$50</f>
        <v>0</v>
      </c>
      <c r="U44" s="82">
        <f>'Baseline Consumption'!U44*parameters!$C$50</f>
        <v>0</v>
      </c>
      <c r="V44" s="82">
        <f>'Baseline Consumption'!V44*parameters!$C$50</f>
        <v>0</v>
      </c>
      <c r="W44" s="82">
        <f>'Baseline Consumption'!W44*parameters!$C$50</f>
        <v>0</v>
      </c>
      <c r="X44" s="82">
        <f>'Baseline Consumption'!X44*parameters!$C$50</f>
        <v>0</v>
      </c>
      <c r="Y44" s="82">
        <f>'Baseline Consumption'!Y44*parameters!$C$50</f>
        <v>0</v>
      </c>
      <c r="Z44" s="82">
        <f>'Baseline Consumption'!Z44*parameters!$C$50</f>
        <v>0</v>
      </c>
      <c r="AA44" s="82">
        <f>'Baseline Consumption'!AA44*parameters!$C$50</f>
        <v>0</v>
      </c>
      <c r="AB44" s="82">
        <f>'Baseline Consumption'!AB44*parameters!$C$50</f>
        <v>0</v>
      </c>
      <c r="AC44" s="82">
        <f>'Baseline Consumption'!AC44*parameters!$C$50</f>
        <v>0</v>
      </c>
      <c r="AD44" s="82">
        <f>'Baseline Consumption'!AD44*parameters!$C$50</f>
        <v>0</v>
      </c>
      <c r="AE44" s="82">
        <f>'Baseline Consumption'!AE44*parameters!$C$50</f>
        <v>0</v>
      </c>
      <c r="AF44" s="82">
        <f>'Baseline Consumption'!AF44*parameters!$C$50</f>
        <v>0</v>
      </c>
      <c r="AG44" s="82">
        <f>'Baseline Consumption'!AG44*parameters!$C$50</f>
        <v>0</v>
      </c>
      <c r="AH44" s="82">
        <f>'Baseline Consumption'!AH44*parameters!$C$50</f>
        <v>0</v>
      </c>
      <c r="AI44" s="82">
        <f>'Baseline Consumption'!AI44*parameters!$C$50</f>
        <v>0</v>
      </c>
      <c r="AJ44" s="82">
        <f>'Baseline Consumption'!AJ44*parameters!$C$50</f>
        <v>0</v>
      </c>
      <c r="AK44" s="82">
        <f>'Baseline Consumption'!AK44*parameters!$C$50</f>
        <v>0</v>
      </c>
    </row>
    <row r="45" spans="1:37">
      <c r="A45" s="57" t="s">
        <v>67</v>
      </c>
      <c r="B45" s="82">
        <f>'Baseline Consumption'!B45*parameters!$C$50</f>
        <v>0</v>
      </c>
      <c r="C45" s="82">
        <f>'Baseline Consumption'!C45*parameters!$C$50</f>
        <v>0</v>
      </c>
      <c r="D45" s="82">
        <f>'Baseline Consumption'!D45*parameters!$C$50</f>
        <v>0</v>
      </c>
      <c r="E45" s="82">
        <f>'Baseline Consumption'!E45*parameters!$C$50</f>
        <v>0</v>
      </c>
      <c r="F45" s="82">
        <f>'Baseline Consumption'!F45*parameters!$C$50</f>
        <v>0</v>
      </c>
      <c r="G45" s="82">
        <f>'Baseline Consumption'!G45*parameters!$C$50</f>
        <v>0</v>
      </c>
      <c r="H45" s="82">
        <f>'Baseline Consumption'!H45*parameters!$C$50</f>
        <v>0</v>
      </c>
      <c r="I45" s="82">
        <f>'Baseline Consumption'!I45*parameters!$C$50</f>
        <v>0</v>
      </c>
      <c r="J45" s="82">
        <f>'Baseline Consumption'!J45*parameters!$C$50</f>
        <v>0</v>
      </c>
      <c r="K45" s="542">
        <f>'Baseline Consumption'!K45*parameters!$C$50</f>
        <v>0</v>
      </c>
      <c r="L45" s="542">
        <f>'Baseline Consumption'!L45*parameters!$C$50</f>
        <v>0</v>
      </c>
      <c r="M45" s="541">
        <f>'Baseline Consumption'!M45*parameters!$C$50</f>
        <v>0</v>
      </c>
      <c r="N45" s="82">
        <f>'Baseline Consumption'!N45*parameters!$C$50</f>
        <v>0</v>
      </c>
      <c r="O45" s="82">
        <f>'Baseline Consumption'!O45*parameters!$C$50</f>
        <v>0</v>
      </c>
      <c r="P45" s="82">
        <f>'Baseline Consumption'!P45*parameters!$C$50</f>
        <v>0</v>
      </c>
      <c r="Q45" s="82">
        <f>'Baseline Consumption'!Q45*parameters!$C$50</f>
        <v>0</v>
      </c>
      <c r="R45" s="82">
        <f>'Baseline Consumption'!R45*parameters!$C$50</f>
        <v>0</v>
      </c>
      <c r="S45" s="82">
        <f>'Baseline Consumption'!S45*parameters!$C$50</f>
        <v>0</v>
      </c>
      <c r="T45" s="82">
        <f>'Baseline Consumption'!T45*parameters!$C$50</f>
        <v>0</v>
      </c>
      <c r="U45" s="82">
        <f>'Baseline Consumption'!U45*parameters!$C$50</f>
        <v>0</v>
      </c>
      <c r="V45" s="82">
        <f>'Baseline Consumption'!V45*parameters!$C$50</f>
        <v>0</v>
      </c>
      <c r="W45" s="82">
        <f>'Baseline Consumption'!W45*parameters!$C$50</f>
        <v>0</v>
      </c>
      <c r="X45" s="82">
        <f>'Baseline Consumption'!X45*parameters!$C$50</f>
        <v>0</v>
      </c>
      <c r="Y45" s="82">
        <f>'Baseline Consumption'!Y45*parameters!$C$50</f>
        <v>0</v>
      </c>
      <c r="Z45" s="82">
        <f>'Baseline Consumption'!Z45*parameters!$C$50</f>
        <v>0</v>
      </c>
      <c r="AA45" s="82">
        <f>'Baseline Consumption'!AA45*parameters!$C$50</f>
        <v>0</v>
      </c>
      <c r="AB45" s="82">
        <f>'Baseline Consumption'!AB45*parameters!$C$50</f>
        <v>0</v>
      </c>
      <c r="AC45" s="82">
        <f>'Baseline Consumption'!AC45*parameters!$C$50</f>
        <v>0</v>
      </c>
      <c r="AD45" s="82">
        <f>'Baseline Consumption'!AD45*parameters!$C$50</f>
        <v>0</v>
      </c>
      <c r="AE45" s="82">
        <f>'Baseline Consumption'!AE45*parameters!$C$50</f>
        <v>0</v>
      </c>
      <c r="AF45" s="82">
        <f>'Baseline Consumption'!AF45*parameters!$C$50</f>
        <v>0</v>
      </c>
      <c r="AG45" s="82">
        <f>'Baseline Consumption'!AG45*parameters!$C$50</f>
        <v>0</v>
      </c>
      <c r="AH45" s="82">
        <f>'Baseline Consumption'!AH45*parameters!$C$50</f>
        <v>0</v>
      </c>
      <c r="AI45" s="82">
        <f>'Baseline Consumption'!AI45*parameters!$C$50</f>
        <v>0</v>
      </c>
      <c r="AJ45" s="82">
        <f>'Baseline Consumption'!AJ45*parameters!$C$50</f>
        <v>0</v>
      </c>
      <c r="AK45" s="82">
        <f>'Baseline Consumption'!AK45*parameters!$C$50</f>
        <v>0</v>
      </c>
    </row>
    <row r="46" spans="1:37">
      <c r="A46" s="57" t="s">
        <v>27</v>
      </c>
      <c r="B46" s="82">
        <f>B91*'Baseline Consumption'!B96</f>
        <v>4.8100114622503938</v>
      </c>
      <c r="C46" s="82">
        <f>C91*'Baseline Consumption'!C96</f>
        <v>4.356787497186084</v>
      </c>
      <c r="D46" s="82">
        <f>D91*'Baseline Consumption'!D96</f>
        <v>4.3324959926785711</v>
      </c>
      <c r="E46" s="82">
        <f>E91*'Baseline Consumption'!E96</f>
        <v>4.4521474386018838</v>
      </c>
      <c r="F46" s="82">
        <f>F91*'Baseline Consumption'!F96</f>
        <v>5.1735052869730751</v>
      </c>
      <c r="G46" s="82">
        <f>G91*'Baseline Consumption'!G96</f>
        <v>6.3476255730364537</v>
      </c>
      <c r="H46" s="82">
        <f>H91*'Baseline Consumption'!H96</f>
        <v>4.8572943443261956</v>
      </c>
      <c r="I46" s="82">
        <f>I91*'Baseline Consumption'!I96</f>
        <v>4.6568669519239423</v>
      </c>
      <c r="J46" s="82">
        <f>J91*'Baseline Consumption'!J96</f>
        <v>5.5814477053020566</v>
      </c>
      <c r="K46" s="542">
        <f>K91*'Baseline Consumption'!K96</f>
        <v>5.424111457209265</v>
      </c>
      <c r="L46" s="542">
        <f>L91*'Baseline Consumption'!L96</f>
        <v>5.9576724686896529</v>
      </c>
      <c r="M46" s="541">
        <f>M91*'Baseline Consumption'!M96</f>
        <v>5.5407938026533898</v>
      </c>
      <c r="N46" s="759">
        <f>N91*'Baseline Consumption'!N96</f>
        <v>3.8130345288557494</v>
      </c>
      <c r="O46" s="82">
        <f>O91*'Baseline Consumption'!O96</f>
        <v>3.8367561456767492</v>
      </c>
      <c r="P46" s="82">
        <f>P91*'Baseline Consumption'!P96</f>
        <v>3.7624929192354668</v>
      </c>
      <c r="Q46" s="82">
        <f>Q91*'Baseline Consumption'!Q96</f>
        <v>3.6677462107664995</v>
      </c>
      <c r="R46" s="82">
        <f>R91*'Baseline Consumption'!R96</f>
        <v>3.3242370698454482</v>
      </c>
      <c r="S46" s="82">
        <f>S91*'Baseline Consumption'!S96</f>
        <v>3.3349056053347081</v>
      </c>
      <c r="T46" s="82">
        <f>T91*'Baseline Consumption'!T96</f>
        <v>3.1353093099081448</v>
      </c>
      <c r="U46" s="82">
        <f>U91*'Baseline Consumption'!U96</f>
        <v>3.1471622022153349</v>
      </c>
      <c r="V46" s="82">
        <f>V91*'Baseline Consumption'!V96</f>
        <v>3.1611767939150575</v>
      </c>
      <c r="W46" s="82">
        <f>W91*'Baseline Consumption'!W96</f>
        <v>2.7858838401222892</v>
      </c>
      <c r="X46" s="82">
        <f>X91*'Baseline Consumption'!X96</f>
        <v>2.8040539664315087</v>
      </c>
      <c r="Y46" s="82">
        <f>Y91*'Baseline Consumption'!Y96</f>
        <v>2.8224970298511534</v>
      </c>
      <c r="Z46" s="82">
        <f>Z91*'Baseline Consumption'!Z96</f>
        <v>2.8538596107226959</v>
      </c>
      <c r="AA46" s="82">
        <f>AA91*'Baseline Consumption'!AA96</f>
        <v>2.8995930855503813</v>
      </c>
      <c r="AB46" s="82">
        <f>AB91*'Baseline Consumption'!AB96</f>
        <v>2.9126261153409327</v>
      </c>
      <c r="AC46" s="82">
        <f>AC91*'Baseline Consumption'!AC96</f>
        <v>2.9635986116760455</v>
      </c>
      <c r="AD46" s="82">
        <f>AD91*'Baseline Consumption'!AD96</f>
        <v>3.0154785841015546</v>
      </c>
      <c r="AE46" s="82">
        <f>AE91*'Baseline Consumption'!AE96</f>
        <v>3.0684415798646314</v>
      </c>
      <c r="AF46" s="82">
        <f>AF91*'Baseline Consumption'!AF96</f>
        <v>3.1249562732042748</v>
      </c>
      <c r="AG46" s="82">
        <f>AG91*'Baseline Consumption'!AG96</f>
        <v>3.1759343680095227</v>
      </c>
      <c r="AH46" s="82">
        <f>AH91*'Baseline Consumption'!AH96</f>
        <v>3.2289077712508818</v>
      </c>
      <c r="AI46" s="82">
        <f>AI91*'Baseline Consumption'!AI96</f>
        <v>3.2818990811996387</v>
      </c>
      <c r="AJ46" s="82">
        <f>AJ91*'Baseline Consumption'!AJ96</f>
        <v>3.3349036103549845</v>
      </c>
      <c r="AK46" s="82">
        <f>AK91*'Baseline Consumption'!AK96</f>
        <v>3.387896447543941</v>
      </c>
    </row>
    <row r="47" spans="1:37" s="8" customFormat="1">
      <c r="A47" s="60" t="s">
        <v>4</v>
      </c>
      <c r="B47" s="445">
        <f>SUM(B29:B32,B34,B38,B43:B46)</f>
        <v>16.773356525698926</v>
      </c>
      <c r="C47" s="445">
        <f t="shared" ref="C47:AK47" si="4">SUM(C29:C32,C34,C38,C43:C46)</f>
        <v>16.22884030432219</v>
      </c>
      <c r="D47" s="445">
        <f t="shared" si="4"/>
        <v>15.070962055041253</v>
      </c>
      <c r="E47" s="445">
        <f t="shared" si="4"/>
        <v>14.703342092137509</v>
      </c>
      <c r="F47" s="445">
        <f t="shared" si="4"/>
        <v>14.666088034932191</v>
      </c>
      <c r="G47" s="445">
        <f t="shared" si="4"/>
        <v>16.071545938208846</v>
      </c>
      <c r="H47" s="445">
        <f t="shared" si="4"/>
        <v>14.578889713447666</v>
      </c>
      <c r="I47" s="445">
        <f t="shared" si="4"/>
        <v>14.361028850927962</v>
      </c>
      <c r="J47" s="445">
        <f t="shared" si="4"/>
        <v>15.989791601650399</v>
      </c>
      <c r="K47" s="445">
        <f>SUM(K29:K32,K34,K38,K43:K46)</f>
        <v>15.720136276784419</v>
      </c>
      <c r="L47" s="445">
        <f t="shared" si="4"/>
        <v>15.849383994099075</v>
      </c>
      <c r="M47" s="372">
        <f>SUM(M29:M32,M34,M38,M43:M46)</f>
        <v>16.391567104734314</v>
      </c>
      <c r="N47" s="445">
        <f>SUM(N29:N32,N34,N38,N43:N46)</f>
        <v>14.808704142022947</v>
      </c>
      <c r="O47" s="445">
        <f t="shared" si="4"/>
        <v>15.31642533529012</v>
      </c>
      <c r="P47" s="445">
        <f t="shared" si="4"/>
        <v>15.537904404804641</v>
      </c>
      <c r="Q47" s="445">
        <f t="shared" si="4"/>
        <v>15.541081524713093</v>
      </c>
      <c r="R47" s="445">
        <f t="shared" si="4"/>
        <v>15.24892560212785</v>
      </c>
      <c r="S47" s="445">
        <f t="shared" si="4"/>
        <v>15.388086558129428</v>
      </c>
      <c r="T47" s="445">
        <f t="shared" si="4"/>
        <v>15.313186946674085</v>
      </c>
      <c r="U47" s="445">
        <f t="shared" si="4"/>
        <v>15.406591680784423</v>
      </c>
      <c r="V47" s="445">
        <f t="shared" si="4"/>
        <v>15.487893034768357</v>
      </c>
      <c r="W47" s="445">
        <f t="shared" si="4"/>
        <v>15.145117594009218</v>
      </c>
      <c r="X47" s="445">
        <f t="shared" si="4"/>
        <v>15.288706006123409</v>
      </c>
      <c r="Y47" s="445">
        <f t="shared" si="4"/>
        <v>15.425215606488706</v>
      </c>
      <c r="Z47" s="445">
        <f t="shared" si="4"/>
        <v>15.561498622476053</v>
      </c>
      <c r="AA47" s="445">
        <f t="shared" si="4"/>
        <v>15.706085415754476</v>
      </c>
      <c r="AB47" s="445">
        <f t="shared" si="4"/>
        <v>15.885632403093489</v>
      </c>
      <c r="AC47" s="445">
        <f t="shared" si="4"/>
        <v>16.033276913983496</v>
      </c>
      <c r="AD47" s="445">
        <f t="shared" si="4"/>
        <v>16.195318521455761</v>
      </c>
      <c r="AE47" s="445">
        <f t="shared" si="4"/>
        <v>16.37275954527378</v>
      </c>
      <c r="AF47" s="445">
        <f t="shared" si="4"/>
        <v>16.571059069986475</v>
      </c>
      <c r="AG47" s="445">
        <f t="shared" si="4"/>
        <v>16.729790525844546</v>
      </c>
      <c r="AH47" s="445">
        <f t="shared" si="4"/>
        <v>16.915012789169214</v>
      </c>
      <c r="AI47" s="445">
        <f t="shared" si="4"/>
        <v>17.125343917996279</v>
      </c>
      <c r="AJ47" s="445">
        <f t="shared" si="4"/>
        <v>17.307204154921948</v>
      </c>
      <c r="AK47" s="445">
        <f t="shared" si="4"/>
        <v>17.499779870955415</v>
      </c>
    </row>
    <row r="48" spans="1:37">
      <c r="A48" s="57"/>
      <c r="B48" s="82"/>
      <c r="C48" s="82"/>
      <c r="D48" s="82"/>
      <c r="E48" s="82"/>
      <c r="F48" s="82"/>
      <c r="G48" s="82"/>
      <c r="H48" s="82"/>
      <c r="I48" s="82"/>
      <c r="J48" s="82"/>
      <c r="K48" s="542"/>
      <c r="L48" s="542"/>
      <c r="M48" s="541"/>
      <c r="N48" s="759" t="s">
        <v>1396</v>
      </c>
      <c r="O48" s="82"/>
      <c r="P48" s="82"/>
      <c r="Q48" s="82"/>
      <c r="R48" s="82"/>
      <c r="S48" s="82"/>
      <c r="T48" s="82"/>
      <c r="U48" s="82"/>
      <c r="V48" s="82"/>
      <c r="W48" s="82"/>
      <c r="X48" s="82"/>
      <c r="Y48" s="82"/>
      <c r="Z48" s="82"/>
      <c r="AA48" s="82"/>
      <c r="AB48" s="82"/>
      <c r="AC48" s="82"/>
      <c r="AD48" s="82"/>
      <c r="AE48" s="82"/>
      <c r="AF48" s="82"/>
      <c r="AG48" s="76"/>
      <c r="AH48" s="76"/>
      <c r="AI48" s="76"/>
      <c r="AJ48" s="76"/>
      <c r="AK48" s="76"/>
    </row>
    <row r="49" spans="1:45">
      <c r="A49" s="57" t="s">
        <v>38</v>
      </c>
      <c r="B49" s="331">
        <f>B6</f>
        <v>2005</v>
      </c>
      <c r="C49" s="331">
        <f t="shared" ref="C49:AK49" si="5">C6</f>
        <v>2006</v>
      </c>
      <c r="D49" s="331">
        <f t="shared" si="5"/>
        <v>2007</v>
      </c>
      <c r="E49" s="331">
        <f t="shared" si="5"/>
        <v>2008</v>
      </c>
      <c r="F49" s="331">
        <f t="shared" si="5"/>
        <v>2009</v>
      </c>
      <c r="G49" s="331">
        <f t="shared" si="5"/>
        <v>2010</v>
      </c>
      <c r="H49" s="331">
        <f t="shared" si="5"/>
        <v>2011</v>
      </c>
      <c r="I49" s="331">
        <f t="shared" si="5"/>
        <v>2012</v>
      </c>
      <c r="J49" s="331">
        <f t="shared" si="5"/>
        <v>2013</v>
      </c>
      <c r="K49" s="572">
        <f t="shared" si="5"/>
        <v>2014</v>
      </c>
      <c r="L49" s="572">
        <f t="shared" si="5"/>
        <v>2015</v>
      </c>
      <c r="M49" s="373">
        <f t="shared" si="5"/>
        <v>2016</v>
      </c>
      <c r="N49" s="331">
        <f t="shared" si="5"/>
        <v>2017</v>
      </c>
      <c r="O49" s="331">
        <f t="shared" si="5"/>
        <v>2018</v>
      </c>
      <c r="P49" s="331">
        <f t="shared" si="5"/>
        <v>2019</v>
      </c>
      <c r="Q49" s="331">
        <f t="shared" si="5"/>
        <v>2020</v>
      </c>
      <c r="R49" s="331">
        <f t="shared" si="5"/>
        <v>2021</v>
      </c>
      <c r="S49" s="331">
        <f t="shared" si="5"/>
        <v>2022</v>
      </c>
      <c r="T49" s="331">
        <f t="shared" si="5"/>
        <v>2023</v>
      </c>
      <c r="U49" s="331">
        <f t="shared" si="5"/>
        <v>2024</v>
      </c>
      <c r="V49" s="331">
        <f t="shared" si="5"/>
        <v>2025</v>
      </c>
      <c r="W49" s="331">
        <f t="shared" si="5"/>
        <v>2026</v>
      </c>
      <c r="X49" s="331">
        <f t="shared" si="5"/>
        <v>2027</v>
      </c>
      <c r="Y49" s="331">
        <f t="shared" si="5"/>
        <v>2028</v>
      </c>
      <c r="Z49" s="331">
        <f t="shared" si="5"/>
        <v>2029</v>
      </c>
      <c r="AA49" s="331">
        <f t="shared" si="5"/>
        <v>2030</v>
      </c>
      <c r="AB49" s="331">
        <f t="shared" si="5"/>
        <v>2031</v>
      </c>
      <c r="AC49" s="331">
        <f t="shared" si="5"/>
        <v>2032</v>
      </c>
      <c r="AD49" s="331">
        <f t="shared" si="5"/>
        <v>2033</v>
      </c>
      <c r="AE49" s="331">
        <f t="shared" si="5"/>
        <v>2034</v>
      </c>
      <c r="AF49" s="331">
        <f t="shared" si="5"/>
        <v>2035</v>
      </c>
      <c r="AG49" s="331">
        <f t="shared" si="5"/>
        <v>2036</v>
      </c>
      <c r="AH49" s="331">
        <f t="shared" si="5"/>
        <v>2037</v>
      </c>
      <c r="AI49" s="331">
        <f t="shared" si="5"/>
        <v>2038</v>
      </c>
      <c r="AJ49" s="331">
        <f t="shared" si="5"/>
        <v>2039</v>
      </c>
      <c r="AK49" s="331">
        <f t="shared" si="5"/>
        <v>2040</v>
      </c>
    </row>
    <row r="50" spans="1:45">
      <c r="A50" s="57" t="s">
        <v>24</v>
      </c>
      <c r="B50" s="82">
        <f>'Baseline Consumption'!B50*parameters!$C$42</f>
        <v>2.6421518945562779E-2</v>
      </c>
      <c r="C50" s="82">
        <f>'Baseline Consumption'!C50*parameters!$C$42</f>
        <v>3.9559364250244644E-2</v>
      </c>
      <c r="D50" s="82">
        <f>'Baseline Consumption'!D50*parameters!$C$42</f>
        <v>7.5526108541249998E-2</v>
      </c>
      <c r="E50" s="82">
        <f>'Baseline Consumption'!E50*parameters!$C$42</f>
        <v>5.377775267858638E-2</v>
      </c>
      <c r="F50" s="82">
        <f>'Baseline Consumption'!F50*parameters!$C$42</f>
        <v>0.10539302679128291</v>
      </c>
      <c r="G50" s="82">
        <f>'Baseline Consumption'!G50*parameters!$C$42</f>
        <v>8.8809905446001911E-2</v>
      </c>
      <c r="H50" s="82">
        <f>'Baseline Consumption'!H50*parameters!$C$42</f>
        <v>0.1081486423352454</v>
      </c>
      <c r="I50" s="82">
        <f>'Baseline Consumption'!I50*parameters!$C$42</f>
        <v>9.8856163012107326E-2</v>
      </c>
      <c r="J50" s="82">
        <f>'Baseline Consumption'!J50*parameters!$C$42</f>
        <v>8.6499142635593912E-2</v>
      </c>
      <c r="K50" s="542">
        <f>'Baseline Consumption'!K50*parameters!$C$42</f>
        <v>1.938816497074955E-2</v>
      </c>
      <c r="L50" s="542">
        <f>'Baseline Consumption'!L50*parameters!$C$42</f>
        <v>2.0920435497437211E-2</v>
      </c>
      <c r="M50" s="541">
        <f>'Baseline Consumption'!M50*parameters!$C$42</f>
        <v>9.2914390080308332E-3</v>
      </c>
      <c r="N50" s="82">
        <f>'Baseline Consumption'!N50*parameters!$C$42</f>
        <v>9.7763135945689653E-3</v>
      </c>
      <c r="O50" s="82">
        <f>'Baseline Consumption'!O50*parameters!$C$42</f>
        <v>1.0420895020731423E-2</v>
      </c>
      <c r="P50" s="82">
        <f>'Baseline Consumption'!P50*parameters!$C$42</f>
        <v>1.093541321502535E-2</v>
      </c>
      <c r="Q50" s="82">
        <f>'Baseline Consumption'!Q50*parameters!$C$42</f>
        <v>1.2018409549463451E-2</v>
      </c>
      <c r="R50" s="82">
        <f>'Baseline Consumption'!R50*parameters!$C$42</f>
        <v>1.2315737780022611E-2</v>
      </c>
      <c r="S50" s="82">
        <f>'Baseline Consumption'!S50*parameters!$C$42</f>
        <v>1.2090122271712717E-2</v>
      </c>
      <c r="T50" s="82">
        <f>'Baseline Consumption'!T50*parameters!$C$42</f>
        <v>1.1968472386051272E-2</v>
      </c>
      <c r="U50" s="82">
        <f>'Baseline Consumption'!U50*parameters!$C$42</f>
        <v>1.1929027195129378E-2</v>
      </c>
      <c r="V50" s="82">
        <f>'Baseline Consumption'!V50*parameters!$C$42</f>
        <v>1.1826392524882472E-2</v>
      </c>
      <c r="W50" s="82">
        <f>'Baseline Consumption'!W50*parameters!$C$42</f>
        <v>1.1857900938029806E-2</v>
      </c>
      <c r="X50" s="82">
        <f>'Baseline Consumption'!X50*parameters!$C$42</f>
        <v>1.2094378118728297E-2</v>
      </c>
      <c r="Y50" s="82">
        <f>'Baseline Consumption'!Y50*parameters!$C$42</f>
        <v>1.2378252501002144E-2</v>
      </c>
      <c r="Z50" s="82">
        <f>'Baseline Consumption'!Z50*parameters!$C$42</f>
        <v>1.2622238067853687E-2</v>
      </c>
      <c r="AA50" s="82">
        <f>'Baseline Consumption'!AA50*parameters!$C$42</f>
        <v>1.2852247370591676E-2</v>
      </c>
      <c r="AB50" s="82">
        <f>'Baseline Consumption'!AB50*parameters!$C$42</f>
        <v>1.308879418851489E-2</v>
      </c>
      <c r="AC50" s="82">
        <f>'Baseline Consumption'!AC50*parameters!$C$42</f>
        <v>1.3271864200358087E-2</v>
      </c>
      <c r="AD50" s="82">
        <f>'Baseline Consumption'!AD50*parameters!$C$42</f>
        <v>1.343925829919107E-2</v>
      </c>
      <c r="AE50" s="82">
        <f>'Baseline Consumption'!AE50*parameters!$C$42</f>
        <v>1.3650307759236743E-2</v>
      </c>
      <c r="AF50" s="82">
        <f>'Baseline Consumption'!AF50*parameters!$C$42</f>
        <v>1.3835450677246364E-2</v>
      </c>
      <c r="AG50" s="82">
        <f>'Baseline Consumption'!AG50*parameters!$C$42</f>
        <v>1.403480307216249E-2</v>
      </c>
      <c r="AH50" s="82">
        <f>'Baseline Consumption'!AH50*parameters!$C$42</f>
        <v>1.4395590197614883E-2</v>
      </c>
      <c r="AI50" s="82">
        <f>'Baseline Consumption'!AI50*parameters!$C$42</f>
        <v>1.4596498889616061E-2</v>
      </c>
      <c r="AJ50" s="82">
        <f>'Baseline Consumption'!AJ50*parameters!$C$42</f>
        <v>1.4904601837789461E-2</v>
      </c>
      <c r="AK50" s="82">
        <f>'Baseline Consumption'!AK50*parameters!$C$42</f>
        <v>1.5260777946157255E-2</v>
      </c>
    </row>
    <row r="51" spans="1:45">
      <c r="A51" s="57" t="s">
        <v>68</v>
      </c>
      <c r="B51" s="332">
        <f>'Baseline Consumption'!B51*parameters!$C$46</f>
        <v>4.7868729741374711E-4</v>
      </c>
      <c r="C51" s="82">
        <f>'Baseline Consumption'!C51*parameters!$C$46</f>
        <v>4.0303930517949994E-4</v>
      </c>
      <c r="D51" s="82">
        <f>'Baseline Consumption'!D51*parameters!$C$46</f>
        <v>5.2831848802332309E-4</v>
      </c>
      <c r="E51" s="82">
        <f>'Baseline Consumption'!E51*parameters!$C$46</f>
        <v>8.4132227149374484E-4</v>
      </c>
      <c r="F51" s="82">
        <f>'Baseline Consumption'!F51*parameters!$C$46</f>
        <v>7.3366491921729394E-4</v>
      </c>
      <c r="G51" s="82">
        <f>'Baseline Consumption'!G51*parameters!$C$46</f>
        <v>2.1770709015904487E-3</v>
      </c>
      <c r="H51" s="82">
        <f>'Baseline Consumption'!H51*parameters!$C$46</f>
        <v>5.2233752400796484E-4</v>
      </c>
      <c r="I51" s="82">
        <f>'Baseline Consumption'!I51*parameters!$C$46</f>
        <v>1.9936546717861251E-3</v>
      </c>
      <c r="J51" s="82">
        <f>'Baseline Consumption'!J51*parameters!$C$46</f>
        <v>5.9809640153583752E-3</v>
      </c>
      <c r="K51" s="542">
        <f>'Baseline Consumption'!K51*parameters!$C$46</f>
        <v>9.4997645110608854E-3</v>
      </c>
      <c r="L51" s="542">
        <f>'Baseline Consumption'!L51*parameters!$C$46</f>
        <v>1.1549241513657023E-2</v>
      </c>
      <c r="M51" s="541">
        <f>'Baseline Consumption'!M51*parameters!$C$46</f>
        <v>2.4709214868837343E-3</v>
      </c>
      <c r="N51" s="82">
        <f>'Baseline Consumption'!N51*parameters!$C$46</f>
        <v>2.9960138346091791E-3</v>
      </c>
      <c r="O51" s="82">
        <f>'Baseline Consumption'!O51*parameters!$C$46</f>
        <v>1.1587851081593655E-2</v>
      </c>
      <c r="P51" s="82">
        <f>'Baseline Consumption'!P51*parameters!$C$46</f>
        <v>1.5168732968086046E-2</v>
      </c>
      <c r="Q51" s="82">
        <f>'Baseline Consumption'!Q51*parameters!$C$46</f>
        <v>1.8106398204201735E-2</v>
      </c>
      <c r="R51" s="82">
        <f>'Baseline Consumption'!R51*parameters!$C$46</f>
        <v>2.1513963813920081E-2</v>
      </c>
      <c r="S51" s="82">
        <f>'Baseline Consumption'!S51*parameters!$C$46</f>
        <v>2.7430449925557401E-2</v>
      </c>
      <c r="T51" s="82">
        <f>'Baseline Consumption'!T51*parameters!$C$46</f>
        <v>3.9380030666987573E-2</v>
      </c>
      <c r="U51" s="82">
        <f>'Baseline Consumption'!U51*parameters!$C$46</f>
        <v>5.1524455986314284E-2</v>
      </c>
      <c r="V51" s="82">
        <f>'Baseline Consumption'!V51*parameters!$C$46</f>
        <v>6.5496354042688623E-2</v>
      </c>
      <c r="W51" s="82">
        <f>'Baseline Consumption'!W51*parameters!$C$46</f>
        <v>6.8774024399687064E-2</v>
      </c>
      <c r="X51" s="82">
        <f>'Baseline Consumption'!X51*parameters!$C$46</f>
        <v>7.5957691057537455E-2</v>
      </c>
      <c r="Y51" s="82">
        <f>'Baseline Consumption'!Y51*parameters!$C$46</f>
        <v>7.9222238387401028E-2</v>
      </c>
      <c r="Z51" s="82">
        <f>'Baseline Consumption'!Z51*parameters!$C$46</f>
        <v>8.1546087506471771E-2</v>
      </c>
      <c r="AA51" s="82">
        <f>'Baseline Consumption'!AA51*parameters!$C$46</f>
        <v>8.405283622784103E-2</v>
      </c>
      <c r="AB51" s="82">
        <f>'Baseline Consumption'!AB51*parameters!$C$46</f>
        <v>8.0422287391876637E-2</v>
      </c>
      <c r="AC51" s="82">
        <f>'Baseline Consumption'!AC51*parameters!$C$46</f>
        <v>8.0363938549383104E-2</v>
      </c>
      <c r="AD51" s="82">
        <f>'Baseline Consumption'!AD51*parameters!$C$46</f>
        <v>8.4070184566765044E-2</v>
      </c>
      <c r="AE51" s="82">
        <f>'Baseline Consumption'!AE51*parameters!$C$46</f>
        <v>8.8016934020722873E-2</v>
      </c>
      <c r="AF51" s="82">
        <f>'Baseline Consumption'!AF51*parameters!$C$46</f>
        <v>9.1804136414498597E-2</v>
      </c>
      <c r="AG51" s="82">
        <f>'Baseline Consumption'!AG51*parameters!$C$46</f>
        <v>9.3602369911170366E-2</v>
      </c>
      <c r="AH51" s="82">
        <f>'Baseline Consumption'!AH51*parameters!$C$46</f>
        <v>9.5342859458950463E-2</v>
      </c>
      <c r="AI51" s="82">
        <f>'Baseline Consumption'!AI51*parameters!$C$46</f>
        <v>9.6299950426402256E-2</v>
      </c>
      <c r="AJ51" s="82">
        <f>'Baseline Consumption'!AJ51*parameters!$C$46</f>
        <v>9.5973118012372488E-2</v>
      </c>
      <c r="AK51" s="82">
        <f>'Baseline Consumption'!AK51*parameters!$C$46</f>
        <v>9.4334481009319945E-2</v>
      </c>
    </row>
    <row r="52" spans="1:45" s="425" customFormat="1">
      <c r="A52" s="70" t="s">
        <v>30</v>
      </c>
      <c r="B52" s="430">
        <f>'Baseline Consumption'!B52*parameters!$C$31</f>
        <v>23.310202814999094</v>
      </c>
      <c r="C52" s="430">
        <f>'Baseline Consumption'!C52*parameters!$C$31</f>
        <v>23.557253881054347</v>
      </c>
      <c r="D52" s="430">
        <f>'Baseline Consumption'!D52*parameters!$C$31</f>
        <v>23.534969482073482</v>
      </c>
      <c r="E52" s="430">
        <f>'Baseline Consumption'!E52*parameters!$C$31</f>
        <v>22.616556287712832</v>
      </c>
      <c r="F52" s="430">
        <f>'Baseline Consumption'!F52*parameters!$C$31</f>
        <v>22.001634044370942</v>
      </c>
      <c r="G52" s="430">
        <f>'Baseline Consumption'!G52*parameters!$C$31</f>
        <v>21.778272178604489</v>
      </c>
      <c r="H52" s="430">
        <f>'Baseline Consumption'!H52*parameters!$C$31</f>
        <v>21.095467009864723</v>
      </c>
      <c r="I52" s="430">
        <f>'Baseline Consumption'!I52*parameters!$C$31</f>
        <v>20.353294046683057</v>
      </c>
      <c r="J52" s="430">
        <f>'Baseline Consumption'!J52*parameters!$C$31</f>
        <v>20.490111735090469</v>
      </c>
      <c r="K52" s="571">
        <f>'Baseline Consumption'!K52*parameters!$C$31</f>
        <v>21.507762822056051</v>
      </c>
      <c r="L52" s="571">
        <f>'Baseline Consumption'!L52*parameters!$C$31</f>
        <v>21.78253572041503</v>
      </c>
      <c r="M52" s="431">
        <f>'Baseline Consumption'!M52*parameters!$C$31</f>
        <v>23.407234899070591</v>
      </c>
      <c r="N52" s="430">
        <f>'Baseline Consumption'!N52*parameters!$C$31</f>
        <v>23.538362700774599</v>
      </c>
      <c r="O52" s="430">
        <f>'Baseline Consumption'!O52*parameters!$C$31</f>
        <v>23.494767708056091</v>
      </c>
      <c r="P52" s="430">
        <f>'Baseline Consumption'!P52*parameters!$C$31</f>
        <v>23.448887228604132</v>
      </c>
      <c r="Q52" s="430">
        <f>'Baseline Consumption'!Q52*parameters!$C$31</f>
        <v>23.18078357727104</v>
      </c>
      <c r="R52" s="430">
        <f>'Baseline Consumption'!R52*parameters!$C$31</f>
        <v>22.719348745784043</v>
      </c>
      <c r="S52" s="430">
        <f>'Baseline Consumption'!S52*parameters!$C$31</f>
        <v>22.216455635633952</v>
      </c>
      <c r="T52" s="430">
        <f>'Baseline Consumption'!T52*parameters!$C$31</f>
        <v>21.643316124690603</v>
      </c>
      <c r="U52" s="430">
        <f>'Baseline Consumption'!U52*parameters!$C$31</f>
        <v>21.030201333388089</v>
      </c>
      <c r="V52" s="430">
        <f>'Baseline Consumption'!V52*parameters!$C$31</f>
        <v>20.415811887013874</v>
      </c>
      <c r="W52" s="430">
        <f>'Baseline Consumption'!W52*parameters!$C$31</f>
        <v>19.935855298412758</v>
      </c>
      <c r="X52" s="430">
        <f>'Baseline Consumption'!X52*parameters!$C$31</f>
        <v>19.514047541458947</v>
      </c>
      <c r="Y52" s="430">
        <f>'Baseline Consumption'!Y52*parameters!$C$31</f>
        <v>19.14541421349082</v>
      </c>
      <c r="Z52" s="430">
        <f>'Baseline Consumption'!Z52*parameters!$C$31</f>
        <v>18.811531046573442</v>
      </c>
      <c r="AA52" s="430">
        <f>'Baseline Consumption'!AA52*parameters!$C$31</f>
        <v>18.511259292266864</v>
      </c>
      <c r="AB52" s="430">
        <f>'Baseline Consumption'!AB52*parameters!$C$31</f>
        <v>18.250771862529255</v>
      </c>
      <c r="AC52" s="430">
        <f>'Baseline Consumption'!AC52*parameters!$C$31</f>
        <v>18.018161093047162</v>
      </c>
      <c r="AD52" s="430">
        <f>'Baseline Consumption'!AD52*parameters!$C$31</f>
        <v>17.802318337748101</v>
      </c>
      <c r="AE52" s="430">
        <f>'Baseline Consumption'!AE52*parameters!$C$31</f>
        <v>17.612545871037003</v>
      </c>
      <c r="AF52" s="430">
        <f>'Baseline Consumption'!AF52*parameters!$C$31</f>
        <v>17.445687745080587</v>
      </c>
      <c r="AG52" s="430">
        <f>'Baseline Consumption'!AG52*parameters!$C$31</f>
        <v>17.334832724869621</v>
      </c>
      <c r="AH52" s="430">
        <f>'Baseline Consumption'!AH52*parameters!$C$31</f>
        <v>17.23084141338547</v>
      </c>
      <c r="AI52" s="430">
        <f>'Baseline Consumption'!AI52*parameters!$C$31</f>
        <v>17.155456441379407</v>
      </c>
      <c r="AJ52" s="430">
        <f>'Baseline Consumption'!AJ52*parameters!$C$31</f>
        <v>17.10415470279213</v>
      </c>
      <c r="AK52" s="430">
        <f>'Baseline Consumption'!AK52*parameters!$C$31</f>
        <v>17.085644378695047</v>
      </c>
    </row>
    <row r="53" spans="1:45" s="425" customFormat="1">
      <c r="A53" s="70" t="s">
        <v>39</v>
      </c>
      <c r="B53" s="430">
        <f>'Baseline Consumption'!B53*parameters!$C$40</f>
        <v>7.1777069219874399</v>
      </c>
      <c r="C53" s="430">
        <f>'Baseline Consumption'!C53*parameters!$C$40</f>
        <v>7.3731528982143901</v>
      </c>
      <c r="D53" s="430">
        <f>'Baseline Consumption'!D53*parameters!$C$40</f>
        <v>7.2843323401382385</v>
      </c>
      <c r="E53" s="430">
        <f>'Baseline Consumption'!E53*parameters!$C$40</f>
        <v>7.6770183406303678</v>
      </c>
      <c r="F53" s="430">
        <f>'Baseline Consumption'!F53*parameters!$C$40</f>
        <v>6.630249960619043</v>
      </c>
      <c r="G53" s="430">
        <f>'Baseline Consumption'!G53*parameters!$C$40</f>
        <v>7.3027039536257581</v>
      </c>
      <c r="H53" s="430">
        <f>'Baseline Consumption'!H53*parameters!$C$40</f>
        <v>7.1836317446420352</v>
      </c>
      <c r="I53" s="430">
        <f>'Baseline Consumption'!I53*parameters!$C$40</f>
        <v>6.9234761319468614</v>
      </c>
      <c r="J53" s="430">
        <f>'Baseline Consumption'!J53*parameters!$C$40</f>
        <v>6.7663123965741132</v>
      </c>
      <c r="K53" s="571">
        <f>'Baseline Consumption'!K53*parameters!$C$40</f>
        <v>6.690832444717465</v>
      </c>
      <c r="L53" s="571">
        <f>'Baseline Consumption'!L53*parameters!$C$40</f>
        <v>6.8118154338522974</v>
      </c>
      <c r="M53" s="431">
        <f>'Baseline Consumption'!M53*parameters!$C$40</f>
        <v>6.5626088494228734</v>
      </c>
      <c r="N53" s="430">
        <f>'Baseline Consumption'!N53*parameters!$C$40</f>
        <v>6.6570118310330741</v>
      </c>
      <c r="O53" s="430">
        <f>'Baseline Consumption'!O53*parameters!$C$40</f>
        <v>6.8330125482946675</v>
      </c>
      <c r="P53" s="430">
        <f>'Baseline Consumption'!P53*parameters!$C$40</f>
        <v>6.988546001379552</v>
      </c>
      <c r="Q53" s="430">
        <f>'Baseline Consumption'!Q53*parameters!$C$40</f>
        <v>7.1029250663070931</v>
      </c>
      <c r="R53" s="430">
        <f>'Baseline Consumption'!R53*parameters!$C$40</f>
        <v>7.2333045879667699</v>
      </c>
      <c r="S53" s="430">
        <f>'Baseline Consumption'!S53*parameters!$C$40</f>
        <v>7.3582233783614805</v>
      </c>
      <c r="T53" s="430">
        <f>'Baseline Consumption'!T53*parameters!$C$40</f>
        <v>7.4660717345532683</v>
      </c>
      <c r="U53" s="430">
        <f>'Baseline Consumption'!U53*parameters!$C$40</f>
        <v>7.5904340827126031</v>
      </c>
      <c r="V53" s="430">
        <f>'Baseline Consumption'!V53*parameters!$C$40</f>
        <v>7.7194069379646582</v>
      </c>
      <c r="W53" s="430">
        <f>'Baseline Consumption'!W53*parameters!$C$40</f>
        <v>7.8529212539218314</v>
      </c>
      <c r="X53" s="430">
        <f>'Baseline Consumption'!X53*parameters!$C$40</f>
        <v>7.9962848658006269</v>
      </c>
      <c r="Y53" s="430">
        <f>'Baseline Consumption'!Y53*parameters!$C$40</f>
        <v>8.1592700333232049</v>
      </c>
      <c r="Z53" s="430">
        <f>'Baseline Consumption'!Z53*parameters!$C$40</f>
        <v>8.3227640055483292</v>
      </c>
      <c r="AA53" s="430">
        <f>'Baseline Consumption'!AA53*parameters!$C$40</f>
        <v>8.4809106754753429</v>
      </c>
      <c r="AB53" s="430">
        <f>'Baseline Consumption'!AB53*parameters!$C$40</f>
        <v>8.6374391368980721</v>
      </c>
      <c r="AC53" s="430">
        <f>'Baseline Consumption'!AC53*parameters!$C$40</f>
        <v>8.7992547102694356</v>
      </c>
      <c r="AD53" s="430">
        <f>'Baseline Consumption'!AD53*parameters!$C$40</f>
        <v>8.9556323314691877</v>
      </c>
      <c r="AE53" s="430">
        <f>'Baseline Consumption'!AE53*parameters!$C$40</f>
        <v>9.112786068413067</v>
      </c>
      <c r="AF53" s="430">
        <f>'Baseline Consumption'!AF53*parameters!$C$40</f>
        <v>9.2712562380002108</v>
      </c>
      <c r="AG53" s="430">
        <f>'Baseline Consumption'!AG53*parameters!$C$40</f>
        <v>9.4305106094226083</v>
      </c>
      <c r="AH53" s="430">
        <f>'Baseline Consumption'!AH53*parameters!$C$40</f>
        <v>9.5828563434684746</v>
      </c>
      <c r="AI53" s="430">
        <f>'Baseline Consumption'!AI53*parameters!$C$40</f>
        <v>9.7402951068702048</v>
      </c>
      <c r="AJ53" s="430">
        <f>'Baseline Consumption'!AJ53*parameters!$C$40</f>
        <v>9.9002829130491872</v>
      </c>
      <c r="AK53" s="430">
        <f>'Baseline Consumption'!AK53*parameters!$C$40</f>
        <v>10.062632480446871</v>
      </c>
    </row>
    <row r="54" spans="1:45" s="425" customFormat="1">
      <c r="A54" s="70" t="s">
        <v>40</v>
      </c>
      <c r="B54" s="430">
        <f>'Baseline Consumption'!B54*parameters!$C$37</f>
        <v>8.9149466431765578</v>
      </c>
      <c r="C54" s="430">
        <f>'Baseline Consumption'!C54*parameters!$C$37</f>
        <v>9.2007017245660396</v>
      </c>
      <c r="D54" s="430">
        <f>'Baseline Consumption'!D54*parameters!$C$37</f>
        <v>9.8775560244899996</v>
      </c>
      <c r="E54" s="430">
        <f>'Baseline Consumption'!E54*parameters!$C$37</f>
        <v>9.3115519509319995</v>
      </c>
      <c r="F54" s="430">
        <f>'Baseline Consumption'!F54*parameters!$C$37</f>
        <v>8.5888741569399993</v>
      </c>
      <c r="G54" s="430">
        <f>'Baseline Consumption'!G54*parameters!$C$37</f>
        <v>8.6901061347099997</v>
      </c>
      <c r="H54" s="430">
        <f>'Baseline Consumption'!H54*parameters!$C$37</f>
        <v>8.6732946115199994</v>
      </c>
      <c r="I54" s="430">
        <f>'Baseline Consumption'!I54*parameters!$C$37</f>
        <v>8.2727207640000007</v>
      </c>
      <c r="J54" s="430">
        <f>'Baseline Consumption'!J54*parameters!$C$37</f>
        <v>9.2644796860000014</v>
      </c>
      <c r="K54" s="571">
        <f>'Baseline Consumption'!K54*parameters!$C$37</f>
        <v>9.1345471725969993</v>
      </c>
      <c r="L54" s="571">
        <f>'Baseline Consumption'!L54*parameters!$C$37</f>
        <v>9.2122430179010006</v>
      </c>
      <c r="M54" s="431">
        <f>'Baseline Consumption'!M54*parameters!$C$37</f>
        <v>9.2515858448600881</v>
      </c>
      <c r="N54" s="430">
        <f>'Baseline Consumption'!N54*parameters!$C$37</f>
        <v>9.4490570643338909</v>
      </c>
      <c r="O54" s="430">
        <f>'Baseline Consumption'!O54*parameters!$C$37</f>
        <v>9.3848776161620631</v>
      </c>
      <c r="P54" s="430">
        <f>'Baseline Consumption'!P54*parameters!$C$37</f>
        <v>9.447388501609927</v>
      </c>
      <c r="Q54" s="430">
        <f>'Baseline Consumption'!Q54*parameters!$C$37</f>
        <v>9.5306892982848641</v>
      </c>
      <c r="R54" s="430">
        <f>'Baseline Consumption'!R54*parameters!$C$37</f>
        <v>9.3108413172862416</v>
      </c>
      <c r="S54" s="430">
        <f>'Baseline Consumption'!S54*parameters!$C$37</f>
        <v>9.3347492042338853</v>
      </c>
      <c r="T54" s="430">
        <f>'Baseline Consumption'!T54*parameters!$C$37</f>
        <v>9.3402565575321344</v>
      </c>
      <c r="U54" s="430">
        <f>'Baseline Consumption'!U54*parameters!$C$37</f>
        <v>9.331789406673634</v>
      </c>
      <c r="V54" s="430">
        <f>'Baseline Consumption'!V54*parameters!$C$37</f>
        <v>9.30782648198403</v>
      </c>
      <c r="W54" s="430">
        <f>'Baseline Consumption'!W54*parameters!$C$37</f>
        <v>9.2935422053128569</v>
      </c>
      <c r="X54" s="430">
        <f>'Baseline Consumption'!X54*parameters!$C$37</f>
        <v>9.2596524447218922</v>
      </c>
      <c r="Y54" s="430">
        <f>'Baseline Consumption'!Y54*parameters!$C$37</f>
        <v>9.2187503432177529</v>
      </c>
      <c r="Z54" s="430">
        <f>'Baseline Consumption'!Z54*parameters!$C$37</f>
        <v>9.1775721407659425</v>
      </c>
      <c r="AA54" s="430">
        <f>'Baseline Consumption'!AA54*parameters!$C$37</f>
        <v>9.1502867378016148</v>
      </c>
      <c r="AB54" s="430">
        <f>'Baseline Consumption'!AB54*parameters!$C$37</f>
        <v>9.1239096631131478</v>
      </c>
      <c r="AC54" s="430">
        <f>'Baseline Consumption'!AC54*parameters!$C$37</f>
        <v>9.098592439338411</v>
      </c>
      <c r="AD54" s="430">
        <f>'Baseline Consumption'!AD54*parameters!$C$37</f>
        <v>9.0788383361065623</v>
      </c>
      <c r="AE54" s="430">
        <f>'Baseline Consumption'!AE54*parameters!$C$37</f>
        <v>9.0802590063617927</v>
      </c>
      <c r="AF54" s="430">
        <f>'Baseline Consumption'!AF54*parameters!$C$37</f>
        <v>9.1003511030218025</v>
      </c>
      <c r="AG54" s="430">
        <f>'Baseline Consumption'!AG54*parameters!$C$37</f>
        <v>9.1339504527486497</v>
      </c>
      <c r="AH54" s="430">
        <f>'Baseline Consumption'!AH54*parameters!$C$37</f>
        <v>9.1650974800934542</v>
      </c>
      <c r="AI54" s="430">
        <f>'Baseline Consumption'!AI54*parameters!$C$37</f>
        <v>9.2059220333932963</v>
      </c>
      <c r="AJ54" s="430">
        <f>'Baseline Consumption'!AJ54*parameters!$C$37</f>
        <v>9.243752735340367</v>
      </c>
      <c r="AK54" s="430">
        <f>'Baseline Consumption'!AK54*parameters!$C$37</f>
        <v>9.2832153853874253</v>
      </c>
    </row>
    <row r="55" spans="1:45">
      <c r="A55" s="57" t="s">
        <v>31</v>
      </c>
      <c r="B55" s="82">
        <f>'Baseline Consumption'!B55*parameters!$C$47</f>
        <v>3.7076148084326719</v>
      </c>
      <c r="C55" s="82">
        <f>'Baseline Consumption'!C55*parameters!$C$47</f>
        <v>3.7255258636582842</v>
      </c>
      <c r="D55" s="82">
        <f>'Baseline Consumption'!D55*parameters!$C$47</f>
        <v>4.9935431023111203</v>
      </c>
      <c r="E55" s="82">
        <f>'Baseline Consumption'!E55*parameters!$C$47</f>
        <v>4.6977657595735813</v>
      </c>
      <c r="F55" s="82">
        <f>'Baseline Consumption'!F55*parameters!$C$47</f>
        <v>4.2281802433607485</v>
      </c>
      <c r="G55" s="82">
        <f>'Baseline Consumption'!G55*parameters!$C$47</f>
        <v>3.9411691712543586</v>
      </c>
      <c r="H55" s="82">
        <f>'Baseline Consumption'!H55*parameters!$C$47</f>
        <v>3.4874022780073499</v>
      </c>
      <c r="I55" s="82">
        <f>'Baseline Consumption'!I55*parameters!$C$47</f>
        <v>3.3716425504421688</v>
      </c>
      <c r="J55" s="82">
        <f>'Baseline Consumption'!J55*parameters!$C$47</f>
        <v>2.8518476572490012</v>
      </c>
      <c r="K55" s="542">
        <f>'Baseline Consumption'!K55*parameters!$C$47</f>
        <v>2.225677441589383</v>
      </c>
      <c r="L55" s="542">
        <f>'Baseline Consumption'!L55*parameters!$C$47</f>
        <v>1.8693650665607799</v>
      </c>
      <c r="M55" s="541">
        <f>'Baseline Consumption'!M55*parameters!$C$47</f>
        <v>4.4413011681958992</v>
      </c>
      <c r="N55" s="82">
        <f>'Baseline Consumption'!N55*parameters!$C$47</f>
        <v>4.4858404312083202</v>
      </c>
      <c r="O55" s="82">
        <f>'Baseline Consumption'!O55*parameters!$C$47</f>
        <v>4.4552523605704843</v>
      </c>
      <c r="P55" s="82">
        <f>'Baseline Consumption'!P55*parameters!$C$47</f>
        <v>4.3680387201727608</v>
      </c>
      <c r="Q55" s="82">
        <f>'Baseline Consumption'!Q55*parameters!$C$47</f>
        <v>3.1965694382587859</v>
      </c>
      <c r="R55" s="82">
        <f>'Baseline Consumption'!R55*parameters!$C$47</f>
        <v>4.6763516634688962</v>
      </c>
      <c r="S55" s="82">
        <f>'Baseline Consumption'!S55*parameters!$C$47</f>
        <v>4.3299569686961838</v>
      </c>
      <c r="T55" s="82">
        <f>'Baseline Consumption'!T55*parameters!$C$47</f>
        <v>4.2550047442910435</v>
      </c>
      <c r="U55" s="82">
        <f>'Baseline Consumption'!U55*parameters!$C$47</f>
        <v>4.4893753193502333</v>
      </c>
      <c r="V55" s="82">
        <f>'Baseline Consumption'!V55*parameters!$C$47</f>
        <v>4.555501029250502</v>
      </c>
      <c r="W55" s="82">
        <f>'Baseline Consumption'!W55*parameters!$C$47</f>
        <v>4.4090963188723009</v>
      </c>
      <c r="X55" s="82">
        <f>'Baseline Consumption'!X55*parameters!$C$47</f>
        <v>4.4321358388365368</v>
      </c>
      <c r="Y55" s="82">
        <f>'Baseline Consumption'!Y55*parameters!$C$47</f>
        <v>4.4357396139676561</v>
      </c>
      <c r="Z55" s="82">
        <f>'Baseline Consumption'!Z55*parameters!$C$47</f>
        <v>4.4325894171036673</v>
      </c>
      <c r="AA55" s="82">
        <f>'Baseline Consumption'!AA55*parameters!$C$47</f>
        <v>4.4259747035313026</v>
      </c>
      <c r="AB55" s="82">
        <f>'Baseline Consumption'!AB55*parameters!$C$47</f>
        <v>4.4100015603419509</v>
      </c>
      <c r="AC55" s="82">
        <f>'Baseline Consumption'!AC55*parameters!$C$47</f>
        <v>4.3884286485663271</v>
      </c>
      <c r="AD55" s="82">
        <f>'Baseline Consumption'!AD55*parameters!$C$47</f>
        <v>4.3654378985873779</v>
      </c>
      <c r="AE55" s="82">
        <f>'Baseline Consumption'!AE55*parameters!$C$47</f>
        <v>4.3382623550042423</v>
      </c>
      <c r="AF55" s="82">
        <f>'Baseline Consumption'!AF55*parameters!$C$47</f>
        <v>4.3099742231498137</v>
      </c>
      <c r="AG55" s="82">
        <f>'Baseline Consumption'!AG55*parameters!$C$47</f>
        <v>4.3024934564387696</v>
      </c>
      <c r="AH55" s="82">
        <f>'Baseline Consumption'!AH55*parameters!$C$47</f>
        <v>4.2037565331265503</v>
      </c>
      <c r="AI55" s="82">
        <f>'Baseline Consumption'!AI55*parameters!$C$47</f>
        <v>4.170590145847048</v>
      </c>
      <c r="AJ55" s="82">
        <f>'Baseline Consumption'!AJ55*parameters!$C$47</f>
        <v>4.1194864217847291</v>
      </c>
      <c r="AK55" s="82">
        <f>'Baseline Consumption'!AK55*parameters!$C$47</f>
        <v>4.0663838874052765</v>
      </c>
    </row>
    <row r="56" spans="1:45">
      <c r="A56" s="57" t="s">
        <v>69</v>
      </c>
      <c r="B56" s="82">
        <f>'Baseline Consumption'!B56*parameters!$C$40</f>
        <v>0.38741866647652634</v>
      </c>
      <c r="C56" s="82">
        <f>'Baseline Consumption'!C56*parameters!$C$40</f>
        <v>0.37970251417365786</v>
      </c>
      <c r="D56" s="82">
        <f>'Baseline Consumption'!D56*parameters!$C$40</f>
        <v>0.38649007804799934</v>
      </c>
      <c r="E56" s="82">
        <f>'Baseline Consumption'!E56*parameters!$C$40</f>
        <v>0.37879834139538848</v>
      </c>
      <c r="F56" s="82">
        <f>'Baseline Consumption'!F56*parameters!$C$40</f>
        <v>0.33743884959952342</v>
      </c>
      <c r="G56" s="82">
        <f>'Baseline Consumption'!G56*parameters!$C$40</f>
        <v>0.37451932066373117</v>
      </c>
      <c r="H56" s="82">
        <f>'Baseline Consumption'!H56*parameters!$C$40</f>
        <v>0.36001527799967825</v>
      </c>
      <c r="I56" s="82">
        <f>'Baseline Consumption'!I56*parameters!$C$40</f>
        <v>0.32814576163015735</v>
      </c>
      <c r="J56" s="82">
        <f>'Baseline Consumption'!J56*parameters!$C$40</f>
        <v>0.32814576163015735</v>
      </c>
      <c r="K56" s="542">
        <f>'Baseline Consumption'!K56*parameters!$C$40</f>
        <v>0.33490556431973861</v>
      </c>
      <c r="L56" s="542">
        <f>'Baseline Consumption'!L56*parameters!$C$40</f>
        <v>0.33721571048161486</v>
      </c>
      <c r="M56" s="541">
        <f>'Baseline Consumption'!M56*parameters!$C$40</f>
        <v>0.24977218692648434</v>
      </c>
      <c r="N56" s="82">
        <f>'Baseline Consumption'!N56*parameters!$C$40</f>
        <v>0.25117384924259029</v>
      </c>
      <c r="O56" s="82">
        <f>'Baseline Consumption'!O56*parameters!$C$40</f>
        <v>0.25192390599818032</v>
      </c>
      <c r="P56" s="82">
        <f>'Baseline Consumption'!P56*parameters!$C$40</f>
        <v>0.25279921581231474</v>
      </c>
      <c r="Q56" s="82">
        <f>'Baseline Consumption'!Q56*parameters!$C$40</f>
        <v>0.2539080552702892</v>
      </c>
      <c r="R56" s="82">
        <f>'Baseline Consumption'!R56*parameters!$C$40</f>
        <v>0.25424890130075817</v>
      </c>
      <c r="S56" s="82">
        <f>'Baseline Consumption'!S56*parameters!$C$40</f>
        <v>0.25456005744267929</v>
      </c>
      <c r="T56" s="82">
        <f>'Baseline Consumption'!T56*parameters!$C$40</f>
        <v>0.2550416150674546</v>
      </c>
      <c r="U56" s="82">
        <f>'Baseline Consumption'!U56*parameters!$C$40</f>
        <v>0.25589841303454758</v>
      </c>
      <c r="V56" s="82">
        <f>'Baseline Consumption'!V56*parameters!$C$40</f>
        <v>0.25682446803834291</v>
      </c>
      <c r="W56" s="82">
        <f>'Baseline Consumption'!W56*parameters!$C$40</f>
        <v>0.2578282709071108</v>
      </c>
      <c r="X56" s="82">
        <f>'Baseline Consumption'!X56*parameters!$C$40</f>
        <v>0.25886723952267909</v>
      </c>
      <c r="Y56" s="82">
        <f>'Baseline Consumption'!Y56*parameters!$C$40</f>
        <v>0.2599820430856859</v>
      </c>
      <c r="Z56" s="82">
        <f>'Baseline Consumption'!Z56*parameters!$C$40</f>
        <v>0.26103555931634903</v>
      </c>
      <c r="AA56" s="82">
        <f>'Baseline Consumption'!AA56*parameters!$C$40</f>
        <v>0.2621334626441375</v>
      </c>
      <c r="AB56" s="82">
        <f>'Baseline Consumption'!AB56*parameters!$C$40</f>
        <v>0.2631297252145105</v>
      </c>
      <c r="AC56" s="82">
        <f>'Baseline Consumption'!AC56*parameters!$C$40</f>
        <v>0.26403337273841532</v>
      </c>
      <c r="AD56" s="82">
        <f>'Baseline Consumption'!AD56*parameters!$C$40</f>
        <v>0.26480167388462444</v>
      </c>
      <c r="AE56" s="82">
        <f>'Baseline Consumption'!AE56*parameters!$C$40</f>
        <v>0.26558022297251049</v>
      </c>
      <c r="AF56" s="82">
        <f>'Baseline Consumption'!AF56*parameters!$C$40</f>
        <v>0.26644367106774269</v>
      </c>
      <c r="AG56" s="82">
        <f>'Baseline Consumption'!AG56*parameters!$C$40</f>
        <v>0.26741350834807809</v>
      </c>
      <c r="AH56" s="82">
        <f>'Baseline Consumption'!AH56*parameters!$C$40</f>
        <v>0.26841049538113093</v>
      </c>
      <c r="AI56" s="82">
        <f>'Baseline Consumption'!AI56*parameters!$C$40</f>
        <v>0.26956036665863836</v>
      </c>
      <c r="AJ56" s="82">
        <f>'Baseline Consumption'!AJ56*parameters!$C$40</f>
        <v>0.27085358596077586</v>
      </c>
      <c r="AK56" s="82">
        <f>'Baseline Consumption'!AK56*parameters!$C$40</f>
        <v>0.27221915229038168</v>
      </c>
    </row>
    <row r="57" spans="1:45">
      <c r="A57" s="57" t="s">
        <v>70</v>
      </c>
      <c r="B57" s="82">
        <f>'Baseline Consumption'!B57*parameters!$C$34</f>
        <v>0.45830988425608488</v>
      </c>
      <c r="C57" s="82">
        <f>'Baseline Consumption'!C57*parameters!$C$34</f>
        <v>0.44828165186762475</v>
      </c>
      <c r="D57" s="82">
        <f>'Baseline Consumption'!D57*parameters!$C$34</f>
        <v>0.44537799590481453</v>
      </c>
      <c r="E57" s="82">
        <f>'Baseline Consumption'!E57*parameters!$C$34</f>
        <v>0.44627397328202933</v>
      </c>
      <c r="F57" s="82">
        <f>'Baseline Consumption'!F57*parameters!$C$34</f>
        <v>0.37556899991113218</v>
      </c>
      <c r="G57" s="82">
        <f>'Baseline Consumption'!G57*parameters!$C$34</f>
        <v>0.42680963715632902</v>
      </c>
      <c r="H57" s="82">
        <f>'Baseline Consumption'!H57*parameters!$C$34</f>
        <v>0.39591386552823321</v>
      </c>
      <c r="I57" s="82">
        <f>'Baseline Consumption'!I57*parameters!$C$34</f>
        <v>0.47888446023548442</v>
      </c>
      <c r="J57" s="82">
        <f>'Baseline Consumption'!J57*parameters!$C$34</f>
        <v>0.55612388930572376</v>
      </c>
      <c r="K57" s="542">
        <f>'Baseline Consumption'!K57*parameters!$C$34</f>
        <v>0.40610947016550486</v>
      </c>
      <c r="L57" s="542">
        <f>'Baseline Consumption'!L57*parameters!$C$34</f>
        <v>0.55663366953758742</v>
      </c>
      <c r="M57" s="541">
        <f>'Baseline Consumption'!M57*parameters!$C$34</f>
        <v>0.50741108785445443</v>
      </c>
      <c r="N57" s="82">
        <f>'Baseline Consumption'!N57*parameters!$C$34</f>
        <v>0.46017223077739294</v>
      </c>
      <c r="O57" s="82">
        <f>'Baseline Consumption'!O57*parameters!$C$34</f>
        <v>0.48373576624510167</v>
      </c>
      <c r="P57" s="82">
        <f>'Baseline Consumption'!P57*parameters!$C$34</f>
        <v>0.4971987107675353</v>
      </c>
      <c r="Q57" s="82">
        <f>'Baseline Consumption'!Q57*parameters!$C$34</f>
        <v>0.50023909937452005</v>
      </c>
      <c r="R57" s="82">
        <f>'Baseline Consumption'!R57*parameters!$C$34</f>
        <v>0.49895026175062107</v>
      </c>
      <c r="S57" s="82">
        <f>'Baseline Consumption'!S57*parameters!$C$34</f>
        <v>0.50460447378004603</v>
      </c>
      <c r="T57" s="82">
        <f>'Baseline Consumption'!T57*parameters!$C$34</f>
        <v>0.51017235077399425</v>
      </c>
      <c r="U57" s="82">
        <f>'Baseline Consumption'!U57*parameters!$C$34</f>
        <v>0.51524729090570465</v>
      </c>
      <c r="V57" s="82">
        <f>'Baseline Consumption'!V57*parameters!$C$34</f>
        <v>0.51938255639428899</v>
      </c>
      <c r="W57" s="82">
        <f>'Baseline Consumption'!W57*parameters!$C$34</f>
        <v>0.51839211468522917</v>
      </c>
      <c r="X57" s="82">
        <f>'Baseline Consumption'!X57*parameters!$C$34</f>
        <v>0.52198065787957904</v>
      </c>
      <c r="Y57" s="82">
        <f>'Baseline Consumption'!Y57*parameters!$C$34</f>
        <v>0.52526032890780472</v>
      </c>
      <c r="Z57" s="82">
        <f>'Baseline Consumption'!Z57*parameters!$C$34</f>
        <v>0.52767111978155568</v>
      </c>
      <c r="AA57" s="82">
        <f>'Baseline Consumption'!AA57*parameters!$C$34</f>
        <v>0.52768173199898705</v>
      </c>
      <c r="AB57" s="82">
        <f>'Baseline Consumption'!AB57*parameters!$C$34</f>
        <v>0.52926952076060885</v>
      </c>
      <c r="AC57" s="82">
        <f>'Baseline Consumption'!AC57*parameters!$C$34</f>
        <v>0.53182170686811325</v>
      </c>
      <c r="AD57" s="82">
        <f>'Baseline Consumption'!AD57*parameters!$C$34</f>
        <v>0.53275122230481653</v>
      </c>
      <c r="AE57" s="82">
        <f>'Baseline Consumption'!AE57*parameters!$C$34</f>
        <v>0.53526441152574822</v>
      </c>
      <c r="AF57" s="82">
        <f>'Baseline Consumption'!AF57*parameters!$C$34</f>
        <v>0.53790680255733869</v>
      </c>
      <c r="AG57" s="82">
        <f>'Baseline Consumption'!AG57*parameters!$C$34</f>
        <v>0.54191070845245215</v>
      </c>
      <c r="AH57" s="82">
        <f>'Baseline Consumption'!AH57*parameters!$C$34</f>
        <v>0.5444544221262515</v>
      </c>
      <c r="AI57" s="82">
        <f>'Baseline Consumption'!AI57*parameters!$C$34</f>
        <v>0.54688377685472112</v>
      </c>
      <c r="AJ57" s="82">
        <f>'Baseline Consumption'!AJ57*parameters!$C$34</f>
        <v>0.54948091231073204</v>
      </c>
      <c r="AK57" s="82">
        <f>'Baseline Consumption'!AK57*parameters!$C$34</f>
        <v>0.55081369565055849</v>
      </c>
    </row>
    <row r="58" spans="1:45">
      <c r="A58" s="57" t="s">
        <v>71</v>
      </c>
      <c r="B58" s="82">
        <f>'Baseline Consumption'!B58*parameters!$C$34</f>
        <v>3.403135814636932E-3</v>
      </c>
      <c r="C58" s="82">
        <f>'Baseline Consumption'!C58*parameters!$C$34</f>
        <v>4.6583228612551214E-3</v>
      </c>
      <c r="D58" s="82">
        <f>'Baseline Consumption'!D58*parameters!$C$34</f>
        <v>1.0155288396384477E-2</v>
      </c>
      <c r="E58" s="82">
        <f>'Baseline Consumption'!E58*parameters!$C$34</f>
        <v>1.0778322363095127E-2</v>
      </c>
      <c r="F58" s="82">
        <f>'Baseline Consumption'!F58*parameters!$C$34</f>
        <v>1.3367962219422954E-2</v>
      </c>
      <c r="G58" s="82">
        <f>'Baseline Consumption'!G58*parameters!$C$34</f>
        <v>1.290853664184852E-2</v>
      </c>
      <c r="H58" s="82">
        <f>'Baseline Consumption'!H58*parameters!$C$34</f>
        <v>1.4461990033646959E-2</v>
      </c>
      <c r="I58" s="82">
        <f>'Baseline Consumption'!I58*parameters!$C$34</f>
        <v>1.3220879930199483E-2</v>
      </c>
      <c r="J58" s="82">
        <f>'Baseline Consumption'!J58*parameters!$C$34</f>
        <v>1.6526099912749351E-2</v>
      </c>
      <c r="K58" s="542">
        <f>'Baseline Consumption'!K58*parameters!$C$34</f>
        <v>1.4845395551622743E-2</v>
      </c>
      <c r="L58" s="542">
        <f>'Baseline Consumption'!L58*parameters!$C$34</f>
        <v>1.6493047712923852E-2</v>
      </c>
      <c r="M58" s="541">
        <f>'Baseline Consumption'!M58*parameters!$C$34</f>
        <v>5.6668047900613444E-2</v>
      </c>
      <c r="N58" s="82">
        <f>'Baseline Consumption'!N58*parameters!$C$34</f>
        <v>6.3623994427495084E-2</v>
      </c>
      <c r="O58" s="82">
        <f>'Baseline Consumption'!O58*parameters!$C$34</f>
        <v>7.2292674232231763E-2</v>
      </c>
      <c r="P58" s="82">
        <f>'Baseline Consumption'!P58*parameters!$C$34</f>
        <v>8.0217689375305795E-2</v>
      </c>
      <c r="Q58" s="82">
        <f>'Baseline Consumption'!Q58*parameters!$C$34</f>
        <v>8.4455647206819334E-2</v>
      </c>
      <c r="R58" s="82">
        <f>'Baseline Consumption'!R58*parameters!$C$34</f>
        <v>0.11501103749819562</v>
      </c>
      <c r="S58" s="82">
        <f>'Baseline Consumption'!S58*parameters!$C$34</f>
        <v>0.12519003415680929</v>
      </c>
      <c r="T58" s="82">
        <f>'Baseline Consumption'!T58*parameters!$C$34</f>
        <v>0.13231675385784836</v>
      </c>
      <c r="U58" s="82">
        <f>'Baseline Consumption'!U58*parameters!$C$34</f>
        <v>0.13453534414433804</v>
      </c>
      <c r="V58" s="82">
        <f>'Baseline Consumption'!V58*parameters!$C$34</f>
        <v>0.14153328763815978</v>
      </c>
      <c r="W58" s="82">
        <f>'Baseline Consumption'!W58*parameters!$C$34</f>
        <v>0.15228694132082071</v>
      </c>
      <c r="X58" s="82">
        <f>'Baseline Consumption'!X58*parameters!$C$34</f>
        <v>0.16209589737564503</v>
      </c>
      <c r="Y58" s="82">
        <f>'Baseline Consumption'!Y58*parameters!$C$34</f>
        <v>0.17257830071899269</v>
      </c>
      <c r="Z58" s="82">
        <f>'Baseline Consumption'!Z58*parameters!$C$34</f>
        <v>0.18322069077924408</v>
      </c>
      <c r="AA58" s="82">
        <f>'Baseline Consumption'!AA58*parameters!$C$34</f>
        <v>0.19411482728104218</v>
      </c>
      <c r="AB58" s="82">
        <f>'Baseline Consumption'!AB58*parameters!$C$34</f>
        <v>0.205715055617642</v>
      </c>
      <c r="AC58" s="82">
        <f>'Baseline Consumption'!AC58*parameters!$C$34</f>
        <v>0.21707055256015198</v>
      </c>
      <c r="AD58" s="82">
        <f>'Baseline Consumption'!AD58*parameters!$C$34</f>
        <v>0.22880108660113582</v>
      </c>
      <c r="AE58" s="82">
        <f>'Baseline Consumption'!AE58*parameters!$C$34</f>
        <v>0.24150533556902307</v>
      </c>
      <c r="AF58" s="82">
        <f>'Baseline Consumption'!AF58*parameters!$C$34</f>
        <v>0.25360127778129116</v>
      </c>
      <c r="AG58" s="82">
        <f>'Baseline Consumption'!AG58*parameters!$C$34</f>
        <v>0.26531151803772601</v>
      </c>
      <c r="AH58" s="82">
        <f>'Baseline Consumption'!AH58*parameters!$C$34</f>
        <v>0.28193421019662135</v>
      </c>
      <c r="AI58" s="82">
        <f>'Baseline Consumption'!AI58*parameters!$C$34</f>
        <v>0.29527267603595225</v>
      </c>
      <c r="AJ58" s="82">
        <f>'Baseline Consumption'!AJ58*parameters!$C$34</f>
        <v>0.30967119063516063</v>
      </c>
      <c r="AK58" s="82">
        <f>'Baseline Consumption'!AK58*parameters!$C$34</f>
        <v>0.32565260145319025</v>
      </c>
    </row>
    <row r="59" spans="1:45">
      <c r="A59" s="57" t="s">
        <v>72</v>
      </c>
      <c r="B59" s="82">
        <f>'Baseline Consumption'!B59*parameters!$C$50</f>
        <v>0</v>
      </c>
      <c r="C59" s="82">
        <f>'Baseline Consumption'!C59*parameters!$C$50</f>
        <v>0</v>
      </c>
      <c r="D59" s="82">
        <f>'Baseline Consumption'!D59*parameters!$C$50</f>
        <v>0</v>
      </c>
      <c r="E59" s="82">
        <f>'Baseline Consumption'!E59*parameters!$C$50</f>
        <v>0</v>
      </c>
      <c r="F59" s="82">
        <f>'Baseline Consumption'!F59*parameters!$C$50</f>
        <v>0</v>
      </c>
      <c r="G59" s="82">
        <f>'Baseline Consumption'!G59*parameters!$C$50</f>
        <v>0</v>
      </c>
      <c r="H59" s="82">
        <f>'Baseline Consumption'!H59*parameters!$C$50</f>
        <v>0</v>
      </c>
      <c r="I59" s="82">
        <f>'Baseline Consumption'!I59*parameters!$C$50</f>
        <v>0</v>
      </c>
      <c r="J59" s="82">
        <f>'Baseline Consumption'!J59*parameters!$C$50</f>
        <v>0</v>
      </c>
      <c r="K59" s="542">
        <f>'Baseline Consumption'!K59*parameters!$C$50</f>
        <v>0</v>
      </c>
      <c r="L59" s="542">
        <f>'Baseline Consumption'!L59*parameters!$C$50</f>
        <v>0</v>
      </c>
      <c r="M59" s="541">
        <f>'Baseline Consumption'!M59*parameters!$C$50</f>
        <v>0</v>
      </c>
      <c r="N59" s="82">
        <f>'Baseline Consumption'!N59*parameters!$C$50</f>
        <v>0</v>
      </c>
      <c r="O59" s="82">
        <f>'Baseline Consumption'!O59*parameters!$C$50</f>
        <v>0</v>
      </c>
      <c r="P59" s="82">
        <f>'Baseline Consumption'!P59*parameters!$C$50</f>
        <v>0</v>
      </c>
      <c r="Q59" s="82">
        <f>'Baseline Consumption'!Q59*parameters!$C$50</f>
        <v>0</v>
      </c>
      <c r="R59" s="82">
        <f>'Baseline Consumption'!R59*parameters!$C$50</f>
        <v>0</v>
      </c>
      <c r="S59" s="82">
        <f>'Baseline Consumption'!S59*parameters!$C$50</f>
        <v>0</v>
      </c>
      <c r="T59" s="82">
        <f>'Baseline Consumption'!T59*parameters!$C$50</f>
        <v>0</v>
      </c>
      <c r="U59" s="82">
        <f>'Baseline Consumption'!U59*parameters!$C$50</f>
        <v>0</v>
      </c>
      <c r="V59" s="82">
        <f>'Baseline Consumption'!V59*parameters!$C$50</f>
        <v>0</v>
      </c>
      <c r="W59" s="82">
        <f>'Baseline Consumption'!W59*parameters!$C$50</f>
        <v>0</v>
      </c>
      <c r="X59" s="82">
        <f>'Baseline Consumption'!X59*parameters!$C$50</f>
        <v>0</v>
      </c>
      <c r="Y59" s="82">
        <f>'Baseline Consumption'!Y59*parameters!$C$50</f>
        <v>0</v>
      </c>
      <c r="Z59" s="82">
        <f>'Baseline Consumption'!Z59*parameters!$C$50</f>
        <v>0</v>
      </c>
      <c r="AA59" s="82">
        <f>'Baseline Consumption'!AA59*parameters!$C$50</f>
        <v>0</v>
      </c>
      <c r="AB59" s="82">
        <f>'Baseline Consumption'!AB59*parameters!$C$50</f>
        <v>0</v>
      </c>
      <c r="AC59" s="82">
        <f>'Baseline Consumption'!AC59*parameters!$C$50</f>
        <v>0</v>
      </c>
      <c r="AD59" s="82">
        <f>'Baseline Consumption'!AD59*parameters!$C$50</f>
        <v>0</v>
      </c>
      <c r="AE59" s="82">
        <f>'Baseline Consumption'!AE59*parameters!$C$50</f>
        <v>0</v>
      </c>
      <c r="AF59" s="82">
        <f>'Baseline Consumption'!AF59*parameters!$C$50</f>
        <v>0</v>
      </c>
      <c r="AG59" s="82">
        <f>'Baseline Consumption'!AG59*parameters!$C$50</f>
        <v>0</v>
      </c>
      <c r="AH59" s="82">
        <f>'Baseline Consumption'!AH59*parameters!$C$50</f>
        <v>0</v>
      </c>
      <c r="AI59" s="82">
        <f>'Baseline Consumption'!AI59*parameters!$C$50</f>
        <v>0</v>
      </c>
      <c r="AJ59" s="82">
        <f>'Baseline Consumption'!AJ59*parameters!$C$50</f>
        <v>0</v>
      </c>
      <c r="AK59" s="82">
        <f>'Baseline Consumption'!AK59*parameters!$C$50</f>
        <v>0</v>
      </c>
    </row>
    <row r="60" spans="1:45">
      <c r="A60" s="57" t="s">
        <v>27</v>
      </c>
      <c r="B60" s="82">
        <f>B91*'Baseline Consumption'!B97</f>
        <v>3.5827470182180321E-4</v>
      </c>
      <c r="C60" s="82">
        <f>C91*'Baseline Consumption'!C97</f>
        <v>2.2364432048748307E-4</v>
      </c>
      <c r="D60" s="82">
        <f>D91*'Baseline Consumption'!D97</f>
        <v>3.2004256799863856E-4</v>
      </c>
      <c r="E60" s="82">
        <f>E91*'Baseline Consumption'!E97</f>
        <v>3.2952811262517383E-4</v>
      </c>
      <c r="F60" s="82">
        <f>F91*'Baseline Consumption'!F97</f>
        <v>5.8087187931707754E-4</v>
      </c>
      <c r="G60" s="82">
        <f>G91*'Baseline Consumption'!G97</f>
        <v>1.6562144017913511E-3</v>
      </c>
      <c r="H60" s="82">
        <f>H91*'Baseline Consumption'!H97</f>
        <v>1.2316785947947995E-3</v>
      </c>
      <c r="I60" s="82">
        <f>I91*'Baseline Consumption'!I97</f>
        <v>1.1772649264384736E-3</v>
      </c>
      <c r="J60" s="82">
        <f>J91*'Baseline Consumption'!J97</f>
        <v>1.73006963283793E-2</v>
      </c>
      <c r="K60" s="542">
        <f>K91*'Baseline Consumption'!K97</f>
        <v>3.3619994736007186E-2</v>
      </c>
      <c r="L60" s="542">
        <f>L91*'Baseline Consumption'!L97</f>
        <v>7.4158020216960165E-3</v>
      </c>
      <c r="M60" s="541">
        <f>M91*'Baseline Consumption'!M97</f>
        <v>7.9080696052820278E-3</v>
      </c>
      <c r="N60" s="82">
        <f>N91*'Baseline Consumption'!N97</f>
        <v>3.2086657728111916E-2</v>
      </c>
      <c r="O60" s="82">
        <f>O91*'Baseline Consumption'!O97</f>
        <v>4.3129434668649484E-2</v>
      </c>
      <c r="P60" s="82">
        <f>P91*'Baseline Consumption'!P97</f>
        <v>5.5337080927363398E-2</v>
      </c>
      <c r="Q60" s="82">
        <f>Q91*'Baseline Consumption'!Q97</f>
        <v>6.7728096767891807E-2</v>
      </c>
      <c r="R60" s="82">
        <f>R91*'Baseline Consumption'!R97</f>
        <v>7.4879429300532666E-2</v>
      </c>
      <c r="S60" s="82">
        <f>S91*'Baseline Consumption'!S97</f>
        <v>8.9502692197219499E-2</v>
      </c>
      <c r="T60" s="82">
        <f>T91*'Baseline Consumption'!T97</f>
        <v>9.8225550645050591E-2</v>
      </c>
      <c r="U60" s="82">
        <f>U91*'Baseline Consumption'!U97</f>
        <v>0.11312127561901716</v>
      </c>
      <c r="V60" s="82">
        <f>V91*'Baseline Consumption'!V97</f>
        <v>0.1285983551827217</v>
      </c>
      <c r="W60" s="82">
        <f>W91*'Baseline Consumption'!W97</f>
        <v>0.1268542321160144</v>
      </c>
      <c r="X60" s="82">
        <f>X91*'Baseline Consumption'!X97</f>
        <v>0.14077778782842668</v>
      </c>
      <c r="Y60" s="82">
        <f>Y91*'Baseline Consumption'!Y97</f>
        <v>0.15437228043331819</v>
      </c>
      <c r="Z60" s="82">
        <f>Z91*'Baseline Consumption'!Z97</f>
        <v>0.16771193834496645</v>
      </c>
      <c r="AA60" s="82">
        <f>AA91*'Baseline Consumption'!AA97</f>
        <v>0.18080167014507484</v>
      </c>
      <c r="AB60" s="82">
        <f>AB91*'Baseline Consumption'!AB97</f>
        <v>0.19109959163020501</v>
      </c>
      <c r="AC60" s="82">
        <f>AC91*'Baseline Consumption'!AC97</f>
        <v>0.20134969980384357</v>
      </c>
      <c r="AD60" s="82">
        <f>AD91*'Baseline Consumption'!AD97</f>
        <v>0.21023229752858902</v>
      </c>
      <c r="AE60" s="82">
        <f>AE91*'Baseline Consumption'!AE97</f>
        <v>0.2190474487430481</v>
      </c>
      <c r="AF60" s="82">
        <f>AF91*'Baseline Consumption'!AF97</f>
        <v>0.2254576966488672</v>
      </c>
      <c r="AG60" s="82">
        <f>AG91*'Baseline Consumption'!AG97</f>
        <v>0.23546250717484507</v>
      </c>
      <c r="AH60" s="82">
        <f>AH91*'Baseline Consumption'!AH97</f>
        <v>0.24419542705437514</v>
      </c>
      <c r="AI60" s="82">
        <f>AI91*'Baseline Consumption'!AI97</f>
        <v>0.25295243723559857</v>
      </c>
      <c r="AJ60" s="82">
        <f>AJ91*'Baseline Consumption'!AJ97</f>
        <v>0.26173231696548072</v>
      </c>
      <c r="AK60" s="82">
        <f>AK91*'Baseline Consumption'!AK97</f>
        <v>0.27053225076061899</v>
      </c>
      <c r="AP60" s="6" t="s">
        <v>1086</v>
      </c>
    </row>
    <row r="61" spans="1:45" s="8" customFormat="1">
      <c r="A61" s="60" t="s">
        <v>28</v>
      </c>
      <c r="B61" s="87">
        <f>SUM(B50:B60)</f>
        <v>43.986861356087815</v>
      </c>
      <c r="C61" s="87">
        <f>SUM(C50:C60)</f>
        <v>44.729462904271507</v>
      </c>
      <c r="D61" s="87">
        <f t="shared" ref="D61:AF61" si="6">SUM(D50:D60)</f>
        <v>46.608798780959312</v>
      </c>
      <c r="E61" s="87">
        <f t="shared" si="6"/>
        <v>45.193691578951999</v>
      </c>
      <c r="F61" s="87">
        <f t="shared" si="6"/>
        <v>42.282021780610627</v>
      </c>
      <c r="G61" s="87">
        <f t="shared" si="6"/>
        <v>42.619132123405898</v>
      </c>
      <c r="H61" s="87">
        <f t="shared" si="6"/>
        <v>41.320089436049713</v>
      </c>
      <c r="I61" s="87">
        <f t="shared" si="6"/>
        <v>39.843411677478265</v>
      </c>
      <c r="J61" s="87">
        <f t="shared" si="6"/>
        <v>40.383328028741552</v>
      </c>
      <c r="K61" s="445">
        <f t="shared" si="6"/>
        <v>40.377188235214589</v>
      </c>
      <c r="L61" s="445">
        <f>SUM(L50:L60)</f>
        <v>40.626187145494029</v>
      </c>
      <c r="M61" s="372">
        <f t="shared" si="6"/>
        <v>44.496252514331204</v>
      </c>
      <c r="N61" s="87">
        <f t="shared" si="6"/>
        <v>44.95010108695466</v>
      </c>
      <c r="O61" s="87">
        <f t="shared" si="6"/>
        <v>45.041000760329801</v>
      </c>
      <c r="P61" s="87">
        <f t="shared" si="6"/>
        <v>45.164517294832009</v>
      </c>
      <c r="Q61" s="87">
        <f t="shared" si="6"/>
        <v>43.947423086494965</v>
      </c>
      <c r="R61" s="87">
        <f t="shared" si="6"/>
        <v>44.916765645949987</v>
      </c>
      <c r="S61" s="87">
        <f t="shared" si="6"/>
        <v>44.252763016699525</v>
      </c>
      <c r="T61" s="87">
        <f t="shared" si="6"/>
        <v>43.751753934464432</v>
      </c>
      <c r="U61" s="87">
        <f t="shared" si="6"/>
        <v>43.524055949009615</v>
      </c>
      <c r="V61" s="87">
        <f t="shared" si="6"/>
        <v>43.122207750034157</v>
      </c>
      <c r="W61" s="87">
        <f t="shared" si="6"/>
        <v>42.627408560886643</v>
      </c>
      <c r="X61" s="87">
        <f t="shared" si="6"/>
        <v>42.3738943426006</v>
      </c>
      <c r="Y61" s="87">
        <f t="shared" si="6"/>
        <v>42.162967648033643</v>
      </c>
      <c r="Z61" s="87">
        <f t="shared" si="6"/>
        <v>41.97826424378782</v>
      </c>
      <c r="AA61" s="87">
        <f t="shared" si="6"/>
        <v>41.830068184742792</v>
      </c>
      <c r="AB61" s="87">
        <f t="shared" si="6"/>
        <v>41.704847197685787</v>
      </c>
      <c r="AC61" s="87">
        <f t="shared" si="6"/>
        <v>41.6123480259416</v>
      </c>
      <c r="AD61" s="87">
        <f t="shared" si="6"/>
        <v>41.536322627096361</v>
      </c>
      <c r="AE61" s="87">
        <f t="shared" si="6"/>
        <v>41.506917961406387</v>
      </c>
      <c r="AF61" s="87">
        <f t="shared" si="6"/>
        <v>41.516318344399394</v>
      </c>
      <c r="AG61" s="87">
        <f>SUM(AG50:AG60)</f>
        <v>41.619522658476079</v>
      </c>
      <c r="AH61" s="87">
        <f>SUM(AH50:AH60)</f>
        <v>41.631284774488897</v>
      </c>
      <c r="AI61" s="87">
        <f>SUM(AI50:AI60)</f>
        <v>41.747829433590887</v>
      </c>
      <c r="AJ61" s="87">
        <f>SUM(AJ50:AJ60)</f>
        <v>41.87029249868872</v>
      </c>
      <c r="AK61" s="87">
        <f>SUM(AK50:AK60)</f>
        <v>42.026689091044851</v>
      </c>
      <c r="AL61" s="8" t="s">
        <v>1337</v>
      </c>
      <c r="AP61" s="330" t="s">
        <v>1082</v>
      </c>
      <c r="AQ61" s="336"/>
      <c r="AR61" s="329" t="s">
        <v>1085</v>
      </c>
      <c r="AS61" s="337"/>
    </row>
    <row r="62" spans="1:45" ht="13.5" thickBot="1">
      <c r="A62" s="550"/>
      <c r="B62" s="76"/>
      <c r="C62" s="76"/>
      <c r="D62" s="76"/>
      <c r="E62" s="76"/>
      <c r="F62" s="76"/>
      <c r="G62" s="76"/>
      <c r="H62" s="76"/>
      <c r="I62" s="76"/>
      <c r="J62" s="76"/>
      <c r="K62" s="278"/>
      <c r="L62" s="181"/>
      <c r="M62" s="3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476" t="s">
        <v>1176</v>
      </c>
      <c r="AM62" s="477"/>
      <c r="AN62" s="478" t="s">
        <v>1173</v>
      </c>
      <c r="AO62" s="477"/>
      <c r="AP62" s="326" t="s">
        <v>1084</v>
      </c>
      <c r="AQ62" s="335"/>
      <c r="AR62" s="335" t="s">
        <v>1084</v>
      </c>
      <c r="AS62" s="324"/>
    </row>
    <row r="63" spans="1:45" ht="13.5" thickTop="1">
      <c r="A63" s="57" t="s">
        <v>521</v>
      </c>
      <c r="B63" s="86">
        <f>B14+B26+B47+B61</f>
        <v>82.73612947437465</v>
      </c>
      <c r="C63" s="86">
        <f t="shared" ref="C63:AK63" si="7">C14+C26+C47+C61</f>
        <v>82.327272524378401</v>
      </c>
      <c r="D63" s="86">
        <f t="shared" si="7"/>
        <v>84.116808356664478</v>
      </c>
      <c r="E63" s="86">
        <f t="shared" si="7"/>
        <v>82.876724056533362</v>
      </c>
      <c r="F63" s="86">
        <f t="shared" si="7"/>
        <v>81.01574438160111</v>
      </c>
      <c r="G63" s="86">
        <f t="shared" si="7"/>
        <v>83.225488148816268</v>
      </c>
      <c r="H63" s="86">
        <f t="shared" si="7"/>
        <v>77.138829752124025</v>
      </c>
      <c r="I63" s="86">
        <f t="shared" si="7"/>
        <v>74.146476973471323</v>
      </c>
      <c r="J63" s="86">
        <f t="shared" si="7"/>
        <v>78.621958546988481</v>
      </c>
      <c r="K63" s="86">
        <f t="shared" si="7"/>
        <v>77.858170035583598</v>
      </c>
      <c r="L63" s="755">
        <f>L14+L26+L47+L61</f>
        <v>79.070679331139445</v>
      </c>
      <c r="M63" s="437">
        <f t="shared" si="7"/>
        <v>82.10142459021553</v>
      </c>
      <c r="N63" s="86">
        <f t="shared" si="7"/>
        <v>80.866636140077134</v>
      </c>
      <c r="O63" s="86">
        <f t="shared" si="7"/>
        <v>81.621149486140069</v>
      </c>
      <c r="P63" s="86">
        <f t="shared" si="7"/>
        <v>81.281891537751278</v>
      </c>
      <c r="Q63" s="86">
        <f>Q14+Q26+Q47+Q61</f>
        <v>79.507027122959371</v>
      </c>
      <c r="R63" s="86">
        <f t="shared" si="7"/>
        <v>78.937282554470841</v>
      </c>
      <c r="S63" s="86">
        <f t="shared" si="7"/>
        <v>78.208454788119823</v>
      </c>
      <c r="T63" s="86">
        <f t="shared" si="7"/>
        <v>76.886382495110979</v>
      </c>
      <c r="U63" s="86">
        <f t="shared" si="7"/>
        <v>76.572416146783468</v>
      </c>
      <c r="V63" s="86">
        <f t="shared" si="7"/>
        <v>76.094845851865415</v>
      </c>
      <c r="W63" s="86">
        <f t="shared" si="7"/>
        <v>74.152373453869473</v>
      </c>
      <c r="X63" s="86">
        <f t="shared" si="7"/>
        <v>73.955059800433787</v>
      </c>
      <c r="Y63" s="86">
        <f t="shared" si="7"/>
        <v>73.822096788982094</v>
      </c>
      <c r="Z63" s="86">
        <f t="shared" si="7"/>
        <v>73.764077928274645</v>
      </c>
      <c r="AA63" s="86">
        <f t="shared" si="7"/>
        <v>73.830168882750996</v>
      </c>
      <c r="AB63" s="86">
        <f t="shared" si="7"/>
        <v>73.974382865246326</v>
      </c>
      <c r="AC63" s="86">
        <f t="shared" si="7"/>
        <v>74.132405597653459</v>
      </c>
      <c r="AD63" s="86">
        <f t="shared" si="7"/>
        <v>74.328415321433667</v>
      </c>
      <c r="AE63" s="86">
        <f t="shared" si="7"/>
        <v>74.591600743189034</v>
      </c>
      <c r="AF63" s="86">
        <f t="shared" si="7"/>
        <v>74.925086570210667</v>
      </c>
      <c r="AG63" s="86">
        <f t="shared" si="7"/>
        <v>75.289550374935857</v>
      </c>
      <c r="AH63" s="86">
        <f t="shared" si="7"/>
        <v>75.593497490026209</v>
      </c>
      <c r="AI63" s="86">
        <f t="shared" si="7"/>
        <v>76.029463832670416</v>
      </c>
      <c r="AJ63" s="86">
        <f t="shared" si="7"/>
        <v>76.448468458436849</v>
      </c>
      <c r="AK63" s="86">
        <f t="shared" si="7"/>
        <v>76.917361919751755</v>
      </c>
      <c r="AL63" s="474" t="s">
        <v>1174</v>
      </c>
      <c r="AM63" s="327"/>
      <c r="AN63" s="328">
        <f>AVERAGE(B63:K63)</f>
        <v>80.406360225053575</v>
      </c>
      <c r="AO63" s="14" t="s">
        <v>1079</v>
      </c>
      <c r="AP63" s="338">
        <f>H63*(1+AP66)^29</f>
        <v>84.358756855323293</v>
      </c>
      <c r="AQ63" s="14"/>
      <c r="AR63" s="339">
        <f>I63*(1+AP66)^28</f>
        <v>80.836545303035564</v>
      </c>
      <c r="AS63" s="327"/>
    </row>
    <row r="64" spans="1:45" ht="13.5" thickBot="1">
      <c r="A64" s="322" t="s">
        <v>1204</v>
      </c>
      <c r="B64" s="482">
        <v>82.474040371408037</v>
      </c>
      <c r="C64" s="323">
        <v>83.455781614127631</v>
      </c>
      <c r="D64" s="323">
        <v>87.368500967376718</v>
      </c>
      <c r="E64" s="323">
        <v>83.74266077883388</v>
      </c>
      <c r="F64" s="323">
        <v>83.232902487894194</v>
      </c>
      <c r="G64" s="323">
        <f>62.5+G91</f>
        <v>84.041028629654662</v>
      </c>
      <c r="H64" s="323">
        <f>62.9+H91</f>
        <v>79.198033893522407</v>
      </c>
      <c r="I64" s="323">
        <f>64.4+I91</f>
        <v>79.991573927345883</v>
      </c>
      <c r="J64" s="483">
        <f>63.2+J91</f>
        <v>82.357651142036957</v>
      </c>
      <c r="K64" s="483">
        <f>61.6+K91</f>
        <v>80.512571368889638</v>
      </c>
      <c r="L64" s="756">
        <f>64.9+L91</f>
        <v>85.292302686541419</v>
      </c>
      <c r="M64" s="757" t="s">
        <v>1080</v>
      </c>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475" t="s">
        <v>1175</v>
      </c>
      <c r="AM64" s="324"/>
      <c r="AN64" s="325">
        <f>AVERAGE(B64:K64)</f>
        <v>82.637474518109002</v>
      </c>
      <c r="AO64" s="335" t="s">
        <v>1079</v>
      </c>
      <c r="AP64" s="340"/>
      <c r="AQ64" s="335"/>
      <c r="AR64" s="335"/>
      <c r="AS64" s="324"/>
    </row>
    <row r="65" spans="1:42" ht="13.5" thickTop="1">
      <c r="A65" s="57" t="s">
        <v>376</v>
      </c>
      <c r="B65" s="86"/>
      <c r="C65" s="86"/>
      <c r="D65" s="86"/>
      <c r="E65" s="86"/>
      <c r="F65" s="86"/>
      <c r="G65" s="86"/>
      <c r="H65" s="86"/>
      <c r="I65" s="86"/>
      <c r="J65" s="469"/>
      <c r="K65" s="278"/>
      <c r="L65" s="278"/>
      <c r="M65" s="376"/>
      <c r="N65" s="76"/>
      <c r="O65" s="76"/>
      <c r="P65" s="76"/>
      <c r="Q65" s="76"/>
      <c r="R65" s="76"/>
      <c r="S65" s="76"/>
      <c r="T65" s="76"/>
      <c r="U65" s="76"/>
      <c r="V65" s="76"/>
      <c r="W65" s="76"/>
      <c r="X65" s="76"/>
      <c r="Y65" s="76"/>
      <c r="Z65" s="76"/>
      <c r="AA65" s="76"/>
      <c r="AB65" s="76"/>
      <c r="AC65" s="76"/>
      <c r="AD65" s="76"/>
      <c r="AE65" s="76"/>
      <c r="AF65" s="76"/>
      <c r="AG65" s="76"/>
      <c r="AH65" s="76"/>
      <c r="AI65" s="76"/>
      <c r="AJ65" s="76"/>
      <c r="AK65" s="82"/>
      <c r="AP65" s="128" t="s">
        <v>1083</v>
      </c>
    </row>
    <row r="66" spans="1:42">
      <c r="A66" s="77" t="s">
        <v>492</v>
      </c>
      <c r="B66" s="68">
        <f>IF(parameters!$C$27="B",'consumption scenario B'!B74,IF(parameters!$C$27="C",'consumption scenario C'!B74,'consumption scenario A'!B75))</f>
        <v>0.5</v>
      </c>
      <c r="C66" s="68">
        <f>IF(parameters!$C$27="B",'consumption scenario B'!C74,IF(parameters!$C$27="C",'consumption scenario C'!C74,'consumption scenario A'!C75))</f>
        <v>0.5</v>
      </c>
      <c r="D66" s="68">
        <f>IF(parameters!$C$27="B",'consumption scenario B'!D74,IF(parameters!$C$27="C",'consumption scenario C'!D74,'consumption scenario A'!D75))</f>
        <v>0.5</v>
      </c>
      <c r="E66" s="68">
        <f>IF(parameters!$C$27="B",'consumption scenario B'!E74,IF(parameters!$C$27="C",'consumption scenario C'!E74,'consumption scenario A'!E75))</f>
        <v>0.3</v>
      </c>
      <c r="F66" s="68">
        <f>IF(parameters!$C$27="B",'consumption scenario B'!F74,IF(parameters!$C$27="C",'consumption scenario C'!F74,'consumption scenario A'!F75))</f>
        <v>0.3</v>
      </c>
      <c r="G66" s="68">
        <f>IF(parameters!$C$27="B",'consumption scenario B'!G74,IF(parameters!$C$27="C",'consumption scenario C'!G74,'consumption scenario A'!G75))</f>
        <v>0.3</v>
      </c>
      <c r="H66" s="68">
        <f>IF(parameters!$C$27="B",'consumption scenario B'!H74,IF(parameters!$C$27="C",'consumption scenario C'!H74,'consumption scenario A'!H75))</f>
        <v>0.3</v>
      </c>
      <c r="I66" s="68">
        <f>IF(parameters!$C$27="B",'consumption scenario B'!I74,IF(parameters!$C$27="C",'consumption scenario C'!I74,'consumption scenario A'!I75))</f>
        <v>0.34</v>
      </c>
      <c r="J66" s="68">
        <f>IF(parameters!$C$27="B",'consumption scenario B'!J74,IF(parameters!$C$27="C",'consumption scenario C'!J74,'consumption scenario A'!J75))</f>
        <v>0.34371834859623779</v>
      </c>
      <c r="K66" s="181">
        <f>IF(parameters!$C$27="B",'consumption scenario B'!K74,IF(parameters!$C$27="C",'consumption scenario C'!K74,'consumption scenario A'!K75))</f>
        <v>0.3478287726829033</v>
      </c>
      <c r="L66" s="181">
        <f>IF(parameters!$C$27="B",'consumption scenario B'!L74,IF(parameters!$C$27="C",'consumption scenario C'!L74,'consumption scenario A'!L75))</f>
        <v>0.3527122461311783</v>
      </c>
      <c r="M66" s="438">
        <f>IF(parameters!$C$27="B",'consumption scenario B'!M74,IF(parameters!$C$27="C",'consumption scenario C'!M74,'consumption scenario A'!M75))</f>
        <v>0.35736804778010989</v>
      </c>
      <c r="N66" s="68">
        <f>IF(parameters!$C$27="B",'consumption scenario B'!N74,IF(parameters!$C$27="C",'consumption scenario C'!N74,'consumption scenario A'!N75))</f>
        <v>0.36194235879169528</v>
      </c>
      <c r="O66" s="68">
        <f>IF(parameters!$C$27="B",'consumption scenario B'!O74,IF(parameters!$C$27="C",'consumption scenario C'!O74,'consumption scenario A'!O75))</f>
        <v>0.36624947286131643</v>
      </c>
      <c r="P66" s="68">
        <f>IF(parameters!$C$27="B",'consumption scenario B'!P74,IF(parameters!$C$27="C",'consumption scenario C'!P74,'consumption scenario A'!P75))</f>
        <v>0.37038809190464933</v>
      </c>
      <c r="Q66" s="68">
        <f>IF(parameters!$C$27="B",'consumption scenario B'!Q74,IF(parameters!$C$27="C",'consumption scenario C'!Q74,'consumption scenario A'!Q75))</f>
        <v>0.37438828329721957</v>
      </c>
      <c r="R66" s="68">
        <f>IF(parameters!$C$27="B",'consumption scenario B'!R74,IF(parameters!$C$27="C",'consumption scenario C'!R74,'consumption scenario A'!R75))</f>
        <v>0.37828192144351058</v>
      </c>
      <c r="S66" s="68">
        <f>IF(parameters!$C$27="B",'consumption scenario B'!S74,IF(parameters!$C$27="C",'consumption scenario C'!S74,'consumption scenario A'!S75))</f>
        <v>0.38221605342652304</v>
      </c>
      <c r="T66" s="68">
        <f>IF(parameters!$C$27="B",'consumption scenario B'!T74,IF(parameters!$C$27="C",'consumption scenario C'!T74,'consumption scenario A'!T75))</f>
        <v>0.38615287877681626</v>
      </c>
      <c r="U66" s="68">
        <f>IF(parameters!$C$27="B",'consumption scenario B'!U74,IF(parameters!$C$27="C",'consumption scenario C'!U74,'consumption scenario A'!U75))</f>
        <v>0.39009163814033976</v>
      </c>
      <c r="V66" s="68">
        <f>IF(parameters!$C$27="B",'consumption scenario B'!V74,IF(parameters!$C$27="C",'consumption scenario C'!V74,'consumption scenario A'!V75))</f>
        <v>0.3939925545217432</v>
      </c>
      <c r="W66" s="68">
        <f>IF(parameters!$C$27="B",'consumption scenario B'!W74,IF(parameters!$C$27="C",'consumption scenario C'!W74,'consumption scenario A'!W75))</f>
        <v>0.39785368155605638</v>
      </c>
      <c r="X66" s="68">
        <f>IF(parameters!$C$27="B",'consumption scenario B'!X74,IF(parameters!$C$27="C",'consumption scenario C'!X74,'consumption scenario A'!X75))</f>
        <v>0.40171286226715003</v>
      </c>
      <c r="Y66" s="68">
        <f>IF(parameters!$C$27="B",'consumption scenario B'!Y74,IF(parameters!$C$27="C",'consumption scenario C'!Y74,'consumption scenario A'!Y75))</f>
        <v>0.40552913445868799</v>
      </c>
      <c r="Z66" s="68">
        <f>IF(parameters!$C$27="B",'consumption scenario B'!Z74,IF(parameters!$C$27="C",'consumption scenario C'!Z74,'consumption scenario A'!Z75))</f>
        <v>0.40930055540915383</v>
      </c>
      <c r="AA66" s="68">
        <f>IF(parameters!$C$27="B",'consumption scenario B'!AA74,IF(parameters!$C$27="C",'consumption scenario C'!AA74,'consumption scenario A'!AA75))</f>
        <v>0.41306612051891806</v>
      </c>
      <c r="AB66" s="68">
        <f>IF(parameters!$C$27="B",'consumption scenario B'!AB74,IF(parameters!$C$27="C",'consumption scenario C'!AB74,'consumption scenario A'!AB75))</f>
        <v>0.41674240899153642</v>
      </c>
      <c r="AC66" s="68">
        <f>IF(parameters!$C$27="B",'consumption scenario B'!AC74,IF(parameters!$C$27="C",'consumption scenario C'!AC74,'consumption scenario A'!AC75))</f>
        <v>0.42036806794976284</v>
      </c>
      <c r="AD66" s="68">
        <f>IF(parameters!$C$27="B",'consumption scenario B'!AD74,IF(parameters!$C$27="C",'consumption scenario C'!AD74,'consumption scenario A'!AD75))</f>
        <v>0.42394119652733575</v>
      </c>
      <c r="AE66" s="68">
        <f>IF(parameters!$C$27="B",'consumption scenario B'!AE74,IF(parameters!$C$27="C",'consumption scenario C'!AE74,'consumption scenario A'!AE75))</f>
        <v>0.42745990845851262</v>
      </c>
      <c r="AF66" s="68">
        <f>IF(parameters!$C$27="B",'consumption scenario B'!AF74,IF(parameters!$C$27="C",'consumption scenario C'!AF74,'consumption scenario A'!AF75))</f>
        <v>0.4309223337170266</v>
      </c>
      <c r="AG66" s="68">
        <f>IF(parameters!$C$27="B",'consumption scenario B'!AG74,IF(parameters!$C$27="C",'consumption scenario C'!AG74,'consumption scenario A'!AG75))</f>
        <v>0.43432662015339113</v>
      </c>
      <c r="AH66" s="68">
        <f>IF(parameters!$C$27="B",'consumption scenario B'!AH74,IF(parameters!$C$27="C",'consumption scenario C'!AH74,'consumption scenario A'!AH75))</f>
        <v>0.4376709351285723</v>
      </c>
      <c r="AI66" s="68">
        <f>IF(parameters!$C$27="B",'consumption scenario B'!AI74,IF(parameters!$C$27="C",'consumption scenario C'!AI74,'consumption scenario A'!AI75))</f>
        <v>0.44099723423554954</v>
      </c>
      <c r="AJ66" s="68">
        <f>IF(parameters!$C$27="B",'consumption scenario B'!AJ74,IF(parameters!$C$27="C",'consumption scenario C'!AJ74,'consumption scenario A'!AJ75))</f>
        <v>0.44430471349231621</v>
      </c>
      <c r="AK66" s="68">
        <f>IF(parameters!$C$27="B",'consumption scenario B'!AK74,IF(parameters!$C$27="C",'consumption scenario C'!AK74,'consumption scenario A'!AK75))</f>
        <v>0.44754813790081011</v>
      </c>
      <c r="AP66" s="128">
        <v>3.0899999999999999E-3</v>
      </c>
    </row>
    <row r="67" spans="1:42">
      <c r="A67" s="77" t="s">
        <v>493</v>
      </c>
      <c r="B67" s="68">
        <f>IF(parameters!$C$27="B",'consumption scenario B'!B75,IF(parameters!$C$27="C",'consumption scenario C'!B75,'consumption scenario A'!B76))</f>
        <v>1</v>
      </c>
      <c r="C67" s="68">
        <f>IF(parameters!$C$27="B",'consumption scenario B'!C75,IF(parameters!$C$27="C",'consumption scenario C'!C75,'consumption scenario A'!C76))</f>
        <v>2.1</v>
      </c>
      <c r="D67" s="68">
        <f>IF(parameters!$C$27="B",'consumption scenario B'!D75,IF(parameters!$C$27="C",'consumption scenario C'!D75,'consumption scenario A'!D76))</f>
        <v>0.8</v>
      </c>
      <c r="E67" s="68">
        <f>IF(parameters!$C$27="B",'consumption scenario B'!E75,IF(parameters!$C$27="C",'consumption scenario C'!E75,'consumption scenario A'!E76))</f>
        <v>0.9</v>
      </c>
      <c r="F67" s="68">
        <f>IF(parameters!$C$27="B",'consumption scenario B'!F75,IF(parameters!$C$27="C",'consumption scenario C'!F75,'consumption scenario A'!F76))</f>
        <v>0.5</v>
      </c>
      <c r="G67" s="68">
        <f>IF(parameters!$C$27="B",'consumption scenario B'!G75,IF(parameters!$C$27="C",'consumption scenario C'!G75,'consumption scenario A'!G76))</f>
        <v>0.5</v>
      </c>
      <c r="H67" s="68">
        <f>IF(parameters!$C$27="B",'consumption scenario B'!H75,IF(parameters!$C$27="C",'consumption scenario C'!H75,'consumption scenario A'!H76))</f>
        <v>0.5</v>
      </c>
      <c r="I67" s="68">
        <f>IF(parameters!$C$27="B",'consumption scenario B'!I75,IF(parameters!$C$27="C",'consumption scenario C'!I75,'consumption scenario A'!I76))</f>
        <v>0.64</v>
      </c>
      <c r="J67" s="68">
        <f>IF(parameters!$C$27="B",'consumption scenario B'!J75,IF(parameters!$C$27="C",'consumption scenario C'!J75,'consumption scenario A'!J76))</f>
        <v>0.64699924441644752</v>
      </c>
      <c r="K67" s="181">
        <f>IF(parameters!$C$27="B",'consumption scenario B'!K75,IF(parameters!$C$27="C",'consumption scenario C'!K75,'consumption scenario A'!K76))</f>
        <v>0.654736513285465</v>
      </c>
      <c r="L67" s="181">
        <f>IF(parameters!$C$27="B",'consumption scenario B'!L75,IF(parameters!$C$27="C",'consumption scenario C'!L75,'consumption scenario A'!L76))</f>
        <v>0.66392893389398266</v>
      </c>
      <c r="M67" s="438">
        <f>IF(parameters!$C$27="B",'consumption scenario B'!M75,IF(parameters!$C$27="C",'consumption scenario C'!M75,'consumption scenario A'!M76))</f>
        <v>0.6726927958213833</v>
      </c>
      <c r="N67" s="68">
        <f>IF(parameters!$C$27="B",'consumption scenario B'!N75,IF(parameters!$C$27="C",'consumption scenario C'!N75,'consumption scenario A'!N76))</f>
        <v>0.68130326360789695</v>
      </c>
      <c r="O67" s="68">
        <f>IF(parameters!$C$27="B",'consumption scenario B'!O75,IF(parameters!$C$27="C",'consumption scenario C'!O75,'consumption scenario A'!O76))</f>
        <v>0.68941077244483084</v>
      </c>
      <c r="P67" s="68">
        <f>IF(parameters!$C$27="B",'consumption scenario B'!P75,IF(parameters!$C$27="C",'consumption scenario C'!P75,'consumption scenario A'!P76))</f>
        <v>0.69720111417345754</v>
      </c>
      <c r="Q67" s="68">
        <f>IF(parameters!$C$27="B",'consumption scenario B'!Q75,IF(parameters!$C$27="C",'consumption scenario C'!Q75,'consumption scenario A'!Q76))</f>
        <v>0.7047308862065309</v>
      </c>
      <c r="R67" s="68">
        <f>IF(parameters!$C$27="B",'consumption scenario B'!R75,IF(parameters!$C$27="C",'consumption scenario C'!R75,'consumption scenario A'!R76))</f>
        <v>0.71206008742307869</v>
      </c>
      <c r="S67" s="68">
        <f>IF(parameters!$C$27="B",'consumption scenario B'!S75,IF(parameters!$C$27="C",'consumption scenario C'!S75,'consumption scenario A'!S76))</f>
        <v>0.71946551233227862</v>
      </c>
      <c r="T67" s="68">
        <f>IF(parameters!$C$27="B",'consumption scenario B'!T75,IF(parameters!$C$27="C",'consumption scenario C'!T75,'consumption scenario A'!T76))</f>
        <v>0.72687600710930111</v>
      </c>
      <c r="U67" s="68">
        <f>IF(parameters!$C$27="B",'consumption scenario B'!U75,IF(parameters!$C$27="C",'consumption scenario C'!U75,'consumption scenario A'!U76))</f>
        <v>0.734290142381816</v>
      </c>
      <c r="V67" s="68">
        <f>IF(parameters!$C$27="B",'consumption scenario B'!V75,IF(parameters!$C$27="C",'consumption scenario C'!V75,'consumption scenario A'!V76))</f>
        <v>0.74163304380563422</v>
      </c>
      <c r="W67" s="68">
        <f>IF(parameters!$C$27="B",'consumption scenario B'!W75,IF(parameters!$C$27="C",'consumption scenario C'!W75,'consumption scenario A'!W76))</f>
        <v>0.7489010476349296</v>
      </c>
      <c r="X67" s="68">
        <f>IF(parameters!$C$27="B",'consumption scenario B'!X75,IF(parameters!$C$27="C",'consumption scenario C'!X75,'consumption scenario A'!X76))</f>
        <v>0.75616538779698828</v>
      </c>
      <c r="Y67" s="68">
        <f>IF(parameters!$C$27="B",'consumption scenario B'!Y75,IF(parameters!$C$27="C",'consumption scenario C'!Y75,'consumption scenario A'!Y76))</f>
        <v>0.7633489589810597</v>
      </c>
      <c r="Z67" s="68">
        <f>IF(parameters!$C$27="B",'consumption scenario B'!Z75,IF(parameters!$C$27="C",'consumption scenario C'!Z75,'consumption scenario A'!Z76))</f>
        <v>0.77044810429958366</v>
      </c>
      <c r="AA67" s="68">
        <f>IF(parameters!$C$27="B",'consumption scenario B'!AA75,IF(parameters!$C$27="C",'consumption scenario C'!AA75,'consumption scenario A'!AA76))</f>
        <v>0.77753622685913981</v>
      </c>
      <c r="AB67" s="68">
        <f>IF(parameters!$C$27="B",'consumption scenario B'!AB75,IF(parameters!$C$27="C",'consumption scenario C'!AB75,'consumption scenario A'!AB76))</f>
        <v>0.78445629927818616</v>
      </c>
      <c r="AC67" s="68">
        <f>IF(parameters!$C$27="B",'consumption scenario B'!AC75,IF(parameters!$C$27="C",'consumption scenario C'!AC75,'consumption scenario A'!AC76))</f>
        <v>0.79128106908190643</v>
      </c>
      <c r="AD67" s="68">
        <f>IF(parameters!$C$27="B",'consumption scenario B'!AD75,IF(parameters!$C$27="C",'consumption scenario C'!AD75,'consumption scenario A'!AD76))</f>
        <v>0.7980069581691025</v>
      </c>
      <c r="AE67" s="68">
        <f>IF(parameters!$C$27="B",'consumption scenario B'!AE75,IF(parameters!$C$27="C",'consumption scenario C'!AE75,'consumption scenario A'!AE76))</f>
        <v>0.80463041592190609</v>
      </c>
      <c r="AF67" s="68">
        <f>IF(parameters!$C$27="B",'consumption scenario B'!AF75,IF(parameters!$C$27="C",'consumption scenario C'!AF75,'consumption scenario A'!AF76))</f>
        <v>0.81114792229087362</v>
      </c>
      <c r="AG67" s="68">
        <f>IF(parameters!$C$27="B",'consumption scenario B'!AG75,IF(parameters!$C$27="C",'consumption scenario C'!AG75,'consumption scenario A'!AG76))</f>
        <v>0.81755599087697151</v>
      </c>
      <c r="AH67" s="68">
        <f>IF(parameters!$C$27="B",'consumption scenario B'!AH75,IF(parameters!$C$27="C",'consumption scenario C'!AH75,'consumption scenario A'!AH76))</f>
        <v>0.82385117200672431</v>
      </c>
      <c r="AI67" s="68">
        <f>IF(parameters!$C$27="B",'consumption scenario B'!AI75,IF(parameters!$C$27="C",'consumption scenario C'!AI75,'consumption scenario A'!AI76))</f>
        <v>0.83011244091397562</v>
      </c>
      <c r="AJ67" s="68">
        <f>IF(parameters!$C$27="B",'consumption scenario B'!AJ75,IF(parameters!$C$27="C",'consumption scenario C'!AJ75,'consumption scenario A'!AJ76))</f>
        <v>0.83633828422083045</v>
      </c>
      <c r="AK67" s="68">
        <f>IF(parameters!$C$27="B",'consumption scenario B'!AK75,IF(parameters!$C$27="C",'consumption scenario C'!AK75,'consumption scenario A'!AK76))</f>
        <v>0.8424435536956425</v>
      </c>
    </row>
    <row r="68" spans="1:42">
      <c r="A68" s="77" t="s">
        <v>494</v>
      </c>
      <c r="B68" s="68">
        <f>IF(parameters!$C$27="B",'consumption scenario B'!B76,IF(parameters!$C$27="C",'consumption scenario C'!B76,'consumption scenario A'!B77))</f>
        <v>0</v>
      </c>
      <c r="C68" s="68">
        <f>IF(parameters!$C$27="B",'consumption scenario B'!C76,IF(parameters!$C$27="C",'consumption scenario C'!C76,'consumption scenario A'!C77))</f>
        <v>0</v>
      </c>
      <c r="D68" s="68">
        <f>IF(parameters!$C$27="B",'consumption scenario B'!D76,IF(parameters!$C$27="C",'consumption scenario C'!D76,'consumption scenario A'!D77))</f>
        <v>0</v>
      </c>
      <c r="E68" s="68">
        <f>IF(parameters!$C$27="B",'consumption scenario B'!E76,IF(parameters!$C$27="C",'consumption scenario C'!E76,'consumption scenario A'!E77))</f>
        <v>0</v>
      </c>
      <c r="F68" s="68">
        <f>IF(parameters!$C$27="B",'consumption scenario B'!F76,IF(parameters!$C$27="C",'consumption scenario C'!F76,'consumption scenario A'!F77))</f>
        <v>0</v>
      </c>
      <c r="G68" s="68">
        <f>IF(parameters!$C$27="B",'consumption scenario B'!G76,IF(parameters!$C$27="C",'consumption scenario C'!G76,'consumption scenario A'!G77))</f>
        <v>0</v>
      </c>
      <c r="H68" s="68">
        <f>IF(parameters!$C$27="B",'consumption scenario B'!H76,IF(parameters!$C$27="C",'consumption scenario C'!H76,'consumption scenario A'!H77))</f>
        <v>0</v>
      </c>
      <c r="I68" s="68">
        <f>IF(parameters!$C$27="B",'consumption scenario B'!I76,IF(parameters!$C$27="C",'consumption scenario C'!I76,'consumption scenario A'!I77))</f>
        <v>0</v>
      </c>
      <c r="J68" s="68">
        <f>IF(parameters!$C$27="B",'consumption scenario B'!J76,IF(parameters!$C$27="C",'consumption scenario C'!J76,'consumption scenario A'!J77))</f>
        <v>0</v>
      </c>
      <c r="K68" s="181">
        <f>IF(parameters!$C$27="B",'consumption scenario B'!K76,IF(parameters!$C$27="C",'consumption scenario C'!K76,'consumption scenario A'!K77))</f>
        <v>0</v>
      </c>
      <c r="L68" s="181">
        <f>IF(parameters!$C$27="B",'consumption scenario B'!L76,IF(parameters!$C$27="C",'consumption scenario C'!L76,'consumption scenario A'!L77))</f>
        <v>0</v>
      </c>
      <c r="M68" s="438">
        <f>IF(parameters!$C$27="B",'consumption scenario B'!M76,IF(parameters!$C$27="C",'consumption scenario C'!M76,'consumption scenario A'!M77))</f>
        <v>0</v>
      </c>
      <c r="N68" s="68">
        <f>IF(parameters!$C$27="B",'consumption scenario B'!N76,IF(parameters!$C$27="C",'consumption scenario C'!N76,'consumption scenario A'!N77))</f>
        <v>0</v>
      </c>
      <c r="O68" s="68">
        <f>IF(parameters!$C$27="B",'consumption scenario B'!O76,IF(parameters!$C$27="C",'consumption scenario C'!O76,'consumption scenario A'!O77))</f>
        <v>0</v>
      </c>
      <c r="P68" s="68">
        <f>IF(parameters!$C$27="B",'consumption scenario B'!P76,IF(parameters!$C$27="C",'consumption scenario C'!P76,'consumption scenario A'!P77))</f>
        <v>0</v>
      </c>
      <c r="Q68" s="68">
        <f>IF(parameters!$C$27="B",'consumption scenario B'!Q76,IF(parameters!$C$27="C",'consumption scenario C'!Q76,'consumption scenario A'!Q77))</f>
        <v>0</v>
      </c>
      <c r="R68" s="68">
        <f>IF(parameters!$C$27="B",'consumption scenario B'!R76,IF(parameters!$C$27="C",'consumption scenario C'!R76,'consumption scenario A'!R77))</f>
        <v>0</v>
      </c>
      <c r="S68" s="68">
        <f>IF(parameters!$C$27="B",'consumption scenario B'!S76,IF(parameters!$C$27="C",'consumption scenario C'!S76,'consumption scenario A'!S77))</f>
        <v>0</v>
      </c>
      <c r="T68" s="68">
        <f>IF(parameters!$C$27="B",'consumption scenario B'!T76,IF(parameters!$C$27="C",'consumption scenario C'!T76,'consumption scenario A'!T77))</f>
        <v>0</v>
      </c>
      <c r="U68" s="68">
        <f>IF(parameters!$C$27="B",'consumption scenario B'!U76,IF(parameters!$C$27="C",'consumption scenario C'!U76,'consumption scenario A'!U77))</f>
        <v>0</v>
      </c>
      <c r="V68" s="68">
        <f>IF(parameters!$C$27="B",'consumption scenario B'!V76,IF(parameters!$C$27="C",'consumption scenario C'!V76,'consumption scenario A'!V77))</f>
        <v>0</v>
      </c>
      <c r="W68" s="68">
        <f>IF(parameters!$C$27="B",'consumption scenario B'!W76,IF(parameters!$C$27="C",'consumption scenario C'!W76,'consumption scenario A'!W77))</f>
        <v>0</v>
      </c>
      <c r="X68" s="68">
        <f>IF(parameters!$C$27="B",'consumption scenario B'!X76,IF(parameters!$C$27="C",'consumption scenario C'!X76,'consumption scenario A'!X77))</f>
        <v>0</v>
      </c>
      <c r="Y68" s="68">
        <f>IF(parameters!$C$27="B",'consumption scenario B'!Y76,IF(parameters!$C$27="C",'consumption scenario C'!Y76,'consumption scenario A'!Y77))</f>
        <v>0</v>
      </c>
      <c r="Z68" s="68">
        <f>IF(parameters!$C$27="B",'consumption scenario B'!Z76,IF(parameters!$C$27="C",'consumption scenario C'!Z76,'consumption scenario A'!Z77))</f>
        <v>0</v>
      </c>
      <c r="AA68" s="68">
        <f>IF(parameters!$C$27="B",'consumption scenario B'!AA76,IF(parameters!$C$27="C",'consumption scenario C'!AA76,'consumption scenario A'!AA77))</f>
        <v>0</v>
      </c>
      <c r="AB68" s="68">
        <f>IF(parameters!$C$27="B",'consumption scenario B'!AB76,IF(parameters!$C$27="C",'consumption scenario C'!AB76,'consumption scenario A'!AB77))</f>
        <v>0</v>
      </c>
      <c r="AC68" s="68">
        <f>IF(parameters!$C$27="B",'consumption scenario B'!AC76,IF(parameters!$C$27="C",'consumption scenario C'!AC76,'consumption scenario A'!AC77))</f>
        <v>0</v>
      </c>
      <c r="AD68" s="68">
        <f>IF(parameters!$C$27="B",'consumption scenario B'!AD76,IF(parameters!$C$27="C",'consumption scenario C'!AD76,'consumption scenario A'!AD77))</f>
        <v>0</v>
      </c>
      <c r="AE68" s="68">
        <f>IF(parameters!$C$27="B",'consumption scenario B'!AE76,IF(parameters!$C$27="C",'consumption scenario C'!AE76,'consumption scenario A'!AE77))</f>
        <v>0</v>
      </c>
      <c r="AF68" s="68">
        <f>IF(parameters!$C$27="B",'consumption scenario B'!AF76,IF(parameters!$C$27="C",'consumption scenario C'!AF76,'consumption scenario A'!AF77))</f>
        <v>0</v>
      </c>
      <c r="AG68" s="68">
        <f>IF(parameters!$C$27="B",'consumption scenario B'!AG76,IF(parameters!$C$27="C",'consumption scenario C'!AG76,'consumption scenario A'!AG77))</f>
        <v>0</v>
      </c>
      <c r="AH68" s="68">
        <f>IF(parameters!$C$27="B",'consumption scenario B'!AH76,IF(parameters!$C$27="C",'consumption scenario C'!AH76,'consumption scenario A'!AH77))</f>
        <v>0</v>
      </c>
      <c r="AI68" s="68">
        <f>IF(parameters!$C$27="B",'consumption scenario B'!AI76,IF(parameters!$C$27="C",'consumption scenario C'!AI76,'consumption scenario A'!AI77))</f>
        <v>0</v>
      </c>
      <c r="AJ68" s="68">
        <f>IF(parameters!$C$27="B",'consumption scenario B'!AJ76,IF(parameters!$C$27="C",'consumption scenario C'!AJ76,'consumption scenario A'!AJ77))</f>
        <v>0</v>
      </c>
      <c r="AK68" s="68">
        <f>IF(parameters!$C$27="B",'consumption scenario B'!AK76,IF(parameters!$C$27="C",'consumption scenario C'!AK76,'consumption scenario A'!AK77))</f>
        <v>0</v>
      </c>
    </row>
    <row r="69" spans="1:42">
      <c r="A69" s="77" t="s">
        <v>495</v>
      </c>
      <c r="B69" s="68">
        <f>IF(parameters!$C$27="B",'consumption scenario B'!B77,IF(parameters!$C$27="C",'consumption scenario C'!B77,'consumption scenario A'!B78))</f>
        <v>0.1</v>
      </c>
      <c r="C69" s="68">
        <f>IF(parameters!$C$27="B",'consumption scenario B'!C77,IF(parameters!$C$27="C",'consumption scenario C'!C77,'consumption scenario A'!C78))</f>
        <v>0.1</v>
      </c>
      <c r="D69" s="68">
        <f>IF(parameters!$C$27="B",'consumption scenario B'!D77,IF(parameters!$C$27="C",'consumption scenario C'!D77,'consumption scenario A'!D78))</f>
        <v>0.1</v>
      </c>
      <c r="E69" s="68">
        <f>IF(parameters!$C$27="B",'consumption scenario B'!E77,IF(parameters!$C$27="C",'consumption scenario C'!E77,'consumption scenario A'!E78))</f>
        <v>0.1</v>
      </c>
      <c r="F69" s="68">
        <f>IF(parameters!$C$27="B",'consumption scenario B'!F77,IF(parameters!$C$27="C",'consumption scenario C'!F77,'consumption scenario A'!F78))</f>
        <v>0.1</v>
      </c>
      <c r="G69" s="68">
        <f>IF(parameters!$C$27="B",'consumption scenario B'!G77,IF(parameters!$C$27="C",'consumption scenario C'!G77,'consumption scenario A'!G78))</f>
        <v>0.1</v>
      </c>
      <c r="H69" s="68">
        <f>IF(parameters!$C$27="B",'consumption scenario B'!H77,IF(parameters!$C$27="C",'consumption scenario C'!H77,'consumption scenario A'!H78))</f>
        <v>0.1</v>
      </c>
      <c r="I69" s="68">
        <f>IF(parameters!$C$27="B",'consumption scenario B'!I77,IF(parameters!$C$27="C",'consumption scenario C'!I77,'consumption scenario A'!I78))</f>
        <v>0.1</v>
      </c>
      <c r="J69" s="68">
        <f>IF(parameters!$C$27="B",'consumption scenario B'!J77,IF(parameters!$C$27="C",'consumption scenario C'!J77,'consumption scenario A'!J78))</f>
        <v>0.10109363194006993</v>
      </c>
      <c r="K69" s="181">
        <f>IF(parameters!$C$27="B",'consumption scenario B'!K77,IF(parameters!$C$27="C",'consumption scenario C'!K77,'consumption scenario A'!K78))</f>
        <v>0.10230258020085391</v>
      </c>
      <c r="L69" s="181">
        <f>IF(parameters!$C$27="B",'consumption scenario B'!L77,IF(parameters!$C$27="C",'consumption scenario C'!L77,'consumption scenario A'!L78))</f>
        <v>0.1037388959209348</v>
      </c>
      <c r="M69" s="438">
        <f>IF(parameters!$C$27="B",'consumption scenario B'!M77,IF(parameters!$C$27="C",'consumption scenario C'!M77,'consumption scenario A'!M78))</f>
        <v>0.10510824934709113</v>
      </c>
      <c r="N69" s="68">
        <f>IF(parameters!$C$27="B",'consumption scenario B'!N77,IF(parameters!$C$27="C",'consumption scenario C'!N77,'consumption scenario A'!N78))</f>
        <v>0.1064536349387339</v>
      </c>
      <c r="O69" s="68">
        <f>IF(parameters!$C$27="B",'consumption scenario B'!O77,IF(parameters!$C$27="C",'consumption scenario C'!O77,'consumption scenario A'!O78))</f>
        <v>0.10772043319450482</v>
      </c>
      <c r="P69" s="68">
        <f>IF(parameters!$C$27="B",'consumption scenario B'!P77,IF(parameters!$C$27="C",'consumption scenario C'!P77,'consumption scenario A'!P78))</f>
        <v>0.10893767408960274</v>
      </c>
      <c r="Q69" s="68">
        <f>IF(parameters!$C$27="B",'consumption scenario B'!Q77,IF(parameters!$C$27="C",'consumption scenario C'!Q77,'consumption scenario A'!Q78))</f>
        <v>0.11011420096977045</v>
      </c>
      <c r="R69" s="68">
        <f>IF(parameters!$C$27="B",'consumption scenario B'!R77,IF(parameters!$C$27="C",'consumption scenario C'!R77,'consumption scenario A'!R78))</f>
        <v>0.11125938865985606</v>
      </c>
      <c r="S69" s="68">
        <f>IF(parameters!$C$27="B",'consumption scenario B'!S77,IF(parameters!$C$27="C",'consumption scenario C'!S77,'consumption scenario A'!S78))</f>
        <v>0.11241648630191854</v>
      </c>
      <c r="T69" s="68">
        <f>IF(parameters!$C$27="B",'consumption scenario B'!T77,IF(parameters!$C$27="C",'consumption scenario C'!T77,'consumption scenario A'!T78))</f>
        <v>0.11357437611082831</v>
      </c>
      <c r="U69" s="68">
        <f>IF(parameters!$C$27="B",'consumption scenario B'!U77,IF(parameters!$C$27="C",'consumption scenario C'!U77,'consumption scenario A'!U78))</f>
        <v>0.11473283474715874</v>
      </c>
      <c r="V69" s="68">
        <f>IF(parameters!$C$27="B",'consumption scenario B'!V77,IF(parameters!$C$27="C",'consumption scenario C'!V77,'consumption scenario A'!V78))</f>
        <v>0.11588016309463034</v>
      </c>
      <c r="W69" s="68">
        <f>IF(parameters!$C$27="B",'consumption scenario B'!W77,IF(parameters!$C$27="C",'consumption scenario C'!W77,'consumption scenario A'!W78))</f>
        <v>0.11701578869295776</v>
      </c>
      <c r="X69" s="68">
        <f>IF(parameters!$C$27="B",'consumption scenario B'!X77,IF(parameters!$C$27="C",'consumption scenario C'!X77,'consumption scenario A'!X78))</f>
        <v>0.11815084184327942</v>
      </c>
      <c r="Y69" s="68">
        <f>IF(parameters!$C$27="B",'consumption scenario B'!Y77,IF(parameters!$C$27="C",'consumption scenario C'!Y77,'consumption scenario A'!Y78))</f>
        <v>0.11927327484079059</v>
      </c>
      <c r="Z69" s="68">
        <f>IF(parameters!$C$27="B",'consumption scenario B'!Z77,IF(parameters!$C$27="C",'consumption scenario C'!Z77,'consumption scenario A'!Z78))</f>
        <v>0.12038251629680995</v>
      </c>
      <c r="AA69" s="68">
        <f>IF(parameters!$C$27="B",'consumption scenario B'!AA77,IF(parameters!$C$27="C",'consumption scenario C'!AA77,'consumption scenario A'!AA78))</f>
        <v>0.1214900354467406</v>
      </c>
      <c r="AB69" s="68">
        <f>IF(parameters!$C$27="B",'consumption scenario B'!AB77,IF(parameters!$C$27="C",'consumption scenario C'!AB77,'consumption scenario A'!AB78))</f>
        <v>0.12257129676221659</v>
      </c>
      <c r="AC69" s="68">
        <f>IF(parameters!$C$27="B",'consumption scenario B'!AC77,IF(parameters!$C$27="C",'consumption scenario C'!AC77,'consumption scenario A'!AC78))</f>
        <v>0.12363766704404788</v>
      </c>
      <c r="AD69" s="68">
        <f>IF(parameters!$C$27="B",'consumption scenario B'!AD77,IF(parameters!$C$27="C",'consumption scenario C'!AD77,'consumption scenario A'!AD78))</f>
        <v>0.12468858721392227</v>
      </c>
      <c r="AE69" s="68">
        <f>IF(parameters!$C$27="B",'consumption scenario B'!AE77,IF(parameters!$C$27="C",'consumption scenario C'!AE77,'consumption scenario A'!AE78))</f>
        <v>0.12572350248779782</v>
      </c>
      <c r="AF69" s="68">
        <f>IF(parameters!$C$27="B",'consumption scenario B'!AF77,IF(parameters!$C$27="C",'consumption scenario C'!AF77,'consumption scenario A'!AF78))</f>
        <v>0.126741862857949</v>
      </c>
      <c r="AG69" s="68">
        <f>IF(parameters!$C$27="B",'consumption scenario B'!AG77,IF(parameters!$C$27="C",'consumption scenario C'!AG77,'consumption scenario A'!AG78))</f>
        <v>0.1277431235745268</v>
      </c>
      <c r="AH69" s="68">
        <f>IF(parameters!$C$27="B",'consumption scenario B'!AH77,IF(parameters!$C$27="C",'consumption scenario C'!AH77,'consumption scenario A'!AH78))</f>
        <v>0.12872674562605066</v>
      </c>
      <c r="AI69" s="68">
        <f>IF(parameters!$C$27="B",'consumption scenario B'!AI77,IF(parameters!$C$27="C",'consumption scenario C'!AI77,'consumption scenario A'!AI78))</f>
        <v>0.12970506889280869</v>
      </c>
      <c r="AJ69" s="68">
        <f>IF(parameters!$C$27="B",'consumption scenario B'!AJ77,IF(parameters!$C$27="C",'consumption scenario C'!AJ77,'consumption scenario A'!AJ78))</f>
        <v>0.13067785690950476</v>
      </c>
      <c r="AK69" s="68">
        <f>IF(parameters!$C$27="B",'consumption scenario B'!AK77,IF(parameters!$C$27="C",'consumption scenario C'!AK77,'consumption scenario A'!AK78))</f>
        <v>0.13163180526494414</v>
      </c>
    </row>
    <row r="70" spans="1:42">
      <c r="A70" s="77" t="s">
        <v>496</v>
      </c>
      <c r="B70" s="68">
        <f>IF(parameters!$C$27="B",'consumption scenario B'!B78,IF(parameters!$C$27="C",'consumption scenario C'!B78,'consumption scenario A'!B79))</f>
        <v>2.1</v>
      </c>
      <c r="C70" s="68">
        <f>IF(parameters!$C$27="B",'consumption scenario B'!C78,IF(parameters!$C$27="C",'consumption scenario C'!C78,'consumption scenario A'!C79))</f>
        <v>2.2000000000000002</v>
      </c>
      <c r="D70" s="68">
        <f>IF(parameters!$C$27="B",'consumption scenario B'!D78,IF(parameters!$C$27="C",'consumption scenario C'!D78,'consumption scenario A'!D79))</f>
        <v>2.2000000000000002</v>
      </c>
      <c r="E70" s="68">
        <f>IF(parameters!$C$27="B",'consumption scenario B'!E78,IF(parameters!$C$27="C",'consumption scenario C'!E78,'consumption scenario A'!E79))</f>
        <v>2.2000000000000002</v>
      </c>
      <c r="F70" s="68">
        <f>IF(parameters!$C$27="B",'consumption scenario B'!F78,IF(parameters!$C$27="C",'consumption scenario C'!F78,'consumption scenario A'!F79))</f>
        <v>2.2999999999999998</v>
      </c>
      <c r="G70" s="68">
        <f>IF(parameters!$C$27="B",'consumption scenario B'!G78,IF(parameters!$C$27="C",'consumption scenario C'!G78,'consumption scenario A'!G79))</f>
        <v>2.5</v>
      </c>
      <c r="H70" s="68">
        <f>IF(parameters!$C$27="B",'consumption scenario B'!H78,IF(parameters!$C$27="C",'consumption scenario C'!H78,'consumption scenario A'!H79))</f>
        <v>2.6</v>
      </c>
      <c r="I70" s="68">
        <f>IF(parameters!$C$27="B",'consumption scenario B'!I78,IF(parameters!$C$27="C",'consumption scenario C'!I78,'consumption scenario A'!I79))</f>
        <v>2.36</v>
      </c>
      <c r="J70" s="68">
        <f>IF(parameters!$C$27="B",'consumption scenario B'!J78,IF(parameters!$C$27="C",'consumption scenario C'!J78,'consumption scenario A'!J79))</f>
        <v>2.3858097137856502</v>
      </c>
      <c r="K70" s="181">
        <f>IF(parameters!$C$27="B",'consumption scenario B'!K78,IF(parameters!$C$27="C",'consumption scenario C'!K78,'consumption scenario A'!K79))</f>
        <v>2.4143408927401517</v>
      </c>
      <c r="L70" s="181">
        <f>IF(parameters!$C$27="B",'consumption scenario B'!L78,IF(parameters!$C$27="C",'consumption scenario C'!L78,'consumption scenario A'!L79))</f>
        <v>2.4482379437340609</v>
      </c>
      <c r="M70" s="438">
        <f>IF(parameters!$C$27="B",'consumption scenario B'!M78,IF(parameters!$C$27="C",'consumption scenario C'!M78,'consumption scenario A'!M79))</f>
        <v>2.4805546845913504</v>
      </c>
      <c r="N70" s="68">
        <f>IF(parameters!$C$27="B",'consumption scenario B'!N78,IF(parameters!$C$27="C",'consumption scenario C'!N78,'consumption scenario A'!N79))</f>
        <v>2.5123057845541199</v>
      </c>
      <c r="O70" s="68">
        <f>IF(parameters!$C$27="B",'consumption scenario B'!O78,IF(parameters!$C$27="C",'consumption scenario C'!O78,'consumption scenario A'!O79))</f>
        <v>2.5422022233903134</v>
      </c>
      <c r="P70" s="68">
        <f>IF(parameters!$C$27="B",'consumption scenario B'!P78,IF(parameters!$C$27="C",'consumption scenario C'!P78,'consumption scenario A'!P79))</f>
        <v>2.5709291085146244</v>
      </c>
      <c r="Q70" s="68">
        <f>IF(parameters!$C$27="B",'consumption scenario B'!Q78,IF(parameters!$C$27="C",'consumption scenario C'!Q78,'consumption scenario A'!Q79))</f>
        <v>2.5986951428865823</v>
      </c>
      <c r="R70" s="68">
        <f>IF(parameters!$C$27="B",'consumption scenario B'!R78,IF(parameters!$C$27="C",'consumption scenario C'!R78,'consumption scenario A'!R79))</f>
        <v>2.6257215723726026</v>
      </c>
      <c r="S70" s="68">
        <f>IF(parameters!$C$27="B",'consumption scenario B'!S78,IF(parameters!$C$27="C",'consumption scenario C'!S78,'consumption scenario A'!S79))</f>
        <v>2.6530290767252773</v>
      </c>
      <c r="T70" s="68">
        <f>IF(parameters!$C$27="B",'consumption scenario B'!T78,IF(parameters!$C$27="C",'consumption scenario C'!T78,'consumption scenario A'!T79))</f>
        <v>2.6803552762155478</v>
      </c>
      <c r="U70" s="68">
        <f>IF(parameters!$C$27="B",'consumption scenario B'!U78,IF(parameters!$C$27="C",'consumption scenario C'!U78,'consumption scenario A'!U79))</f>
        <v>2.707694900032946</v>
      </c>
      <c r="V70" s="68">
        <f>IF(parameters!$C$27="B",'consumption scenario B'!V78,IF(parameters!$C$27="C",'consumption scenario C'!V78,'consumption scenario A'!V79))</f>
        <v>2.734771849033276</v>
      </c>
      <c r="W70" s="68">
        <f>IF(parameters!$C$27="B",'consumption scenario B'!W78,IF(parameters!$C$27="C",'consumption scenario C'!W78,'consumption scenario A'!W79))</f>
        <v>2.7615726131538025</v>
      </c>
      <c r="X70" s="68">
        <f>IF(parameters!$C$27="B",'consumption scenario B'!X78,IF(parameters!$C$27="C",'consumption scenario C'!X78,'consumption scenario A'!X79))</f>
        <v>2.7883598675013941</v>
      </c>
      <c r="Y70" s="68">
        <f>IF(parameters!$C$27="B",'consumption scenario B'!Y78,IF(parameters!$C$27="C",'consumption scenario C'!Y78,'consumption scenario A'!Y79))</f>
        <v>2.8148492862426573</v>
      </c>
      <c r="Z70" s="68">
        <f>IF(parameters!$C$27="B",'consumption scenario B'!Z78,IF(parameters!$C$27="C",'consumption scenario C'!Z78,'consumption scenario A'!Z79))</f>
        <v>2.8410273846047143</v>
      </c>
      <c r="AA70" s="68">
        <f>IF(parameters!$C$27="B",'consumption scenario B'!AA78,IF(parameters!$C$27="C",'consumption scenario C'!AA78,'consumption scenario A'!AA79))</f>
        <v>2.8671648365430777</v>
      </c>
      <c r="AB70" s="68">
        <f>IF(parameters!$C$27="B",'consumption scenario B'!AB78,IF(parameters!$C$27="C",'consumption scenario C'!AB78,'consumption scenario A'!AB79))</f>
        <v>2.8926826035883111</v>
      </c>
      <c r="AC70" s="68">
        <f>IF(parameters!$C$27="B",'consumption scenario B'!AC78,IF(parameters!$C$27="C",'consumption scenario C'!AC78,'consumption scenario A'!AC79))</f>
        <v>2.9178489422395297</v>
      </c>
      <c r="AD70" s="68">
        <f>IF(parameters!$C$27="B",'consumption scenario B'!AD78,IF(parameters!$C$27="C",'consumption scenario C'!AD78,'consumption scenario A'!AD79))</f>
        <v>2.9426506582485654</v>
      </c>
      <c r="AE70" s="68">
        <f>IF(parameters!$C$27="B",'consumption scenario B'!AE78,IF(parameters!$C$27="C",'consumption scenario C'!AE78,'consumption scenario A'!AE79))</f>
        <v>2.9670746587120282</v>
      </c>
      <c r="AF70" s="68">
        <f>IF(parameters!$C$27="B",'consumption scenario B'!AF78,IF(parameters!$C$27="C",'consumption scenario C'!AF78,'consumption scenario A'!AF79))</f>
        <v>2.9911079634475963</v>
      </c>
      <c r="AG70" s="68">
        <f>IF(parameters!$C$27="B",'consumption scenario B'!AG78,IF(parameters!$C$27="C",'consumption scenario C'!AG78,'consumption scenario A'!AG79))</f>
        <v>3.014737716358832</v>
      </c>
      <c r="AH70" s="68">
        <f>IF(parameters!$C$27="B",'consumption scenario B'!AH78,IF(parameters!$C$27="C",'consumption scenario C'!AH78,'consumption scenario A'!AH79))</f>
        <v>3.0379511967747956</v>
      </c>
      <c r="AI70" s="68">
        <f>IF(parameters!$C$27="B",'consumption scenario B'!AI78,IF(parameters!$C$27="C",'consumption scenario C'!AI78,'consumption scenario A'!AI79))</f>
        <v>3.0610396258702846</v>
      </c>
      <c r="AJ70" s="68">
        <f>IF(parameters!$C$27="B",'consumption scenario B'!AJ78,IF(parameters!$C$27="C",'consumption scenario C'!AJ78,'consumption scenario A'!AJ79))</f>
        <v>3.0839974230643121</v>
      </c>
      <c r="AK70" s="68">
        <f>IF(parameters!$C$27="B",'consumption scenario B'!AK78,IF(parameters!$C$27="C",'consumption scenario C'!AK78,'consumption scenario A'!AK79))</f>
        <v>3.1065106042526813</v>
      </c>
    </row>
    <row r="71" spans="1:42">
      <c r="A71" s="77" t="s">
        <v>497</v>
      </c>
      <c r="B71" s="68">
        <f>IF(parameters!$C$27="B",'consumption scenario B'!B79,IF(parameters!$C$27="C",'consumption scenario C'!B79,'consumption scenario A'!B80))</f>
        <v>0.1</v>
      </c>
      <c r="C71" s="68">
        <f>IF(parameters!$C$27="B",'consumption scenario B'!C79,IF(parameters!$C$27="C",'consumption scenario C'!C79,'consumption scenario A'!C80))</f>
        <v>0.1</v>
      </c>
      <c r="D71" s="68">
        <f>IF(parameters!$C$27="B",'consumption scenario B'!D79,IF(parameters!$C$27="C",'consumption scenario C'!D79,'consumption scenario A'!D80))</f>
        <v>0.1</v>
      </c>
      <c r="E71" s="68">
        <f>IF(parameters!$C$27="B",'consumption scenario B'!E79,IF(parameters!$C$27="C",'consumption scenario C'!E79,'consumption scenario A'!E80))</f>
        <v>0.1</v>
      </c>
      <c r="F71" s="68">
        <f>IF(parameters!$C$27="B",'consumption scenario B'!F79,IF(parameters!$C$27="C",'consumption scenario C'!F79,'consumption scenario A'!F80))</f>
        <v>0.1</v>
      </c>
      <c r="G71" s="68">
        <f>IF(parameters!$C$27="B",'consumption scenario B'!G79,IF(parameters!$C$27="C",'consumption scenario C'!G79,'consumption scenario A'!G80))</f>
        <v>0.1</v>
      </c>
      <c r="H71" s="68">
        <f>IF(parameters!$C$27="B",'consumption scenario B'!H79,IF(parameters!$C$27="C",'consumption scenario C'!H79,'consumption scenario A'!H80))</f>
        <v>0.1</v>
      </c>
      <c r="I71" s="68">
        <f>IF(parameters!$C$27="B",'consumption scenario B'!I79,IF(parameters!$C$27="C",'consumption scenario C'!I79,'consumption scenario A'!I80))</f>
        <v>0.1</v>
      </c>
      <c r="J71" s="68">
        <f>IF(parameters!$C$27="B",'consumption scenario B'!J79,IF(parameters!$C$27="C",'consumption scenario C'!J79,'consumption scenario A'!J80))</f>
        <v>0.10109363194006993</v>
      </c>
      <c r="K71" s="181">
        <f>IF(parameters!$C$27="B",'consumption scenario B'!K79,IF(parameters!$C$27="C",'consumption scenario C'!K79,'consumption scenario A'!K80))</f>
        <v>0.10230258020085391</v>
      </c>
      <c r="L71" s="181">
        <f>IF(parameters!$C$27="B",'consumption scenario B'!L79,IF(parameters!$C$27="C",'consumption scenario C'!L79,'consumption scenario A'!L80))</f>
        <v>0.1037388959209348</v>
      </c>
      <c r="M71" s="438">
        <f>IF(parameters!$C$27="B",'consumption scenario B'!M79,IF(parameters!$C$27="C",'consumption scenario C'!M79,'consumption scenario A'!M80))</f>
        <v>0.10510824934709113</v>
      </c>
      <c r="N71" s="68">
        <f>IF(parameters!$C$27="B",'consumption scenario B'!N79,IF(parameters!$C$27="C",'consumption scenario C'!N79,'consumption scenario A'!N80))</f>
        <v>0.1064536349387339</v>
      </c>
      <c r="O71" s="68">
        <f>IF(parameters!$C$27="B",'consumption scenario B'!O79,IF(parameters!$C$27="C",'consumption scenario C'!O79,'consumption scenario A'!O80))</f>
        <v>0.10772043319450482</v>
      </c>
      <c r="P71" s="68">
        <f>IF(parameters!$C$27="B",'consumption scenario B'!P79,IF(parameters!$C$27="C",'consumption scenario C'!P79,'consumption scenario A'!P80))</f>
        <v>0.10893767408960274</v>
      </c>
      <c r="Q71" s="68">
        <f>IF(parameters!$C$27="B",'consumption scenario B'!Q79,IF(parameters!$C$27="C",'consumption scenario C'!Q79,'consumption scenario A'!Q80))</f>
        <v>0.11011420096977045</v>
      </c>
      <c r="R71" s="68">
        <f>IF(parameters!$C$27="B",'consumption scenario B'!R79,IF(parameters!$C$27="C",'consumption scenario C'!R79,'consumption scenario A'!R80))</f>
        <v>0.11125938865985606</v>
      </c>
      <c r="S71" s="68">
        <f>IF(parameters!$C$27="B",'consumption scenario B'!S79,IF(parameters!$C$27="C",'consumption scenario C'!S79,'consumption scenario A'!S80))</f>
        <v>0.11241648630191854</v>
      </c>
      <c r="T71" s="68">
        <f>IF(parameters!$C$27="B",'consumption scenario B'!T79,IF(parameters!$C$27="C",'consumption scenario C'!T79,'consumption scenario A'!T80))</f>
        <v>0.11357437611082831</v>
      </c>
      <c r="U71" s="68">
        <f>IF(parameters!$C$27="B",'consumption scenario B'!U79,IF(parameters!$C$27="C",'consumption scenario C'!U79,'consumption scenario A'!U80))</f>
        <v>0.11473283474715874</v>
      </c>
      <c r="V71" s="68">
        <f>IF(parameters!$C$27="B",'consumption scenario B'!V79,IF(parameters!$C$27="C",'consumption scenario C'!V79,'consumption scenario A'!V80))</f>
        <v>0.11588016309463034</v>
      </c>
      <c r="W71" s="68">
        <f>IF(parameters!$C$27="B",'consumption scenario B'!W79,IF(parameters!$C$27="C",'consumption scenario C'!W79,'consumption scenario A'!W80))</f>
        <v>0.11701578869295776</v>
      </c>
      <c r="X71" s="68">
        <f>IF(parameters!$C$27="B",'consumption scenario B'!X79,IF(parameters!$C$27="C",'consumption scenario C'!X79,'consumption scenario A'!X80))</f>
        <v>0.11815084184327942</v>
      </c>
      <c r="Y71" s="68">
        <f>IF(parameters!$C$27="B",'consumption scenario B'!Y79,IF(parameters!$C$27="C",'consumption scenario C'!Y79,'consumption scenario A'!Y80))</f>
        <v>0.11927327484079059</v>
      </c>
      <c r="Z71" s="68">
        <f>IF(parameters!$C$27="B",'consumption scenario B'!Z79,IF(parameters!$C$27="C",'consumption scenario C'!Z79,'consumption scenario A'!Z80))</f>
        <v>0.12038251629680995</v>
      </c>
      <c r="AA71" s="68">
        <f>IF(parameters!$C$27="B",'consumption scenario B'!AA79,IF(parameters!$C$27="C",'consumption scenario C'!AA79,'consumption scenario A'!AA80))</f>
        <v>0.1214900354467406</v>
      </c>
      <c r="AB71" s="68">
        <f>IF(parameters!$C$27="B",'consumption scenario B'!AB79,IF(parameters!$C$27="C",'consumption scenario C'!AB79,'consumption scenario A'!AB80))</f>
        <v>0.12257129676221659</v>
      </c>
      <c r="AC71" s="68">
        <f>IF(parameters!$C$27="B",'consumption scenario B'!AC79,IF(parameters!$C$27="C",'consumption scenario C'!AC79,'consumption scenario A'!AC80))</f>
        <v>0.12363766704404788</v>
      </c>
      <c r="AD71" s="68">
        <f>IF(parameters!$C$27="B",'consumption scenario B'!AD79,IF(parameters!$C$27="C",'consumption scenario C'!AD79,'consumption scenario A'!AD80))</f>
        <v>0.12468858721392227</v>
      </c>
      <c r="AE71" s="68">
        <f>IF(parameters!$C$27="B",'consumption scenario B'!AE79,IF(parameters!$C$27="C",'consumption scenario C'!AE79,'consumption scenario A'!AE80))</f>
        <v>0.12572350248779782</v>
      </c>
      <c r="AF71" s="68">
        <f>IF(parameters!$C$27="B",'consumption scenario B'!AF79,IF(parameters!$C$27="C",'consumption scenario C'!AF79,'consumption scenario A'!AF80))</f>
        <v>0.126741862857949</v>
      </c>
      <c r="AG71" s="68">
        <f>IF(parameters!$C$27="B",'consumption scenario B'!AG79,IF(parameters!$C$27="C",'consumption scenario C'!AG79,'consumption scenario A'!AG80))</f>
        <v>0.1277431235745268</v>
      </c>
      <c r="AH71" s="68">
        <f>IF(parameters!$C$27="B",'consumption scenario B'!AH79,IF(parameters!$C$27="C",'consumption scenario C'!AH79,'consumption scenario A'!AH80))</f>
        <v>0.12872674562605066</v>
      </c>
      <c r="AI71" s="68">
        <f>IF(parameters!$C$27="B",'consumption scenario B'!AI79,IF(parameters!$C$27="C",'consumption scenario C'!AI79,'consumption scenario A'!AI80))</f>
        <v>0.12970506889280869</v>
      </c>
      <c r="AJ71" s="68">
        <f>IF(parameters!$C$27="B",'consumption scenario B'!AJ79,IF(parameters!$C$27="C",'consumption scenario C'!AJ79,'consumption scenario A'!AJ80))</f>
        <v>0.13067785690950476</v>
      </c>
      <c r="AK71" s="68">
        <f>IF(parameters!$C$27="B",'consumption scenario B'!AK79,IF(parameters!$C$27="C",'consumption scenario C'!AK79,'consumption scenario A'!AK80))</f>
        <v>0.13163180526494414</v>
      </c>
    </row>
    <row r="72" spans="1:42">
      <c r="A72" s="77" t="s">
        <v>498</v>
      </c>
      <c r="B72" s="68">
        <f>IF(parameters!$C$27="B",'consumption scenario B'!B80,IF(parameters!$C$27="C",'consumption scenario C'!B80,'consumption scenario A'!B81))</f>
        <v>0.3</v>
      </c>
      <c r="C72" s="68">
        <f>IF(parameters!$C$27="B",'consumption scenario B'!C80,IF(parameters!$C$27="C",'consumption scenario C'!C80,'consumption scenario A'!C81))</f>
        <v>0.3</v>
      </c>
      <c r="D72" s="68">
        <f>IF(parameters!$C$27="B",'consumption scenario B'!D80,IF(parameters!$C$27="C",'consumption scenario C'!D80,'consumption scenario A'!D81))</f>
        <v>0.3</v>
      </c>
      <c r="E72" s="68">
        <f>IF(parameters!$C$27="B",'consumption scenario B'!E80,IF(parameters!$C$27="C",'consumption scenario C'!E80,'consumption scenario A'!E81))</f>
        <v>0.3</v>
      </c>
      <c r="F72" s="68">
        <f>IF(parameters!$C$27="B",'consumption scenario B'!F80,IF(parameters!$C$27="C",'consumption scenario C'!F80,'consumption scenario A'!F81))</f>
        <v>0.3</v>
      </c>
      <c r="G72" s="68">
        <f>IF(parameters!$C$27="B",'consumption scenario B'!G80,IF(parameters!$C$27="C",'consumption scenario C'!G80,'consumption scenario A'!G81))</f>
        <v>0.3</v>
      </c>
      <c r="H72" s="68">
        <f>IF(parameters!$C$27="B",'consumption scenario B'!H80,IF(parameters!$C$27="C",'consumption scenario C'!H80,'consumption scenario A'!H81))</f>
        <v>0.2</v>
      </c>
      <c r="I72" s="68">
        <f>IF(parameters!$C$27="B",'consumption scenario B'!I80,IF(parameters!$C$27="C",'consumption scenario C'!I80,'consumption scenario A'!I81))</f>
        <v>0.27999999999999997</v>
      </c>
      <c r="J72" s="68">
        <f>IF(parameters!$C$27="B",'consumption scenario B'!J80,IF(parameters!$C$27="C",'consumption scenario C'!J80,'consumption scenario A'!J81))</f>
        <v>0.28306216943219575</v>
      </c>
      <c r="K72" s="181">
        <f>IF(parameters!$C$27="B",'consumption scenario B'!K80,IF(parameters!$C$27="C",'consumption scenario C'!K80,'consumption scenario A'!K81))</f>
        <v>0.28644722456239091</v>
      </c>
      <c r="L72" s="181">
        <f>IF(parameters!$C$27="B",'consumption scenario B'!L80,IF(parameters!$C$27="C",'consumption scenario C'!L80,'consumption scenario A'!L81))</f>
        <v>0.2904689085786174</v>
      </c>
      <c r="M72" s="438">
        <f>IF(parameters!$C$27="B",'consumption scenario B'!M80,IF(parameters!$C$27="C",'consumption scenario C'!M80,'consumption scenario A'!M81))</f>
        <v>0.29430309817185513</v>
      </c>
      <c r="N72" s="68">
        <f>IF(parameters!$C$27="B",'consumption scenario B'!N80,IF(parameters!$C$27="C",'consumption scenario C'!N80,'consumption scenario A'!N81))</f>
        <v>0.29807017782845491</v>
      </c>
      <c r="O72" s="68">
        <f>IF(parameters!$C$27="B",'consumption scenario B'!O80,IF(parameters!$C$27="C",'consumption scenario C'!O80,'consumption scenario A'!O81))</f>
        <v>0.30161721294461347</v>
      </c>
      <c r="P72" s="68">
        <f>IF(parameters!$C$27="B",'consumption scenario B'!P80,IF(parameters!$C$27="C",'consumption scenario C'!P80,'consumption scenario A'!P81))</f>
        <v>0.30502548745088764</v>
      </c>
      <c r="Q72" s="68">
        <f>IF(parameters!$C$27="B",'consumption scenario B'!Q80,IF(parameters!$C$27="C",'consumption scenario C'!Q80,'consumption scenario A'!Q81))</f>
        <v>0.30831976271535722</v>
      </c>
      <c r="R72" s="68">
        <f>IF(parameters!$C$27="B",'consumption scenario B'!R80,IF(parameters!$C$27="C",'consumption scenario C'!R80,'consumption scenario A'!R81))</f>
        <v>0.31152628824759693</v>
      </c>
      <c r="S72" s="68">
        <f>IF(parameters!$C$27="B",'consumption scenario B'!S80,IF(parameters!$C$27="C",'consumption scenario C'!S80,'consumption scenario A'!S81))</f>
        <v>0.31476616164537186</v>
      </c>
      <c r="T72" s="68">
        <f>IF(parameters!$C$27="B",'consumption scenario B'!T80,IF(parameters!$C$27="C",'consumption scenario C'!T80,'consumption scenario A'!T81))</f>
        <v>0.31800825311031922</v>
      </c>
      <c r="U72" s="68">
        <f>IF(parameters!$C$27="B",'consumption scenario B'!U80,IF(parameters!$C$27="C",'consumption scenario C'!U80,'consumption scenario A'!U81))</f>
        <v>0.32125193729204443</v>
      </c>
      <c r="V72" s="68">
        <f>IF(parameters!$C$27="B",'consumption scenario B'!V80,IF(parameters!$C$27="C",'consumption scenario C'!V80,'consumption scenario A'!V81))</f>
        <v>0.32446445666496493</v>
      </c>
      <c r="W72" s="68">
        <f>IF(parameters!$C$27="B",'consumption scenario B'!W80,IF(parameters!$C$27="C",'consumption scenario C'!W80,'consumption scenario A'!W81))</f>
        <v>0.32764420834028163</v>
      </c>
      <c r="X72" s="68">
        <f>IF(parameters!$C$27="B",'consumption scenario B'!X80,IF(parameters!$C$27="C",'consumption scenario C'!X80,'consumption scenario A'!X81))</f>
        <v>0.33082235716118236</v>
      </c>
      <c r="Y72" s="68">
        <f>IF(parameters!$C$27="B",'consumption scenario B'!Y80,IF(parameters!$C$27="C",'consumption scenario C'!Y80,'consumption scenario A'!Y81))</f>
        <v>0.33396516955421357</v>
      </c>
      <c r="Z72" s="68">
        <f>IF(parameters!$C$27="B",'consumption scenario B'!Z80,IF(parameters!$C$27="C",'consumption scenario C'!Z80,'consumption scenario A'!Z81))</f>
        <v>0.33707104563106777</v>
      </c>
      <c r="AA72" s="68">
        <f>IF(parameters!$C$27="B",'consumption scenario B'!AA80,IF(parameters!$C$27="C",'consumption scenario C'!AA80,'consumption scenario A'!AA81))</f>
        <v>0.34017209925087366</v>
      </c>
      <c r="AB72" s="68">
        <f>IF(parameters!$C$27="B",'consumption scenario B'!AB80,IF(parameters!$C$27="C",'consumption scenario C'!AB80,'consumption scenario A'!AB81))</f>
        <v>0.34319963093420641</v>
      </c>
      <c r="AC72" s="68">
        <f>IF(parameters!$C$27="B",'consumption scenario B'!AC80,IF(parameters!$C$27="C",'consumption scenario C'!AC80,'consumption scenario A'!AC81))</f>
        <v>0.34618546772333403</v>
      </c>
      <c r="AD72" s="68">
        <f>IF(parameters!$C$27="B",'consumption scenario B'!AD80,IF(parameters!$C$27="C",'consumption scenario C'!AD80,'consumption scenario A'!AD81))</f>
        <v>0.3491280441989823</v>
      </c>
      <c r="AE72" s="68">
        <f>IF(parameters!$C$27="B",'consumption scenario B'!AE80,IF(parameters!$C$27="C",'consumption scenario C'!AE80,'consumption scenario A'!AE81))</f>
        <v>0.35202580696583385</v>
      </c>
      <c r="AF72" s="68">
        <f>IF(parameters!$C$27="B",'consumption scenario B'!AF80,IF(parameters!$C$27="C",'consumption scenario C'!AF80,'consumption scenario A'!AF81))</f>
        <v>0.35487721600225713</v>
      </c>
      <c r="AG72" s="68">
        <f>IF(parameters!$C$27="B",'consumption scenario B'!AG80,IF(parameters!$C$27="C",'consumption scenario C'!AG80,'consumption scenario A'!AG81))</f>
        <v>0.357680746008675</v>
      </c>
      <c r="AH72" s="68">
        <f>IF(parameters!$C$27="B",'consumption scenario B'!AH80,IF(parameters!$C$27="C",'consumption scenario C'!AH80,'consumption scenario A'!AH81))</f>
        <v>0.3604348877529418</v>
      </c>
      <c r="AI72" s="68">
        <f>IF(parameters!$C$27="B",'consumption scenario B'!AI80,IF(parameters!$C$27="C",'consumption scenario C'!AI80,'consumption scenario A'!AI81))</f>
        <v>0.3631741928998643</v>
      </c>
      <c r="AJ72" s="68">
        <f>IF(parameters!$C$27="B",'consumption scenario B'!AJ80,IF(parameters!$C$27="C",'consumption scenario C'!AJ80,'consumption scenario A'!AJ81))</f>
        <v>0.36589799934661327</v>
      </c>
      <c r="AK72" s="68">
        <f>IF(parameters!$C$27="B",'consumption scenario B'!AK80,IF(parameters!$C$27="C",'consumption scenario C'!AK80,'consumption scenario A'!AK81))</f>
        <v>0.36856905474184354</v>
      </c>
    </row>
    <row r="73" spans="1:42" s="8" customFormat="1">
      <c r="A73" s="60" t="s">
        <v>28</v>
      </c>
      <c r="B73" s="87">
        <f t="shared" ref="B73:H73" si="8">SUM(B66:B72)</f>
        <v>4.1000000000000005</v>
      </c>
      <c r="C73" s="87">
        <f t="shared" si="8"/>
        <v>5.3</v>
      </c>
      <c r="D73" s="87">
        <f t="shared" si="8"/>
        <v>4.0000000000000009</v>
      </c>
      <c r="E73" s="87">
        <f t="shared" si="8"/>
        <v>3.9</v>
      </c>
      <c r="F73" s="87">
        <f t="shared" si="8"/>
        <v>3.5999999999999996</v>
      </c>
      <c r="G73" s="87">
        <f t="shared" si="8"/>
        <v>3.8</v>
      </c>
      <c r="H73" s="87">
        <f t="shared" si="8"/>
        <v>3.8000000000000003</v>
      </c>
      <c r="I73" s="87">
        <f>SUM(I66:I72)</f>
        <v>3.82</v>
      </c>
      <c r="J73" s="87">
        <f t="shared" ref="J73:AK73" si="9">SUM(J66:J72)</f>
        <v>3.8617767401106704</v>
      </c>
      <c r="K73" s="445">
        <f t="shared" si="9"/>
        <v>3.9079585636726186</v>
      </c>
      <c r="L73" s="445">
        <f t="shared" si="9"/>
        <v>3.962825824179709</v>
      </c>
      <c r="M73" s="372">
        <f t="shared" si="9"/>
        <v>4.0151351250588805</v>
      </c>
      <c r="N73" s="87">
        <f t="shared" si="9"/>
        <v>4.0665288546596345</v>
      </c>
      <c r="O73" s="87">
        <f t="shared" si="9"/>
        <v>4.1149205480300832</v>
      </c>
      <c r="P73" s="87">
        <f t="shared" si="9"/>
        <v>4.1614191502228239</v>
      </c>
      <c r="Q73" s="87">
        <f t="shared" si="9"/>
        <v>4.2063624770452313</v>
      </c>
      <c r="R73" s="87">
        <f t="shared" si="9"/>
        <v>4.2501086468065008</v>
      </c>
      <c r="S73" s="87">
        <f t="shared" si="9"/>
        <v>4.2943097767332876</v>
      </c>
      <c r="T73" s="87">
        <f t="shared" si="9"/>
        <v>4.3385411674336414</v>
      </c>
      <c r="U73" s="87">
        <f t="shared" si="9"/>
        <v>4.3827942873414631</v>
      </c>
      <c r="V73" s="87">
        <f t="shared" si="9"/>
        <v>4.4266222302148792</v>
      </c>
      <c r="W73" s="87">
        <f t="shared" si="9"/>
        <v>4.4700031280709851</v>
      </c>
      <c r="X73" s="87">
        <f t="shared" si="9"/>
        <v>4.5133621584132744</v>
      </c>
      <c r="Y73" s="87">
        <f t="shared" si="9"/>
        <v>4.5562390989181996</v>
      </c>
      <c r="Z73" s="87">
        <f t="shared" si="9"/>
        <v>4.5986121225381389</v>
      </c>
      <c r="AA73" s="87">
        <f t="shared" si="9"/>
        <v>4.6409193540654901</v>
      </c>
      <c r="AB73" s="87">
        <f t="shared" si="9"/>
        <v>4.6822235363166733</v>
      </c>
      <c r="AC73" s="87">
        <f t="shared" si="9"/>
        <v>4.7229588810826284</v>
      </c>
      <c r="AD73" s="87">
        <f t="shared" si="9"/>
        <v>4.7631040315718307</v>
      </c>
      <c r="AE73" s="87">
        <f t="shared" si="9"/>
        <v>4.8026377950338768</v>
      </c>
      <c r="AF73" s="87">
        <f t="shared" si="9"/>
        <v>4.8415391611736514</v>
      </c>
      <c r="AG73" s="87">
        <f t="shared" si="9"/>
        <v>4.8797873205469235</v>
      </c>
      <c r="AH73" s="87">
        <f t="shared" si="9"/>
        <v>4.9173616829151356</v>
      </c>
      <c r="AI73" s="87">
        <f t="shared" si="9"/>
        <v>4.9547336317052908</v>
      </c>
      <c r="AJ73" s="87">
        <f t="shared" si="9"/>
        <v>4.9918941339430809</v>
      </c>
      <c r="AK73" s="87">
        <f t="shared" si="9"/>
        <v>5.0283349611208665</v>
      </c>
    </row>
    <row r="74" spans="1:42" ht="13.5" thickBot="1">
      <c r="A74" s="57"/>
      <c r="B74" s="76"/>
      <c r="C74" s="76"/>
      <c r="D74" s="76"/>
      <c r="E74" s="76"/>
      <c r="F74" s="76"/>
      <c r="G74" s="76"/>
      <c r="H74" s="76"/>
      <c r="I74" s="76"/>
      <c r="J74" s="76"/>
      <c r="K74" s="573"/>
      <c r="L74" s="278"/>
      <c r="M74" s="376"/>
      <c r="N74" s="76"/>
      <c r="O74" s="76"/>
      <c r="P74" s="76"/>
      <c r="Q74" s="76"/>
      <c r="R74" s="76"/>
      <c r="S74" s="76"/>
      <c r="T74" s="76"/>
      <c r="U74" s="76"/>
      <c r="V74" s="76"/>
      <c r="W74" s="76"/>
      <c r="X74" s="76"/>
      <c r="Y74" s="76"/>
      <c r="Z74" s="76"/>
      <c r="AA74" s="76"/>
      <c r="AB74" s="76"/>
      <c r="AC74" s="76"/>
      <c r="AD74" s="76"/>
      <c r="AE74" s="76"/>
      <c r="AF74" s="76"/>
      <c r="AG74" s="76"/>
      <c r="AH74" s="76"/>
      <c r="AI74" s="76"/>
      <c r="AJ74" s="76"/>
      <c r="AK74" s="76"/>
    </row>
    <row r="75" spans="1:42" ht="13.5" thickTop="1">
      <c r="A75" s="57" t="s">
        <v>522</v>
      </c>
      <c r="B75" s="86">
        <f>IF(parameters!$C$25="Yes",B63+B73,B63)</f>
        <v>82.73612947437465</v>
      </c>
      <c r="C75" s="86">
        <f>IF(parameters!$C$25="Yes",C63+C73,C63)</f>
        <v>82.327272524378401</v>
      </c>
      <c r="D75" s="86">
        <f>IF(parameters!$C$25="Yes",D63+D73,D63)</f>
        <v>84.116808356664478</v>
      </c>
      <c r="E75" s="86">
        <f>IF(parameters!$C$25="Yes",E63+E73,E63)</f>
        <v>82.876724056533362</v>
      </c>
      <c r="F75" s="86">
        <f>IF(parameters!$C$25="Yes",F63+F73,F63)</f>
        <v>81.01574438160111</v>
      </c>
      <c r="G75" s="86">
        <f>IF(parameters!$C$25="Yes",G63+G73,G63)</f>
        <v>83.225488148816268</v>
      </c>
      <c r="H75" s="86">
        <f>IF(parameters!$C$25="Yes",H63+H73,H63)</f>
        <v>77.138829752124025</v>
      </c>
      <c r="I75" s="86">
        <f>IF(parameters!$C$25="Yes",I63+I73,I63)</f>
        <v>74.146476973471323</v>
      </c>
      <c r="J75" s="86">
        <f>IF(parameters!$C$25="Yes",J63+J73,J63)</f>
        <v>78.621958546988481</v>
      </c>
      <c r="K75" s="86">
        <f>IF(parameters!$C$25="Yes",K63+K73,K63)</f>
        <v>77.858170035583598</v>
      </c>
      <c r="L75" s="86">
        <f>IF(parameters!$C$25="Yes",L63+L73,L63)</f>
        <v>79.070679331139445</v>
      </c>
      <c r="M75" s="437">
        <f>IF(parameters!$C$25="Yes",M63+M73,M63)</f>
        <v>82.10142459021553</v>
      </c>
      <c r="N75" s="86">
        <f>IF(parameters!$C$25="Yes",N63+N73,N63)</f>
        <v>80.866636140077134</v>
      </c>
      <c r="O75" s="86">
        <f>IF(parameters!$C$25="Yes",O63+O73,O63)</f>
        <v>81.621149486140069</v>
      </c>
      <c r="P75" s="86">
        <f>IF(parameters!$C$25="Yes",P63+P73,P63)</f>
        <v>81.281891537751278</v>
      </c>
      <c r="Q75" s="86">
        <f>IF(parameters!$C$25="Yes",Q63+Q73,Q63)</f>
        <v>79.507027122959371</v>
      </c>
      <c r="R75" s="86">
        <f>IF(parameters!$C$25="Yes",R63+R73,R63)</f>
        <v>78.937282554470841</v>
      </c>
      <c r="S75" s="86">
        <f>IF(parameters!$C$25="Yes",S63+S73,S63)</f>
        <v>78.208454788119823</v>
      </c>
      <c r="T75" s="86">
        <f>IF(parameters!$C$25="Yes",T63+T73,T63)</f>
        <v>76.886382495110979</v>
      </c>
      <c r="U75" s="86">
        <f>IF(parameters!$C$25="Yes",U63+U73,U63)</f>
        <v>76.572416146783468</v>
      </c>
      <c r="V75" s="86">
        <f>IF(parameters!$C$25="Yes",V63+V73,V63)</f>
        <v>76.094845851865415</v>
      </c>
      <c r="W75" s="86">
        <f>IF(parameters!$C$25="Yes",W63+W73,W63)</f>
        <v>74.152373453869473</v>
      </c>
      <c r="X75" s="86">
        <f>IF(parameters!$C$25="Yes",X63+X73,X63)</f>
        <v>73.955059800433787</v>
      </c>
      <c r="Y75" s="86">
        <f>IF(parameters!$C$25="Yes",Y63+Y73,Y63)</f>
        <v>73.822096788982094</v>
      </c>
      <c r="Z75" s="86">
        <f>IF(parameters!$C$25="Yes",Z63+Z73,Z63)</f>
        <v>73.764077928274645</v>
      </c>
      <c r="AA75" s="86">
        <f>IF(parameters!$C$25="Yes",AA63+AA73,AA63)</f>
        <v>73.830168882750996</v>
      </c>
      <c r="AB75" s="86">
        <f>IF(parameters!$C$25="Yes",AB63+AB73,AB63)</f>
        <v>73.974382865246326</v>
      </c>
      <c r="AC75" s="86">
        <f>IF(parameters!$C$25="Yes",AC63+AC73,AC63)</f>
        <v>74.132405597653459</v>
      </c>
      <c r="AD75" s="86">
        <f>IF(parameters!$C$25="Yes",AD63+AD73,AD63)</f>
        <v>74.328415321433667</v>
      </c>
      <c r="AE75" s="86">
        <f>IF(parameters!$C$25="Yes",AE63+AE73,AE63)</f>
        <v>74.591600743189034</v>
      </c>
      <c r="AF75" s="86">
        <f>IF(parameters!$C$25="Yes",AF63+AF73,AF63)</f>
        <v>74.925086570210667</v>
      </c>
      <c r="AG75" s="86">
        <f>IF(parameters!$C$25="Yes",AG63+AG73,AG63)</f>
        <v>75.289550374935857</v>
      </c>
      <c r="AH75" s="86">
        <f>IF(parameters!$C$25="Yes",AH63+AH73,AH63)</f>
        <v>75.593497490026209</v>
      </c>
      <c r="AI75" s="86">
        <f>IF(parameters!$C$25="Yes",AI63+AI73,AI63)</f>
        <v>76.029463832670416</v>
      </c>
      <c r="AJ75" s="86">
        <f>IF(parameters!$C$25="Yes",AJ63+AJ73,AJ63)</f>
        <v>76.448468458436849</v>
      </c>
      <c r="AK75" s="86">
        <f>IF(parameters!$C$25="Yes",AK63+AK73,AK63)</f>
        <v>76.917361919751755</v>
      </c>
    </row>
    <row r="76" spans="1:42">
      <c r="A76" s="57"/>
      <c r="B76" s="76"/>
      <c r="C76" s="76"/>
      <c r="D76" s="76"/>
      <c r="E76" s="76"/>
      <c r="F76" s="76"/>
      <c r="G76" s="76"/>
      <c r="H76" s="76"/>
      <c r="I76" s="76"/>
      <c r="J76" s="76"/>
      <c r="K76" s="76"/>
      <c r="L76" s="278"/>
      <c r="M76" s="376"/>
      <c r="N76" s="76"/>
      <c r="O76" s="76"/>
      <c r="P76" s="76"/>
      <c r="Q76" s="76"/>
      <c r="R76" s="76"/>
      <c r="S76" s="76"/>
      <c r="T76" s="76"/>
      <c r="U76" s="76"/>
      <c r="V76" s="76"/>
      <c r="W76" s="76"/>
      <c r="X76" s="76"/>
      <c r="Y76" s="76"/>
      <c r="Z76" s="76"/>
      <c r="AA76" s="76"/>
      <c r="AB76" s="76"/>
      <c r="AC76" s="76"/>
      <c r="AD76" s="76"/>
      <c r="AE76" s="76"/>
      <c r="AF76" s="76"/>
      <c r="AG76" s="76"/>
      <c r="AH76" s="76"/>
      <c r="AI76" s="76"/>
      <c r="AJ76" s="76"/>
      <c r="AK76" s="76"/>
    </row>
    <row r="77" spans="1:42">
      <c r="A77" s="57" t="s">
        <v>408</v>
      </c>
      <c r="B77" s="76"/>
      <c r="C77" s="76"/>
      <c r="D77" s="76"/>
      <c r="E77" s="76"/>
      <c r="F77" s="76"/>
      <c r="G77" s="76"/>
      <c r="H77" s="76"/>
      <c r="I77" s="76"/>
      <c r="J77" s="76"/>
      <c r="K77" s="76"/>
      <c r="L77" s="278"/>
      <c r="M77" s="376"/>
      <c r="N77" s="76"/>
      <c r="O77" s="76"/>
      <c r="P77" s="76"/>
      <c r="Q77" s="76"/>
      <c r="R77" s="76"/>
      <c r="S77" s="76"/>
      <c r="T77" s="76"/>
      <c r="U77" s="76"/>
      <c r="V77" s="76"/>
      <c r="W77" s="444">
        <f>V78-W78</f>
        <v>2.0480726851396507</v>
      </c>
      <c r="X77" s="76"/>
      <c r="Y77" s="76"/>
      <c r="Z77" s="76"/>
      <c r="AA77" s="76"/>
      <c r="AB77" s="76"/>
      <c r="AC77" s="76"/>
      <c r="AD77" s="76"/>
      <c r="AE77" s="76"/>
      <c r="AF77" s="76"/>
      <c r="AG77" s="76"/>
      <c r="AH77" s="76"/>
      <c r="AI77" s="76"/>
      <c r="AJ77" s="76"/>
      <c r="AK77" s="76"/>
    </row>
    <row r="78" spans="1:42">
      <c r="A78" s="91" t="s">
        <v>372</v>
      </c>
      <c r="B78" s="82">
        <f>'Baseline Consumption'!B87*parameters!$C$36</f>
        <v>14.51152007686812</v>
      </c>
      <c r="C78" s="82">
        <f>'Baseline Consumption'!C87*parameters!$C$36</f>
        <v>13.581648548313529</v>
      </c>
      <c r="D78" s="82">
        <f>'Baseline Consumption'!D87*parameters!$C$36</f>
        <v>14.18449008056788</v>
      </c>
      <c r="E78" s="82">
        <f>'Baseline Consumption'!E87*parameters!$C$36</f>
        <v>14.46579274805306</v>
      </c>
      <c r="F78" s="82">
        <f>'Baseline Consumption'!F87*parameters!$C$36</f>
        <v>14.68784589811551</v>
      </c>
      <c r="G78" s="82">
        <f>'Baseline Consumption'!G87*parameters!$C$36</f>
        <v>16.06283516238333</v>
      </c>
      <c r="H78" s="82">
        <f>'Baseline Consumption'!H87*parameters!$C$36</f>
        <v>13.126073533405556</v>
      </c>
      <c r="I78" s="82">
        <f>'Baseline Consumption'!I87*parameters!$C$36</f>
        <v>12.303862998019888</v>
      </c>
      <c r="J78" s="82">
        <f>'Baseline Consumption'!J87*parameters!$C$36</f>
        <v>13.881437161277097</v>
      </c>
      <c r="K78" s="82">
        <f>'Baseline Consumption'!K87*parameters!$C$36</f>
        <v>14.331234818156114</v>
      </c>
      <c r="L78" s="542">
        <f>'Baseline Consumption'!L87*parameters!$C$36</f>
        <v>15.114787374295162</v>
      </c>
      <c r="M78" s="541">
        <f>'Baseline Consumption'!M87*parameters!$C$36</f>
        <v>13.383625762565352</v>
      </c>
      <c r="N78" s="82">
        <f>'Baseline Consumption'!N87*parameters!$C$36</f>
        <v>11.483136082642806</v>
      </c>
      <c r="O78" s="82">
        <f>'Baseline Consumption'!O87*parameters!$C$36</f>
        <v>11.035949574055769</v>
      </c>
      <c r="P78" s="82">
        <f>'Baseline Consumption'!P87*parameters!$C$36</f>
        <v>10.523092793741283</v>
      </c>
      <c r="Q78" s="82">
        <f>'Baseline Consumption'!Q87*parameters!$C$36</f>
        <v>9.9901409582619554</v>
      </c>
      <c r="R78" s="82">
        <f>'Baseline Consumption'!R87*parameters!$C$36</f>
        <v>7.9127437854978604</v>
      </c>
      <c r="S78" s="82">
        <f>'Baseline Consumption'!S87*parameters!$C$36</f>
        <v>7.6745648715372701</v>
      </c>
      <c r="T78" s="82">
        <f>'Baseline Consumption'!T87*parameters!$C$36</f>
        <v>6.3884962775168219</v>
      </c>
      <c r="U78" s="82">
        <f>'Baseline Consumption'!U87*parameters!$C$36</f>
        <v>6.1566435513140654</v>
      </c>
      <c r="V78" s="82">
        <f>'Baseline Consumption'!V87*parameters!$C$36</f>
        <v>5.9336030359465308</v>
      </c>
      <c r="W78" s="82">
        <f>'Baseline Consumption'!W87*parameters!$C$36</f>
        <v>3.8855303508068801</v>
      </c>
      <c r="X78" s="82">
        <f>'Baseline Consumption'!X87*parameters!$C$36</f>
        <v>3.8389899809189023</v>
      </c>
      <c r="Y78" s="82">
        <f>'Baseline Consumption'!Y87*parameters!$C$36</f>
        <v>3.807676391430308</v>
      </c>
      <c r="Z78" s="82">
        <f>'Baseline Consumption'!Z87*parameters!$C$36</f>
        <v>3.8215116504058795</v>
      </c>
      <c r="AA78" s="82">
        <f>'Baseline Consumption'!AA87*parameters!$C$36</f>
        <v>3.8889725549602638</v>
      </c>
      <c r="AB78" s="82">
        <f>'Baseline Consumption'!AB87*parameters!$C$36</f>
        <v>3.9469579630489573</v>
      </c>
      <c r="AC78" s="82">
        <f>'Baseline Consumption'!AC87*parameters!$C$36</f>
        <v>4.0376393613756276</v>
      </c>
      <c r="AD78" s="82">
        <f>'Baseline Consumption'!AD87*parameters!$C$36</f>
        <v>4.1327792931723355</v>
      </c>
      <c r="AE78" s="82">
        <f>'Baseline Consumption'!AE87*parameters!$C$36</f>
        <v>4.2325506653275351</v>
      </c>
      <c r="AF78" s="82">
        <f>'Baseline Consumption'!AF87*parameters!$C$36</f>
        <v>4.3380636823656786</v>
      </c>
      <c r="AG78" s="82">
        <f>'Baseline Consumption'!AG87*parameters!$C$36</f>
        <v>4.4308864654011186</v>
      </c>
      <c r="AH78" s="82">
        <f>'Baseline Consumption'!AH87*parameters!$C$36</f>
        <v>4.528642305455433</v>
      </c>
      <c r="AI78" s="82">
        <f>'Baseline Consumption'!AI87*parameters!$C$36</f>
        <v>4.6264657615695874</v>
      </c>
      <c r="AJ78" s="82">
        <f>'Baseline Consumption'!AJ87*parameters!$C$36</f>
        <v>4.7243483740164276</v>
      </c>
      <c r="AK78" s="82">
        <f>'Baseline Consumption'!AK87*parameters!$C$36</f>
        <v>4.8222139449197865</v>
      </c>
    </row>
    <row r="79" spans="1:42">
      <c r="A79" s="91" t="s">
        <v>422</v>
      </c>
      <c r="B79" s="82">
        <f>'Baseline Consumption'!B88*parameters!$C$34</f>
        <v>2.4018974557436588</v>
      </c>
      <c r="C79" s="82">
        <f>'Baseline Consumption'!C88*parameters!$C$34</f>
        <v>1.9905216366883123</v>
      </c>
      <c r="D79" s="82">
        <f>'Baseline Consumption'!D88*parameters!$C$34</f>
        <v>2.7286390903137789</v>
      </c>
      <c r="E79" s="82">
        <f>'Baseline Consumption'!E88*parameters!$C$34</f>
        <v>3.1860482011845792</v>
      </c>
      <c r="F79" s="82">
        <f>'Baseline Consumption'!F88*parameters!$C$34</f>
        <v>4.3848159461134832</v>
      </c>
      <c r="G79" s="82">
        <f>'Baseline Consumption'!G88*parameters!$C$34</f>
        <v>4.6438305899679895</v>
      </c>
      <c r="H79" s="82">
        <f>'Baseline Consumption'!H88*parameters!$C$34</f>
        <v>2.5291937389250139</v>
      </c>
      <c r="I79" s="82">
        <f>'Baseline Consumption'!I88*parameters!$C$34</f>
        <v>3.0209373981904672</v>
      </c>
      <c r="J79" s="82">
        <f>'Baseline Consumption'!J88*parameters!$C$34</f>
        <v>4.7312823378501303</v>
      </c>
      <c r="K79" s="82">
        <f>'Baseline Consumption'!K88*parameters!$C$34</f>
        <v>4.1208367325027266</v>
      </c>
      <c r="L79" s="542">
        <f>'Baseline Consumption'!L88*parameters!$C$34</f>
        <v>4.8464243126460778</v>
      </c>
      <c r="M79" s="541">
        <f>'Baseline Consumption'!M88*parameters!$C$34</f>
        <v>3.9932925650533675</v>
      </c>
      <c r="N79" s="82">
        <f>'Baseline Consumption'!N88*parameters!$C$34</f>
        <v>3.8026443253497866</v>
      </c>
      <c r="O79" s="82">
        <f>'Baseline Consumption'!O88*parameters!$C$34</f>
        <v>3.8222663336160401</v>
      </c>
      <c r="P79" s="82">
        <f>'Baseline Consumption'!P88*parameters!$C$34</f>
        <v>3.8113144804938366</v>
      </c>
      <c r="Q79" s="82">
        <f>'Baseline Consumption'!Q88*parameters!$C$34</f>
        <v>3.7925083998052918</v>
      </c>
      <c r="R79" s="82">
        <f>'Baseline Consumption'!R88*parameters!$C$34</f>
        <v>4.3539246668519986</v>
      </c>
      <c r="S79" s="82">
        <f>'Baseline Consumption'!S88*parameters!$C$34</f>
        <v>4.4523612086942377</v>
      </c>
      <c r="T79" s="82">
        <f>'Baseline Consumption'!T88*parameters!$C$34</f>
        <v>4.8106743230248057</v>
      </c>
      <c r="U79" s="82">
        <f>'Baseline Consumption'!U88*parameters!$C$34</f>
        <v>4.9035595879488652</v>
      </c>
      <c r="V79" s="82">
        <f>'Baseline Consumption'!V88*parameters!$C$34</f>
        <v>4.9980394397985304</v>
      </c>
      <c r="W79" s="82">
        <f>'Baseline Consumption'!W88*parameters!$C$34</f>
        <v>5.5463345223685243</v>
      </c>
      <c r="X79" s="82">
        <f>'Baseline Consumption'!X88*parameters!$C$34</f>
        <v>5.5110721158092995</v>
      </c>
      <c r="Y79" s="82">
        <f>'Baseline Consumption'!Y88*parameters!$C$34</f>
        <v>5.4839817806042426</v>
      </c>
      <c r="Z79" s="82">
        <f>'Baseline Consumption'!Z88*parameters!$C$34</f>
        <v>5.4799112918028436</v>
      </c>
      <c r="AA79" s="82">
        <f>'Baseline Consumption'!AA88*parameters!$C$34</f>
        <v>5.5028233461426961</v>
      </c>
      <c r="AB79" s="82">
        <f>'Baseline Consumption'!AB88*parameters!$C$34</f>
        <v>5.5206966647085736</v>
      </c>
      <c r="AC79" s="82">
        <f>'Baseline Consumption'!AC88*parameters!$C$34</f>
        <v>5.5549749643111435</v>
      </c>
      <c r="AD79" s="82">
        <f>'Baseline Consumption'!AD88*parameters!$C$34</f>
        <v>5.5914107428322479</v>
      </c>
      <c r="AE79" s="82">
        <f>'Baseline Consumption'!AE88*parameters!$C$34</f>
        <v>5.6299097680122054</v>
      </c>
      <c r="AF79" s="82">
        <f>'Baseline Consumption'!AF88*parameters!$C$34</f>
        <v>5.671062428216965</v>
      </c>
      <c r="AG79" s="82">
        <f>'Baseline Consumption'!AG88*parameters!$C$34</f>
        <v>5.7057175685745314</v>
      </c>
      <c r="AH79" s="82">
        <f>'Baseline Consumption'!AH88*parameters!$C$34</f>
        <v>5.7426856584361863</v>
      </c>
      <c r="AI79" s="82">
        <f>'Baseline Consumption'!AI88*parameters!$C$34</f>
        <v>5.7794830530681249</v>
      </c>
      <c r="AJ79" s="82">
        <f>'Baseline Consumption'!AJ88*parameters!$C$34</f>
        <v>5.816110287378903</v>
      </c>
      <c r="AK79" s="82">
        <f>'Baseline Consumption'!AK88*parameters!$C$34</f>
        <v>5.8525678948202273</v>
      </c>
    </row>
    <row r="80" spans="1:42">
      <c r="A80" s="91" t="s">
        <v>423</v>
      </c>
      <c r="B80" s="82">
        <f>'Baseline Consumption'!B89*parameters!$C$34</f>
        <v>1.2000117331503617</v>
      </c>
      <c r="C80" s="444">
        <f>'Baseline Consumption'!C89*parameters!$C$34</f>
        <v>1.2093711904007391</v>
      </c>
      <c r="D80" s="444">
        <f>'Baseline Consumption'!D89*parameters!$C$34</f>
        <v>0.93400268918853202</v>
      </c>
      <c r="E80" s="444">
        <f>'Baseline Consumption'!E89*parameters!$C$34</f>
        <v>0.7054296585901163</v>
      </c>
      <c r="F80" s="444">
        <f>'Baseline Consumption'!F89*parameters!$C$34</f>
        <v>0.82049543831110883</v>
      </c>
      <c r="G80" s="444">
        <f>'Baseline Consumption'!G89*parameters!$C$34</f>
        <v>0.7676263556728472</v>
      </c>
      <c r="H80" s="444">
        <f>'Baseline Consumption'!H89*parameters!$C$34</f>
        <v>0.58691312346849267</v>
      </c>
      <c r="I80" s="444">
        <f>'Baseline Consumption'!I89*parameters!$C$34</f>
        <v>0.21142550744162322</v>
      </c>
      <c r="J80" s="444">
        <f>'Baseline Consumption'!J89*parameters!$C$34</f>
        <v>0.49244434081396232</v>
      </c>
      <c r="K80" s="444">
        <f>'Baseline Consumption'!K89*parameters!$C$34</f>
        <v>0.4116606901861295</v>
      </c>
      <c r="L80" s="444">
        <f>'Baseline Consumption'!L89*parameters!$C$34</f>
        <v>0.39181786752732845</v>
      </c>
      <c r="M80" s="541">
        <f>'Baseline Consumption'!M89*parameters!$C$34</f>
        <v>0.38534681454779718</v>
      </c>
      <c r="N80" s="444">
        <f>'Baseline Consumption'!N89*parameters!$C$34</f>
        <v>0.44453719343516551</v>
      </c>
      <c r="O80" s="444">
        <f>'Baseline Consumption'!O89*parameters!$C$34</f>
        <v>0.44449628038507655</v>
      </c>
      <c r="P80" s="444">
        <f>'Baseline Consumption'!P89*parameters!$C$34</f>
        <v>0.44091880028555247</v>
      </c>
      <c r="Q80" s="444">
        <f>'Baseline Consumption'!Q89*parameters!$C$34</f>
        <v>0.43647438754500423</v>
      </c>
      <c r="R80" s="444">
        <f>'Baseline Consumption'!R89*parameters!$C$34</f>
        <v>0.43224960616885089</v>
      </c>
      <c r="S80" s="444">
        <f>'Baseline Consumption'!S89*parameters!$C$34</f>
        <v>0.42794966861704259</v>
      </c>
      <c r="T80" s="444">
        <f>'Baseline Consumption'!T89*parameters!$C$34</f>
        <v>0.42367414216211435</v>
      </c>
      <c r="U80" s="444">
        <f>'Baseline Consumption'!U89*parameters!$C$34</f>
        <v>0.41942556149887356</v>
      </c>
      <c r="V80" s="444">
        <f>'Baseline Consumption'!V89*parameters!$C$34</f>
        <v>0.41559763812351269</v>
      </c>
      <c r="W80" s="444">
        <f>'Baseline Consumption'!W89*parameters!$C$34</f>
        <v>0.41197835431363772</v>
      </c>
      <c r="X80" s="444">
        <f>'Baseline Consumption'!X89*parameters!$C$34</f>
        <v>0.40887964519748393</v>
      </c>
      <c r="Y80" s="444">
        <f>'Baseline Consumption'!Y89*parameters!$C$34</f>
        <v>0.40654961643872933</v>
      </c>
      <c r="Z80" s="444">
        <f>'Baseline Consumption'!Z89*parameters!$C$34</f>
        <v>0.40638567805446796</v>
      </c>
      <c r="AA80" s="444">
        <f>'Baseline Consumption'!AA89*parameters!$C$34</f>
        <v>0.40876078300578245</v>
      </c>
      <c r="AB80" s="444">
        <f>'Baseline Consumption'!AB89*parameters!$C$34</f>
        <v>0.41066122623804419</v>
      </c>
      <c r="AC80" s="444">
        <f>'Baseline Consumption'!AC89*parameters!$C$34</f>
        <v>0.41410519961443709</v>
      </c>
      <c r="AD80" s="444">
        <f>'Baseline Consumption'!AD89*parameters!$C$34</f>
        <v>0.41775178999423157</v>
      </c>
      <c r="AE80" s="444">
        <f>'Baseline Consumption'!AE89*parameters!$C$34</f>
        <v>0.42159212951122538</v>
      </c>
      <c r="AF80" s="444">
        <f>'Baseline Consumption'!AF89*parameters!$C$34</f>
        <v>0.42568178386508909</v>
      </c>
      <c r="AG80" s="444">
        <f>'Baseline Consumption'!AG89*parameters!$C$34</f>
        <v>0.42915948633386286</v>
      </c>
      <c r="AH80" s="444">
        <f>'Baseline Consumption'!AH89*parameters!$C$34</f>
        <v>0.43285444150825841</v>
      </c>
      <c r="AI80" s="444">
        <f>'Baseline Consumption'!AI89*parameters!$C$34</f>
        <v>0.43653290022401159</v>
      </c>
      <c r="AJ80" s="444">
        <f>'Baseline Consumption'!AJ89*parameters!$C$34</f>
        <v>0.44019491368713559</v>
      </c>
      <c r="AK80" s="444">
        <f>'Baseline Consumption'!AK89*parameters!$C$34</f>
        <v>0.44384053296480647</v>
      </c>
    </row>
    <row r="81" spans="1:37">
      <c r="A81" s="91" t="s">
        <v>424</v>
      </c>
      <c r="B81" s="82">
        <f>'Baseline Consumption'!B90*parameters!$C$37</f>
        <v>3.4195903894384226E-2</v>
      </c>
      <c r="C81" s="82">
        <f>'Baseline Consumption'!C90*parameters!$C$37</f>
        <v>4.7859000579291835E-2</v>
      </c>
      <c r="D81" s="82">
        <f>'Baseline Consumption'!D90*parameters!$C$37</f>
        <v>5.3111390473294912E-2</v>
      </c>
      <c r="E81" s="82">
        <f>'Baseline Consumption'!E90*parameters!$C$37</f>
        <v>5.5167290210146387E-2</v>
      </c>
      <c r="F81" s="82">
        <f>'Baseline Consumption'!F90*parameters!$C$37</f>
        <v>7.6527700286621286E-2</v>
      </c>
      <c r="G81" s="82">
        <f>'Baseline Consumption'!G90*parameters!$C$37</f>
        <v>6.6736521630500201E-2</v>
      </c>
      <c r="H81" s="82">
        <f>'Baseline Consumption'!H90*parameters!$C$37</f>
        <v>5.5853497723345587E-2</v>
      </c>
      <c r="I81" s="82">
        <f>'Baseline Consumption'!I90*parameters!$C$37</f>
        <v>5.5348023693904264E-2</v>
      </c>
      <c r="J81" s="82">
        <f>'Baseline Consumption'!J90*parameters!$C$37</f>
        <v>5.2487302095762321E-2</v>
      </c>
      <c r="K81" s="82">
        <f>'Baseline Consumption'!K90*parameters!$C$37</f>
        <v>4.8839128044667404E-2</v>
      </c>
      <c r="L81" s="542">
        <f>'Baseline Consumption'!L90*parameters!$C$37</f>
        <v>3.9273132072840174E-2</v>
      </c>
      <c r="M81" s="541">
        <f>'Baseline Consumption'!M90*parameters!$C$37</f>
        <v>5.1089875623550329E-2</v>
      </c>
      <c r="N81" s="82">
        <f>'Baseline Consumption'!N90*parameters!$C$37</f>
        <v>3.761262540442184E-2</v>
      </c>
      <c r="O81" s="82">
        <f>'Baseline Consumption'!O90*parameters!$C$37</f>
        <v>3.4811962213959817E-2</v>
      </c>
      <c r="P81" s="82">
        <f>'Baseline Consumption'!P90*parameters!$C$37</f>
        <v>3.1995518626346857E-2</v>
      </c>
      <c r="Q81" s="82">
        <f>'Baseline Consumption'!Q90*parameters!$C$37</f>
        <v>2.8960252101921949E-2</v>
      </c>
      <c r="R81" s="82">
        <f>'Baseline Consumption'!R90*parameters!$C$37</f>
        <v>2.608975544469417E-2</v>
      </c>
      <c r="S81" s="82">
        <f>'Baseline Consumption'!S90*parameters!$C$37</f>
        <v>2.3270371715404446E-2</v>
      </c>
      <c r="T81" s="82">
        <f>'Baseline Consumption'!T90*parameters!$C$37</f>
        <v>2.0502178396677621E-2</v>
      </c>
      <c r="U81" s="82">
        <f>'Baseline Consumption'!U90*parameters!$C$37</f>
        <v>1.7803612984596196E-2</v>
      </c>
      <c r="V81" s="82">
        <f>'Baseline Consumption'!V90*parameters!$C$37</f>
        <v>1.5160449947254505E-2</v>
      </c>
      <c r="W81" s="82">
        <f>'Baseline Consumption'!W90*parameters!$C$37</f>
        <v>1.2596240489944923E-2</v>
      </c>
      <c r="X81" s="82">
        <f>'Baseline Consumption'!X90*parameters!$C$37</f>
        <v>1.2479182529149022E-2</v>
      </c>
      <c r="Y81" s="82">
        <f>'Baseline Consumption'!Y90*parameters!$C$37</f>
        <v>1.238584984925822E-2</v>
      </c>
      <c r="Z81" s="82">
        <f>'Baseline Consumption'!Z90*parameters!$C$37</f>
        <v>1.2359257802801338E-2</v>
      </c>
      <c r="AA81" s="82">
        <f>'Baseline Consumption'!AA90*parameters!$C$37</f>
        <v>1.2409082840121986E-2</v>
      </c>
      <c r="AB81" s="82">
        <f>'Baseline Consumption'!AB90*parameters!$C$37</f>
        <v>1.2446257887081532E-2</v>
      </c>
      <c r="AC81" s="82">
        <f>'Baseline Consumption'!AC90*parameters!$C$37</f>
        <v>1.2526952917668539E-2</v>
      </c>
      <c r="AD81" s="82">
        <f>'Baseline Consumption'!AD90*parameters!$C$37</f>
        <v>1.2614655134520293E-2</v>
      </c>
      <c r="AE81" s="82">
        <f>'Baseline Consumption'!AE90*parameters!$C$37</f>
        <v>1.2707666873990565E-2</v>
      </c>
      <c r="AF81" s="82">
        <f>'Baseline Consumption'!AF90*parameters!$C$37</f>
        <v>1.2807475578768003E-2</v>
      </c>
      <c r="AG81" s="82">
        <f>'Baseline Consumption'!AG90*parameters!$C$37</f>
        <v>1.28883048674248E-2</v>
      </c>
      <c r="AH81" s="82">
        <f>'Baseline Consumption'!AH90*parameters!$C$37</f>
        <v>1.2974787316746693E-2</v>
      </c>
      <c r="AI81" s="82">
        <f>'Baseline Consumption'!AI90*parameters!$C$37</f>
        <v>1.3060763549111445E-2</v>
      </c>
      <c r="AJ81" s="82">
        <f>'Baseline Consumption'!AJ90*parameters!$C$37</f>
        <v>1.3145388370184434E-2</v>
      </c>
      <c r="AK81" s="82">
        <f>'Baseline Consumption'!AK90*parameters!$C$37</f>
        <v>1.3228946628675761E-2</v>
      </c>
    </row>
    <row r="82" spans="1:37">
      <c r="A82" s="91" t="s">
        <v>425</v>
      </c>
      <c r="B82" s="82"/>
      <c r="C82" s="82"/>
      <c r="D82" s="82"/>
      <c r="E82" s="82"/>
      <c r="F82" s="82"/>
      <c r="G82" s="82"/>
      <c r="H82" s="82"/>
      <c r="I82" s="82"/>
      <c r="J82" s="82"/>
      <c r="K82" s="82"/>
      <c r="L82" s="14"/>
      <c r="M82" s="541"/>
      <c r="N82" s="82"/>
      <c r="O82" s="82"/>
      <c r="P82" s="82"/>
      <c r="Q82" s="82"/>
      <c r="R82" s="82"/>
      <c r="S82" s="82"/>
      <c r="T82" s="82"/>
      <c r="U82" s="82"/>
      <c r="V82" s="82"/>
      <c r="W82" s="82"/>
      <c r="X82" s="82"/>
      <c r="Y82" s="82"/>
      <c r="Z82" s="82"/>
      <c r="AA82" s="82"/>
      <c r="AB82" s="82"/>
      <c r="AC82" s="82"/>
      <c r="AD82" s="82"/>
      <c r="AE82" s="82"/>
      <c r="AF82" s="82"/>
      <c r="AG82" s="82"/>
      <c r="AH82" s="82"/>
      <c r="AI82" s="82"/>
      <c r="AJ82" s="82"/>
      <c r="AK82" s="82"/>
    </row>
    <row r="83" spans="1:37">
      <c r="A83" s="91" t="s">
        <v>249</v>
      </c>
      <c r="B83" s="82"/>
      <c r="C83" s="82"/>
      <c r="D83" s="82"/>
      <c r="E83" s="82"/>
      <c r="F83" s="82"/>
      <c r="G83" s="82"/>
      <c r="H83" s="82"/>
      <c r="I83" s="82"/>
      <c r="J83" s="82"/>
      <c r="K83" s="82"/>
      <c r="L83" s="2"/>
      <c r="M83" s="541"/>
      <c r="N83" s="82"/>
      <c r="O83" s="82"/>
      <c r="P83" s="82"/>
      <c r="Q83" s="82"/>
      <c r="R83" s="82"/>
      <c r="S83" s="82"/>
      <c r="T83" s="82"/>
      <c r="U83" s="82"/>
      <c r="V83" s="82"/>
      <c r="W83" s="82"/>
      <c r="X83" s="82"/>
      <c r="Y83" s="82"/>
      <c r="Z83" s="82"/>
      <c r="AA83" s="82"/>
      <c r="AB83" s="82"/>
      <c r="AC83" s="82"/>
      <c r="AD83" s="82"/>
      <c r="AE83" s="82"/>
      <c r="AF83" s="82"/>
      <c r="AG83" s="82"/>
      <c r="AH83" s="82"/>
      <c r="AI83" s="82"/>
      <c r="AJ83" s="82"/>
      <c r="AK83" s="82"/>
    </row>
    <row r="84" spans="1:37">
      <c r="A84" s="91" t="s">
        <v>426</v>
      </c>
      <c r="B84" s="82"/>
      <c r="C84" s="82"/>
      <c r="D84" s="82"/>
      <c r="E84" s="82"/>
      <c r="F84" s="82"/>
      <c r="G84" s="82"/>
      <c r="H84" s="82"/>
      <c r="I84" s="82"/>
      <c r="J84" s="82"/>
      <c r="K84" s="82"/>
      <c r="L84" s="542"/>
      <c r="M84" s="541"/>
      <c r="N84" s="82"/>
      <c r="O84" s="82"/>
      <c r="P84" s="82"/>
      <c r="Q84" s="82"/>
      <c r="R84" s="82"/>
      <c r="S84" s="82"/>
      <c r="T84" s="82"/>
      <c r="U84" s="82"/>
      <c r="V84" s="82"/>
      <c r="W84" s="82"/>
      <c r="X84" s="82"/>
      <c r="Y84" s="82"/>
      <c r="Z84" s="82"/>
      <c r="AA84" s="82"/>
      <c r="AB84" s="82"/>
      <c r="AC84" s="82"/>
      <c r="AD84" s="82"/>
      <c r="AE84" s="82"/>
      <c r="AF84" s="82"/>
      <c r="AG84" s="82"/>
      <c r="AH84" s="82"/>
      <c r="AI84" s="82"/>
      <c r="AJ84" s="82"/>
      <c r="AK84" s="82"/>
    </row>
    <row r="85" spans="1:37">
      <c r="A85" s="91" t="s">
        <v>427</v>
      </c>
      <c r="B85" s="82"/>
      <c r="C85" s="82"/>
      <c r="D85" s="82"/>
      <c r="E85" s="82"/>
      <c r="F85" s="82"/>
      <c r="G85" s="82"/>
      <c r="H85" s="82"/>
      <c r="I85" s="82"/>
      <c r="J85" s="82"/>
      <c r="K85" s="82"/>
      <c r="L85" s="542"/>
      <c r="M85" s="541"/>
      <c r="N85" s="82"/>
      <c r="O85" s="82"/>
      <c r="P85" s="82"/>
      <c r="Q85" s="82"/>
      <c r="R85" s="82"/>
      <c r="S85" s="82"/>
      <c r="T85" s="82"/>
      <c r="U85" s="82"/>
      <c r="V85" s="82"/>
      <c r="W85" s="82"/>
      <c r="X85" s="82"/>
      <c r="Y85" s="82"/>
      <c r="Z85" s="82"/>
      <c r="AA85" s="82"/>
      <c r="AB85" s="82"/>
      <c r="AC85" s="82"/>
      <c r="AD85" s="82"/>
      <c r="AE85" s="82"/>
      <c r="AF85" s="82"/>
      <c r="AG85" s="82"/>
      <c r="AH85" s="82"/>
      <c r="AI85" s="82"/>
      <c r="AJ85" s="82"/>
      <c r="AK85" s="82"/>
    </row>
    <row r="86" spans="1:37">
      <c r="A86" s="91" t="s">
        <v>428</v>
      </c>
      <c r="B86" s="82"/>
      <c r="C86" s="82"/>
      <c r="D86" s="82"/>
      <c r="E86" s="82"/>
      <c r="F86" s="82"/>
      <c r="G86" s="82"/>
      <c r="H86" s="82"/>
      <c r="I86" s="82"/>
      <c r="J86" s="82"/>
      <c r="K86" s="82"/>
      <c r="L86" s="542"/>
      <c r="M86" s="541"/>
      <c r="N86" s="82"/>
      <c r="O86" s="82"/>
      <c r="P86" s="82"/>
      <c r="Q86" s="82"/>
      <c r="R86" s="82"/>
      <c r="S86" s="82"/>
      <c r="T86" s="82"/>
      <c r="U86" s="82"/>
      <c r="V86" s="82"/>
      <c r="W86" s="82"/>
      <c r="X86" s="82"/>
      <c r="Y86" s="82"/>
      <c r="Z86" s="82"/>
      <c r="AA86" s="82"/>
      <c r="AB86" s="82"/>
      <c r="AC86" s="82"/>
      <c r="AD86" s="82"/>
      <c r="AE86" s="82"/>
      <c r="AF86" s="82"/>
      <c r="AG86" s="82"/>
      <c r="AH86" s="82"/>
      <c r="AI86" s="82"/>
      <c r="AJ86" s="82"/>
      <c r="AK86" s="82"/>
    </row>
    <row r="87" spans="1:37">
      <c r="A87" s="91" t="s">
        <v>255</v>
      </c>
      <c r="B87" s="82"/>
      <c r="C87" s="82"/>
      <c r="D87" s="82"/>
      <c r="E87" s="82"/>
      <c r="F87" s="82"/>
      <c r="G87" s="82"/>
      <c r="H87" s="82"/>
      <c r="I87" s="82"/>
      <c r="J87" s="82"/>
      <c r="K87" s="82"/>
      <c r="L87" s="542"/>
      <c r="M87" s="541"/>
      <c r="N87" s="82"/>
      <c r="O87" s="82"/>
      <c r="P87" s="82"/>
      <c r="Q87" s="82"/>
      <c r="R87" s="82"/>
      <c r="S87" s="82"/>
      <c r="T87" s="82"/>
      <c r="U87" s="82"/>
      <c r="V87" s="82"/>
      <c r="W87" s="82"/>
      <c r="X87" s="82"/>
      <c r="Y87" s="82"/>
      <c r="Z87" s="82"/>
      <c r="AA87" s="82"/>
      <c r="AB87" s="82"/>
      <c r="AC87" s="82"/>
      <c r="AD87" s="82"/>
      <c r="AE87" s="82"/>
      <c r="AF87" s="82"/>
      <c r="AG87" s="82"/>
      <c r="AH87" s="82"/>
      <c r="AI87" s="82"/>
      <c r="AJ87" s="82"/>
      <c r="AK87" s="82"/>
    </row>
    <row r="88" spans="1:37">
      <c r="A88" s="91" t="s">
        <v>374</v>
      </c>
      <c r="B88" s="82"/>
      <c r="C88" s="82"/>
      <c r="D88" s="82"/>
      <c r="E88" s="82"/>
      <c r="F88" s="82"/>
      <c r="G88" s="82"/>
      <c r="H88" s="82"/>
      <c r="I88" s="82"/>
      <c r="J88" s="82"/>
      <c r="K88" s="82"/>
      <c r="L88" s="542"/>
      <c r="M88" s="541"/>
      <c r="N88" s="82"/>
      <c r="O88" s="82"/>
      <c r="P88" s="82"/>
      <c r="Q88" s="82"/>
      <c r="R88" s="82"/>
      <c r="S88" s="82"/>
      <c r="T88" s="82"/>
      <c r="U88" s="82"/>
      <c r="V88" s="82"/>
      <c r="W88" s="82"/>
      <c r="X88" s="82"/>
      <c r="Y88" s="82"/>
      <c r="Z88" s="82"/>
      <c r="AA88" s="82"/>
      <c r="AB88" s="82"/>
      <c r="AC88" s="82"/>
      <c r="AD88" s="82"/>
      <c r="AE88" s="82"/>
      <c r="AF88" s="82"/>
      <c r="AG88" s="82"/>
      <c r="AH88" s="82"/>
      <c r="AI88" s="82"/>
      <c r="AJ88" s="82"/>
      <c r="AK88" s="82"/>
    </row>
    <row r="89" spans="1:37">
      <c r="A89" s="91" t="s">
        <v>373</v>
      </c>
      <c r="B89" s="82"/>
      <c r="C89" s="82"/>
      <c r="D89" s="82"/>
      <c r="E89" s="82"/>
      <c r="F89" s="82"/>
      <c r="G89" s="82"/>
      <c r="H89" s="82"/>
      <c r="I89" s="82"/>
      <c r="J89" s="82"/>
      <c r="K89" s="82"/>
      <c r="L89" s="542"/>
      <c r="M89" s="541"/>
      <c r="N89" s="82"/>
      <c r="O89" s="82"/>
      <c r="P89" s="82"/>
      <c r="Q89" s="82"/>
      <c r="R89" s="82"/>
      <c r="S89" s="82"/>
      <c r="T89" s="82"/>
      <c r="U89" s="82"/>
      <c r="V89" s="82"/>
      <c r="W89" s="82"/>
      <c r="X89" s="82"/>
      <c r="Y89" s="82"/>
      <c r="Z89" s="82"/>
      <c r="AA89" s="82"/>
      <c r="AB89" s="82"/>
      <c r="AC89" s="82"/>
      <c r="AD89" s="82"/>
      <c r="AE89" s="82"/>
      <c r="AF89" s="82"/>
      <c r="AG89" s="82"/>
      <c r="AH89" s="82"/>
      <c r="AI89" s="82"/>
      <c r="AJ89" s="82"/>
      <c r="AK89" s="82"/>
    </row>
    <row r="90" spans="1:37">
      <c r="A90" s="91" t="s">
        <v>375</v>
      </c>
      <c r="B90" s="82"/>
      <c r="C90" s="82"/>
      <c r="D90" s="82"/>
      <c r="E90" s="82"/>
      <c r="F90" s="82"/>
      <c r="G90" s="82"/>
      <c r="H90" s="82"/>
      <c r="I90" s="82"/>
      <c r="J90" s="82"/>
      <c r="K90" s="82"/>
      <c r="L90" s="753"/>
      <c r="M90" s="754"/>
      <c r="N90" s="82"/>
      <c r="O90" s="82"/>
      <c r="P90" s="82"/>
      <c r="Q90" s="82"/>
      <c r="R90" s="82"/>
      <c r="S90" s="82"/>
      <c r="T90" s="82"/>
      <c r="U90" s="82"/>
      <c r="V90" s="82"/>
      <c r="W90" s="82"/>
      <c r="X90" s="82"/>
      <c r="Y90" s="82"/>
      <c r="Z90" s="82"/>
      <c r="AA90" s="82"/>
      <c r="AB90" s="82"/>
      <c r="AC90" s="82"/>
      <c r="AD90" s="82"/>
      <c r="AE90" s="82"/>
      <c r="AF90" s="82"/>
      <c r="AG90" s="82"/>
      <c r="AH90" s="82"/>
      <c r="AI90" s="82"/>
      <c r="AJ90" s="82"/>
      <c r="AK90" s="82"/>
    </row>
    <row r="91" spans="1:37" s="7" customFormat="1">
      <c r="A91" s="50" t="s">
        <v>42</v>
      </c>
      <c r="B91" s="87">
        <f t="shared" ref="B91:AK91" si="10">SUM(B78:B90)</f>
        <v>18.147625169656525</v>
      </c>
      <c r="C91" s="87">
        <f t="shared" si="10"/>
        <v>16.829400375981869</v>
      </c>
      <c r="D91" s="87">
        <f t="shared" si="10"/>
        <v>17.900243250543486</v>
      </c>
      <c r="E91" s="87">
        <f t="shared" si="10"/>
        <v>18.412437898037901</v>
      </c>
      <c r="F91" s="87">
        <f t="shared" si="10"/>
        <v>19.969684982826724</v>
      </c>
      <c r="G91" s="87">
        <f t="shared" si="10"/>
        <v>21.541028629654665</v>
      </c>
      <c r="H91" s="87">
        <f t="shared" si="10"/>
        <v>16.298033893522405</v>
      </c>
      <c r="I91" s="87">
        <f t="shared" si="10"/>
        <v>15.591573927345882</v>
      </c>
      <c r="J91" s="87">
        <f t="shared" si="10"/>
        <v>19.157651142036951</v>
      </c>
      <c r="K91" s="87">
        <f t="shared" si="10"/>
        <v>18.912571368889637</v>
      </c>
      <c r="L91" s="87">
        <f t="shared" si="10"/>
        <v>20.392302686541409</v>
      </c>
      <c r="M91" s="372">
        <f t="shared" si="10"/>
        <v>17.813355017790066</v>
      </c>
      <c r="N91" s="87">
        <f t="shared" si="10"/>
        <v>15.767930226832181</v>
      </c>
      <c r="O91" s="87">
        <f t="shared" si="10"/>
        <v>15.337524150270845</v>
      </c>
      <c r="P91" s="87">
        <f t="shared" si="10"/>
        <v>14.807321593147019</v>
      </c>
      <c r="Q91" s="87">
        <f t="shared" si="10"/>
        <v>14.248083997714172</v>
      </c>
      <c r="R91" s="87">
        <f t="shared" si="10"/>
        <v>12.725007813963403</v>
      </c>
      <c r="S91" s="87">
        <f t="shared" si="10"/>
        <v>12.578146120563956</v>
      </c>
      <c r="T91" s="87">
        <f t="shared" si="10"/>
        <v>11.64334692110042</v>
      </c>
      <c r="U91" s="87">
        <f t="shared" si="10"/>
        <v>11.497432313746399</v>
      </c>
      <c r="V91" s="87">
        <f t="shared" si="10"/>
        <v>11.362400563815829</v>
      </c>
      <c r="W91" s="87">
        <f>SUM(W78:W90)</f>
        <v>9.8564394679789871</v>
      </c>
      <c r="X91" s="87">
        <f t="shared" si="10"/>
        <v>9.7714209244548336</v>
      </c>
      <c r="Y91" s="87">
        <f t="shared" si="10"/>
        <v>9.7105936383225373</v>
      </c>
      <c r="Z91" s="87">
        <f t="shared" si="10"/>
        <v>9.7201678780659932</v>
      </c>
      <c r="AA91" s="87">
        <f t="shared" si="10"/>
        <v>9.8129657669488637</v>
      </c>
      <c r="AB91" s="87">
        <f t="shared" si="10"/>
        <v>9.8907621118826565</v>
      </c>
      <c r="AC91" s="87">
        <f t="shared" si="10"/>
        <v>10.019246478218875</v>
      </c>
      <c r="AD91" s="87">
        <f t="shared" si="10"/>
        <v>10.154556481133334</v>
      </c>
      <c r="AE91" s="87">
        <f t="shared" si="10"/>
        <v>10.296760229724958</v>
      </c>
      <c r="AF91" s="87">
        <f t="shared" si="10"/>
        <v>10.447615370026501</v>
      </c>
      <c r="AG91" s="87">
        <f t="shared" si="10"/>
        <v>10.578651825176937</v>
      </c>
      <c r="AH91" s="87">
        <f t="shared" si="10"/>
        <v>10.717157192716623</v>
      </c>
      <c r="AI91" s="87">
        <f t="shared" si="10"/>
        <v>10.855542478410836</v>
      </c>
      <c r="AJ91" s="87">
        <f t="shared" si="10"/>
        <v>10.993798963452649</v>
      </c>
      <c r="AK91" s="87">
        <f t="shared" si="10"/>
        <v>11.131851319333496</v>
      </c>
    </row>
    <row r="92" spans="1:37">
      <c r="A92" s="57"/>
      <c r="B92" s="76"/>
      <c r="C92" s="76"/>
      <c r="D92" s="76"/>
      <c r="E92" s="76"/>
      <c r="F92" s="76"/>
      <c r="G92" s="76"/>
      <c r="H92" s="76"/>
      <c r="I92" s="76"/>
      <c r="J92" s="76"/>
      <c r="K92" s="76"/>
      <c r="L92" s="76"/>
      <c r="M92" s="76"/>
      <c r="N92" s="76"/>
      <c r="O92" s="76"/>
      <c r="P92" s="76"/>
      <c r="Q92" s="76"/>
      <c r="R92" s="76"/>
      <c r="S92" s="76"/>
      <c r="T92" s="76"/>
      <c r="U92" s="76"/>
      <c r="V92" s="76"/>
      <c r="W92" s="444">
        <f>V91-W91</f>
        <v>1.5059610958368417</v>
      </c>
      <c r="X92" s="76"/>
      <c r="Y92" s="76"/>
      <c r="Z92" s="76"/>
      <c r="AA92" s="76"/>
      <c r="AB92" s="76"/>
      <c r="AC92" s="76"/>
      <c r="AD92" s="76"/>
      <c r="AE92" s="76"/>
      <c r="AF92" s="76"/>
      <c r="AG92" s="76"/>
      <c r="AH92" s="76"/>
      <c r="AI92" s="76"/>
      <c r="AJ92" s="76"/>
      <c r="AK92" s="82">
        <f>AK14+AK26+AK47+AK61+AK91-AK13-AK25-AK46-AK60-AK90</f>
        <v>76.917361919751741</v>
      </c>
    </row>
    <row r="93" spans="1:37">
      <c r="A93" s="134" t="s">
        <v>482</v>
      </c>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82"/>
    </row>
    <row r="94" spans="1:37" s="5" customFormat="1" ht="15">
      <c r="A94" s="77" t="s">
        <v>624</v>
      </c>
      <c r="B94" s="82"/>
      <c r="C94" s="82"/>
      <c r="D94" s="82"/>
      <c r="E94" s="82"/>
      <c r="F94" s="82"/>
      <c r="G94" s="82"/>
      <c r="H94" s="82"/>
      <c r="I94" s="82"/>
      <c r="J94" s="82"/>
      <c r="K94" s="82"/>
      <c r="L94" s="82"/>
      <c r="M94" s="82"/>
      <c r="N94" s="82"/>
      <c r="O94" s="82"/>
      <c r="P94" s="82"/>
      <c r="Q94" s="82">
        <f>IF(parameters!$C$25="Yes",parameters!C64,parameters!C63)</f>
        <v>73</v>
      </c>
      <c r="R94" s="82">
        <f>$Q$94</f>
        <v>73</v>
      </c>
      <c r="S94" s="82">
        <f t="shared" ref="S94:AK94" si="11">$Q$94</f>
        <v>73</v>
      </c>
      <c r="T94" s="82">
        <f t="shared" si="11"/>
        <v>73</v>
      </c>
      <c r="U94" s="82">
        <f t="shared" si="11"/>
        <v>73</v>
      </c>
      <c r="V94" s="82">
        <f t="shared" si="11"/>
        <v>73</v>
      </c>
      <c r="W94" s="82">
        <f t="shared" si="11"/>
        <v>73</v>
      </c>
      <c r="X94" s="82">
        <f t="shared" si="11"/>
        <v>73</v>
      </c>
      <c r="Y94" s="82">
        <f t="shared" si="11"/>
        <v>73</v>
      </c>
      <c r="Z94" s="82">
        <f t="shared" si="11"/>
        <v>73</v>
      </c>
      <c r="AA94" s="82">
        <f t="shared" si="11"/>
        <v>73</v>
      </c>
      <c r="AB94" s="82">
        <f t="shared" si="11"/>
        <v>73</v>
      </c>
      <c r="AC94" s="82">
        <f t="shared" si="11"/>
        <v>73</v>
      </c>
      <c r="AD94" s="82">
        <f t="shared" si="11"/>
        <v>73</v>
      </c>
      <c r="AE94" s="82">
        <f t="shared" si="11"/>
        <v>73</v>
      </c>
      <c r="AF94" s="82">
        <f t="shared" si="11"/>
        <v>73</v>
      </c>
      <c r="AG94" s="82">
        <f t="shared" si="11"/>
        <v>73</v>
      </c>
      <c r="AH94" s="82">
        <f t="shared" si="11"/>
        <v>73</v>
      </c>
      <c r="AI94" s="82">
        <f t="shared" si="11"/>
        <v>73</v>
      </c>
      <c r="AJ94" s="82">
        <f t="shared" si="11"/>
        <v>73</v>
      </c>
      <c r="AK94" s="82">
        <f t="shared" si="11"/>
        <v>73</v>
      </c>
    </row>
    <row r="95" spans="1:37">
      <c r="A95" s="77" t="s">
        <v>625</v>
      </c>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f>IF(parameters!$C$25="Yes",parameters!C68,parameters!C67)</f>
        <v>54.75</v>
      </c>
      <c r="AG95" s="82">
        <f>$AF$95</f>
        <v>54.75</v>
      </c>
      <c r="AH95" s="82">
        <f>$AF$95</f>
        <v>54.75</v>
      </c>
      <c r="AI95" s="82">
        <f>$AF$95</f>
        <v>54.75</v>
      </c>
      <c r="AJ95" s="82">
        <f>$AF$95</f>
        <v>54.75</v>
      </c>
      <c r="AK95" s="82">
        <f>$AF$95</f>
        <v>54.75</v>
      </c>
    </row>
    <row r="96" spans="1:37">
      <c r="A96" s="77" t="s">
        <v>626</v>
      </c>
      <c r="B96" s="82"/>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82"/>
      <c r="AG96" s="82"/>
      <c r="AH96" s="82"/>
      <c r="AI96" s="82"/>
      <c r="AJ96" s="82"/>
      <c r="AK96" s="82">
        <f>IF(parameters!$C$25="Yes",parameters!C76,parameters!C75)</f>
        <v>48.666666666666664</v>
      </c>
    </row>
    <row r="97" spans="1:37">
      <c r="A97" s="77" t="s">
        <v>1021</v>
      </c>
      <c r="B97" s="82"/>
      <c r="C97" s="76"/>
      <c r="D97" s="76"/>
      <c r="E97" s="76"/>
      <c r="F97" s="76"/>
      <c r="G97" s="76"/>
      <c r="H97" s="76"/>
      <c r="I97" s="76"/>
      <c r="J97" s="76"/>
      <c r="K97" s="76"/>
      <c r="L97" s="76"/>
      <c r="M97" s="76"/>
      <c r="N97" s="76"/>
      <c r="O97" s="76"/>
      <c r="P97" s="76"/>
      <c r="Q97" s="68">
        <f>$Q$94+($AF$95-$Q$94)*(Q$6-$Q$6)/15</f>
        <v>73</v>
      </c>
      <c r="R97" s="68">
        <f>$Q$94+($AF$95-$Q$94)*(R$6-$Q$6)/15</f>
        <v>71.783333333333331</v>
      </c>
      <c r="S97" s="68">
        <f t="shared" ref="S97:AE97" si="12">$Q$94+($AF$95-$Q$94)*(S$6-$Q$6)/15</f>
        <v>70.566666666666663</v>
      </c>
      <c r="T97" s="68">
        <f t="shared" si="12"/>
        <v>69.349999999999994</v>
      </c>
      <c r="U97" s="68">
        <f t="shared" si="12"/>
        <v>68.13333333333334</v>
      </c>
      <c r="V97" s="68">
        <f t="shared" si="12"/>
        <v>66.916666666666671</v>
      </c>
      <c r="W97" s="68">
        <f t="shared" si="12"/>
        <v>65.7</v>
      </c>
      <c r="X97" s="68">
        <f t="shared" si="12"/>
        <v>64.483333333333334</v>
      </c>
      <c r="Y97" s="68">
        <f t="shared" si="12"/>
        <v>63.266666666666666</v>
      </c>
      <c r="Z97" s="68">
        <f t="shared" si="12"/>
        <v>62.05</v>
      </c>
      <c r="AA97" s="68">
        <f t="shared" si="12"/>
        <v>60.833333333333336</v>
      </c>
      <c r="AB97" s="68">
        <f t="shared" si="12"/>
        <v>59.616666666666667</v>
      </c>
      <c r="AC97" s="68">
        <f t="shared" si="12"/>
        <v>58.4</v>
      </c>
      <c r="AD97" s="68">
        <f t="shared" si="12"/>
        <v>57.183333333333337</v>
      </c>
      <c r="AE97" s="68">
        <f t="shared" si="12"/>
        <v>55.966666666666669</v>
      </c>
      <c r="AF97" s="68">
        <f t="shared" ref="AF97:AK97" si="13">$AF$95+($AK$96-$AF$95)*(AF$6-$AF$6)/($AK$6-$AF$6)</f>
        <v>54.75</v>
      </c>
      <c r="AG97" s="68">
        <f t="shared" si="13"/>
        <v>53.533333333333331</v>
      </c>
      <c r="AH97" s="68">
        <f t="shared" si="13"/>
        <v>52.316666666666663</v>
      </c>
      <c r="AI97" s="68">
        <f t="shared" si="13"/>
        <v>51.1</v>
      </c>
      <c r="AJ97" s="68">
        <f t="shared" si="13"/>
        <v>49.883333333333333</v>
      </c>
      <c r="AK97" s="68">
        <f t="shared" si="13"/>
        <v>48.666666666666664</v>
      </c>
    </row>
    <row r="98" spans="1:37">
      <c r="A98" s="194" t="s">
        <v>1022</v>
      </c>
      <c r="B98" s="82"/>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82"/>
      <c r="AG98" s="82"/>
      <c r="AH98" s="82"/>
      <c r="AI98" s="82"/>
      <c r="AJ98" s="82"/>
      <c r="AK98" s="82"/>
    </row>
    <row r="99" spans="1:37">
      <c r="A99" s="77" t="s">
        <v>627</v>
      </c>
      <c r="B99" s="82"/>
      <c r="C99" s="76"/>
      <c r="D99" s="76"/>
      <c r="E99" s="76"/>
      <c r="F99" s="76"/>
      <c r="G99" s="76"/>
      <c r="H99" s="76"/>
      <c r="I99" s="76"/>
      <c r="J99" s="76"/>
      <c r="K99" s="76"/>
      <c r="L99" s="76"/>
      <c r="M99" s="76"/>
      <c r="N99" s="76"/>
      <c r="O99" s="76"/>
      <c r="P99" s="76"/>
      <c r="Q99" s="94" t="s">
        <v>624</v>
      </c>
      <c r="R99" s="76"/>
      <c r="S99" s="76"/>
      <c r="T99" s="76"/>
      <c r="U99" s="76"/>
      <c r="V99" s="76"/>
      <c r="W99" s="76"/>
      <c r="X99" s="76"/>
      <c r="Y99" s="76"/>
      <c r="Z99" s="76"/>
      <c r="AA99" s="76"/>
      <c r="AB99" s="76"/>
      <c r="AC99" s="76"/>
      <c r="AD99" s="76"/>
      <c r="AE99" s="76"/>
      <c r="AF99" s="94" t="s">
        <v>625</v>
      </c>
      <c r="AG99" s="82"/>
      <c r="AH99" s="82"/>
      <c r="AI99" s="82"/>
      <c r="AJ99" s="82"/>
      <c r="AK99" s="82"/>
    </row>
    <row r="100" spans="1:37">
      <c r="A100" s="224" t="s">
        <v>629</v>
      </c>
      <c r="G100" s="6" t="str">
        <f>Dashboard!D23</f>
        <v>reference case: AEO 2018</v>
      </c>
    </row>
    <row r="101" spans="1:37">
      <c r="A101" s="224" t="s">
        <v>628</v>
      </c>
      <c r="S101" s="6" t="s">
        <v>628</v>
      </c>
    </row>
    <row r="103" spans="1:37">
      <c r="A103" s="766" t="s">
        <v>1407</v>
      </c>
    </row>
    <row r="104" spans="1:37">
      <c r="A104" s="224" t="s">
        <v>947</v>
      </c>
      <c r="B104" s="312">
        <f>$B109*$B110*8760</f>
        <v>6884869.4399999995</v>
      </c>
      <c r="C104" s="312">
        <f>$B109*$B110*8760</f>
        <v>6884869.4399999995</v>
      </c>
      <c r="D104" s="312">
        <f t="shared" ref="D104:Q104" si="14">$B109*$B110*8760</f>
        <v>6884869.4399999995</v>
      </c>
      <c r="E104" s="312">
        <f t="shared" si="14"/>
        <v>6884869.4399999995</v>
      </c>
      <c r="F104" s="312">
        <f t="shared" si="14"/>
        <v>6884869.4399999995</v>
      </c>
      <c r="G104" s="312">
        <f t="shared" si="14"/>
        <v>6884869.4399999995</v>
      </c>
      <c r="H104" s="312">
        <f t="shared" si="14"/>
        <v>6884869.4399999995</v>
      </c>
      <c r="I104" s="312">
        <f t="shared" si="14"/>
        <v>6884869.4399999995</v>
      </c>
      <c r="J104" s="312">
        <f t="shared" si="14"/>
        <v>6884869.4399999995</v>
      </c>
      <c r="K104" s="312">
        <f t="shared" si="14"/>
        <v>6884869.4399999995</v>
      </c>
      <c r="L104" s="312">
        <f t="shared" si="14"/>
        <v>6884869.4399999995</v>
      </c>
      <c r="M104" s="312">
        <f t="shared" si="14"/>
        <v>6884869.4399999995</v>
      </c>
      <c r="N104" s="312">
        <f t="shared" si="14"/>
        <v>6884869.4399999995</v>
      </c>
      <c r="O104" s="312">
        <f t="shared" si="14"/>
        <v>6884869.4399999995</v>
      </c>
      <c r="P104" s="312">
        <f t="shared" si="14"/>
        <v>6884869.4399999995</v>
      </c>
      <c r="Q104" s="312">
        <f t="shared" si="14"/>
        <v>6884869.4399999995</v>
      </c>
      <c r="R104" s="312">
        <f>1/2*$B109*$B110*8760</f>
        <v>3442434.7199999997</v>
      </c>
      <c r="S104" s="312">
        <f>1/2*$B109*$B110*8760</f>
        <v>3442434.7199999997</v>
      </c>
      <c r="T104" s="312">
        <f>1/2*$B109*$B110*8760</f>
        <v>3442434.7199999997</v>
      </c>
      <c r="U104" s="312">
        <f>1/2*$B109*$B110*8760</f>
        <v>3442434.7199999997</v>
      </c>
      <c r="V104" s="312">
        <f>1/2*$B109*$B110*8760</f>
        <v>3442434.7199999997</v>
      </c>
      <c r="W104" s="124">
        <v>0</v>
      </c>
      <c r="X104" s="124">
        <v>0</v>
      </c>
      <c r="Y104" s="124">
        <v>0</v>
      </c>
      <c r="Z104" s="124">
        <v>0</v>
      </c>
      <c r="AA104" s="124">
        <v>0</v>
      </c>
      <c r="AB104" s="124">
        <v>0</v>
      </c>
      <c r="AC104" s="124">
        <v>0</v>
      </c>
      <c r="AD104" s="124">
        <v>0</v>
      </c>
      <c r="AE104" s="124">
        <v>0</v>
      </c>
      <c r="AF104" s="124">
        <v>0</v>
      </c>
      <c r="AG104" s="124">
        <v>0</v>
      </c>
      <c r="AH104" s="124">
        <v>0</v>
      </c>
      <c r="AI104" s="124">
        <v>0</v>
      </c>
      <c r="AJ104" s="124">
        <v>0</v>
      </c>
      <c r="AK104" s="124">
        <v>0</v>
      </c>
    </row>
    <row r="105" spans="1:37">
      <c r="A105" s="224" t="s">
        <v>949</v>
      </c>
      <c r="B105" s="274">
        <f>parameters!$C22</f>
        <v>0.5</v>
      </c>
      <c r="C105" s="274">
        <f>parameters!$C22</f>
        <v>0.5</v>
      </c>
      <c r="D105" s="274">
        <f>parameters!$C22</f>
        <v>0.5</v>
      </c>
      <c r="E105" s="274">
        <f>parameters!$C22</f>
        <v>0.5</v>
      </c>
      <c r="F105" s="274">
        <f>parameters!$C22</f>
        <v>0.5</v>
      </c>
      <c r="G105" s="274">
        <f>parameters!$C22</f>
        <v>0.5</v>
      </c>
      <c r="H105" s="274">
        <f>parameters!$C22</f>
        <v>0.5</v>
      </c>
      <c r="I105" s="274">
        <f>parameters!$C22</f>
        <v>0.5</v>
      </c>
      <c r="J105" s="274">
        <f>parameters!$C22</f>
        <v>0.5</v>
      </c>
      <c r="K105" s="274">
        <f>parameters!$C22</f>
        <v>0.5</v>
      </c>
      <c r="L105" s="274">
        <f>parameters!$C22</f>
        <v>0.5</v>
      </c>
      <c r="M105" s="274">
        <f>parameters!$C22</f>
        <v>0.5</v>
      </c>
      <c r="N105" s="274">
        <f>parameters!$C22</f>
        <v>0.5</v>
      </c>
      <c r="O105" s="274">
        <f>parameters!$C22</f>
        <v>0.5</v>
      </c>
      <c r="P105" s="274">
        <f>parameters!$C22</f>
        <v>0.5</v>
      </c>
      <c r="Q105" s="274">
        <f>parameters!$C22</f>
        <v>0.5</v>
      </c>
      <c r="R105" s="274">
        <f>parameters!$C22</f>
        <v>0.5</v>
      </c>
      <c r="S105" s="274">
        <f>parameters!$C22</f>
        <v>0.5</v>
      </c>
      <c r="T105" s="274">
        <f>parameters!$C22</f>
        <v>0.5</v>
      </c>
      <c r="U105" s="274">
        <f>parameters!$C22</f>
        <v>0.5</v>
      </c>
      <c r="V105" s="274">
        <f>parameters!$C22</f>
        <v>0.5</v>
      </c>
    </row>
    <row r="106" spans="1:37">
      <c r="A106" s="224" t="s">
        <v>951</v>
      </c>
      <c r="B106" s="151">
        <f>B104*B105</f>
        <v>3442434.7199999997</v>
      </c>
      <c r="C106" s="151">
        <f t="shared" ref="C106:AK106" si="15">C104*C105</f>
        <v>3442434.7199999997</v>
      </c>
      <c r="D106" s="151">
        <f t="shared" si="15"/>
        <v>3442434.7199999997</v>
      </c>
      <c r="E106" s="151">
        <f t="shared" si="15"/>
        <v>3442434.7199999997</v>
      </c>
      <c r="F106" s="151">
        <f t="shared" si="15"/>
        <v>3442434.7199999997</v>
      </c>
      <c r="G106" s="151">
        <f t="shared" si="15"/>
        <v>3442434.7199999997</v>
      </c>
      <c r="H106" s="151">
        <f t="shared" si="15"/>
        <v>3442434.7199999997</v>
      </c>
      <c r="I106" s="151">
        <f t="shared" si="15"/>
        <v>3442434.7199999997</v>
      </c>
      <c r="J106" s="151">
        <f t="shared" si="15"/>
        <v>3442434.7199999997</v>
      </c>
      <c r="K106" s="151">
        <f t="shared" si="15"/>
        <v>3442434.7199999997</v>
      </c>
      <c r="L106" s="151">
        <f t="shared" si="15"/>
        <v>3442434.7199999997</v>
      </c>
      <c r="M106" s="151">
        <f t="shared" si="15"/>
        <v>3442434.7199999997</v>
      </c>
      <c r="N106" s="151">
        <f t="shared" si="15"/>
        <v>3442434.7199999997</v>
      </c>
      <c r="O106" s="151">
        <f t="shared" si="15"/>
        <v>3442434.7199999997</v>
      </c>
      <c r="P106" s="151">
        <f t="shared" si="15"/>
        <v>3442434.7199999997</v>
      </c>
      <c r="Q106" s="151">
        <f t="shared" si="15"/>
        <v>3442434.7199999997</v>
      </c>
      <c r="R106" s="151">
        <f t="shared" si="15"/>
        <v>1721217.3599999999</v>
      </c>
      <c r="S106" s="151">
        <f t="shared" si="15"/>
        <v>1721217.3599999999</v>
      </c>
      <c r="T106" s="151">
        <f t="shared" si="15"/>
        <v>1721217.3599999999</v>
      </c>
      <c r="U106" s="151">
        <f t="shared" si="15"/>
        <v>1721217.3599999999</v>
      </c>
      <c r="V106" s="151">
        <f t="shared" si="15"/>
        <v>1721217.3599999999</v>
      </c>
      <c r="W106" s="151">
        <f t="shared" si="15"/>
        <v>0</v>
      </c>
      <c r="X106" s="151">
        <f t="shared" si="15"/>
        <v>0</v>
      </c>
      <c r="Y106" s="151">
        <f t="shared" si="15"/>
        <v>0</v>
      </c>
      <c r="Z106" s="151">
        <f t="shared" si="15"/>
        <v>0</v>
      </c>
      <c r="AA106" s="151">
        <f t="shared" si="15"/>
        <v>0</v>
      </c>
      <c r="AB106" s="151">
        <f t="shared" si="15"/>
        <v>0</v>
      </c>
      <c r="AC106" s="151">
        <f t="shared" si="15"/>
        <v>0</v>
      </c>
      <c r="AD106" s="151">
        <f t="shared" si="15"/>
        <v>0</v>
      </c>
      <c r="AE106" s="151">
        <f t="shared" si="15"/>
        <v>0</v>
      </c>
      <c r="AF106" s="151">
        <f t="shared" si="15"/>
        <v>0</v>
      </c>
      <c r="AG106" s="151">
        <f t="shared" si="15"/>
        <v>0</v>
      </c>
      <c r="AH106" s="151">
        <f t="shared" si="15"/>
        <v>0</v>
      </c>
      <c r="AI106" s="151">
        <f t="shared" si="15"/>
        <v>0</v>
      </c>
      <c r="AJ106" s="151">
        <f t="shared" si="15"/>
        <v>0</v>
      </c>
      <c r="AK106" s="151">
        <f t="shared" si="15"/>
        <v>0</v>
      </c>
    </row>
    <row r="107" spans="1:37">
      <c r="A107" s="224" t="s">
        <v>952</v>
      </c>
      <c r="B107" s="760">
        <f>B106*10.5/10^9</f>
        <v>3.6145564559999996E-2</v>
      </c>
      <c r="C107" s="760">
        <f t="shared" ref="C107:AK107" si="16">C106*10.5/10^9</f>
        <v>3.6145564559999996E-2</v>
      </c>
      <c r="D107" s="760">
        <f t="shared" si="16"/>
        <v>3.6145564559999996E-2</v>
      </c>
      <c r="E107" s="760">
        <f>E106*10.5/10^9</f>
        <v>3.6145564559999996E-2</v>
      </c>
      <c r="F107" s="760">
        <f t="shared" si="16"/>
        <v>3.6145564559999996E-2</v>
      </c>
      <c r="G107" s="760">
        <f t="shared" si="16"/>
        <v>3.6145564559999996E-2</v>
      </c>
      <c r="H107" s="760">
        <f t="shared" si="16"/>
        <v>3.6145564559999996E-2</v>
      </c>
      <c r="I107" s="760">
        <f t="shared" si="16"/>
        <v>3.6145564559999996E-2</v>
      </c>
      <c r="J107" s="760">
        <f t="shared" si="16"/>
        <v>3.6145564559999996E-2</v>
      </c>
      <c r="K107" s="760">
        <f t="shared" si="16"/>
        <v>3.6145564559999996E-2</v>
      </c>
      <c r="L107" s="760">
        <f t="shared" si="16"/>
        <v>3.6145564559999996E-2</v>
      </c>
      <c r="M107" s="760">
        <f t="shared" si="16"/>
        <v>3.6145564559999996E-2</v>
      </c>
      <c r="N107" s="760">
        <f t="shared" si="16"/>
        <v>3.6145564559999996E-2</v>
      </c>
      <c r="O107" s="760">
        <f t="shared" si="16"/>
        <v>3.6145564559999996E-2</v>
      </c>
      <c r="P107" s="760">
        <f>P106*10.5/10^9</f>
        <v>3.6145564559999996E-2</v>
      </c>
      <c r="Q107" s="760">
        <f t="shared" si="16"/>
        <v>3.6145564559999996E-2</v>
      </c>
      <c r="R107" s="760">
        <f t="shared" si="16"/>
        <v>1.8072782279999998E-2</v>
      </c>
      <c r="S107" s="760">
        <f t="shared" si="16"/>
        <v>1.8072782279999998E-2</v>
      </c>
      <c r="T107" s="760">
        <f t="shared" si="16"/>
        <v>1.8072782279999998E-2</v>
      </c>
      <c r="U107" s="760">
        <f t="shared" si="16"/>
        <v>1.8072782279999998E-2</v>
      </c>
      <c r="V107" s="760">
        <f t="shared" si="16"/>
        <v>1.8072782279999998E-2</v>
      </c>
      <c r="W107" s="296">
        <f t="shared" si="16"/>
        <v>0</v>
      </c>
      <c r="X107" s="296">
        <f t="shared" si="16"/>
        <v>0</v>
      </c>
      <c r="Y107" s="296">
        <f t="shared" si="16"/>
        <v>0</v>
      </c>
      <c r="Z107" s="296">
        <f t="shared" si="16"/>
        <v>0</v>
      </c>
      <c r="AA107" s="296">
        <f t="shared" si="16"/>
        <v>0</v>
      </c>
      <c r="AB107" s="296">
        <f t="shared" si="16"/>
        <v>0</v>
      </c>
      <c r="AC107" s="296">
        <f t="shared" si="16"/>
        <v>0</v>
      </c>
      <c r="AD107" s="296">
        <f t="shared" si="16"/>
        <v>0</v>
      </c>
      <c r="AE107" s="296">
        <f t="shared" si="16"/>
        <v>0</v>
      </c>
      <c r="AF107" s="296">
        <f t="shared" si="16"/>
        <v>0</v>
      </c>
      <c r="AG107" s="296">
        <f t="shared" si="16"/>
        <v>0</v>
      </c>
      <c r="AH107" s="296">
        <f t="shared" si="16"/>
        <v>0</v>
      </c>
      <c r="AI107" s="296">
        <f t="shared" si="16"/>
        <v>0</v>
      </c>
      <c r="AJ107" s="296">
        <f t="shared" si="16"/>
        <v>0</v>
      </c>
      <c r="AK107" s="296">
        <f t="shared" si="16"/>
        <v>0</v>
      </c>
    </row>
    <row r="108" spans="1:37" ht="14.25">
      <c r="A108" s="224" t="s">
        <v>950</v>
      </c>
      <c r="B108" s="68">
        <f>B107*parameters!$C$36</f>
        <v>3.4229849638319996</v>
      </c>
      <c r="C108" s="68">
        <f>C107*parameters!$C$36</f>
        <v>3.4229849638319996</v>
      </c>
      <c r="D108" s="68">
        <f>D107*parameters!$C$36</f>
        <v>3.4229849638319996</v>
      </c>
      <c r="E108" s="68">
        <f>E107*parameters!$C$36</f>
        <v>3.4229849638319996</v>
      </c>
      <c r="F108" s="68">
        <f>F107*parameters!$C$36</f>
        <v>3.4229849638319996</v>
      </c>
      <c r="G108" s="68">
        <f>G107*parameters!$C$36</f>
        <v>3.4229849638319996</v>
      </c>
      <c r="H108" s="68">
        <f>H107*parameters!$C$36</f>
        <v>3.4229849638319996</v>
      </c>
      <c r="I108" s="68">
        <f>I107*parameters!$C$36</f>
        <v>3.4229849638319996</v>
      </c>
      <c r="J108" s="68">
        <f>J107*parameters!$C$36</f>
        <v>3.4229849638319996</v>
      </c>
      <c r="K108" s="68">
        <f>K107*parameters!$C$36</f>
        <v>3.4229849638319996</v>
      </c>
      <c r="L108" s="68">
        <f>L107*parameters!$C$36</f>
        <v>3.4229849638319996</v>
      </c>
      <c r="M108" s="68">
        <f>M107*parameters!$C$36</f>
        <v>3.4229849638319996</v>
      </c>
      <c r="N108" s="68">
        <f>N107*parameters!$C$36</f>
        <v>3.4229849638319996</v>
      </c>
      <c r="O108" s="68">
        <f>O107*parameters!$C$36</f>
        <v>3.4229849638319996</v>
      </c>
      <c r="P108" s="68">
        <f>P107*parameters!$C$36</f>
        <v>3.4229849638319996</v>
      </c>
      <c r="Q108" s="68">
        <f>Q107*parameters!$C$36</f>
        <v>3.4229849638319996</v>
      </c>
      <c r="R108" s="68">
        <f>R107*parameters!$C$36</f>
        <v>1.7114924819159998</v>
      </c>
      <c r="S108" s="68">
        <f>S107*parameters!$C$36</f>
        <v>1.7114924819159998</v>
      </c>
      <c r="T108" s="68">
        <f>T107*parameters!$C$36</f>
        <v>1.7114924819159998</v>
      </c>
      <c r="U108" s="68">
        <f>U107*parameters!$C$36</f>
        <v>1.7114924819159998</v>
      </c>
      <c r="V108" s="68">
        <f>V107*parameters!$C$36</f>
        <v>1.7114924819159998</v>
      </c>
      <c r="W108" s="68">
        <f>W107*parameters!$C$36</f>
        <v>0</v>
      </c>
      <c r="X108" s="68">
        <f>X107*parameters!$C$36</f>
        <v>0</v>
      </c>
      <c r="Y108" s="68">
        <f>Y107*parameters!$C$36</f>
        <v>0</v>
      </c>
      <c r="Z108" s="68">
        <f>Z107*parameters!$C$36</f>
        <v>0</v>
      </c>
      <c r="AA108" s="68">
        <f>AA107*parameters!$C$36</f>
        <v>0</v>
      </c>
      <c r="AB108" s="68">
        <f>AB107*parameters!$C$36</f>
        <v>0</v>
      </c>
      <c r="AC108" s="68">
        <f>AC107*parameters!$C$36</f>
        <v>0</v>
      </c>
      <c r="AD108" s="68">
        <f>AD107*parameters!$C$36</f>
        <v>0</v>
      </c>
      <c r="AE108" s="68">
        <f>AE107*parameters!$C$36</f>
        <v>0</v>
      </c>
      <c r="AF108" s="68">
        <f>AF107*parameters!$C$36</f>
        <v>0</v>
      </c>
      <c r="AG108" s="68">
        <f>AG107*parameters!$C$36</f>
        <v>0</v>
      </c>
      <c r="AH108" s="68">
        <f>AH107*parameters!$C$36</f>
        <v>0</v>
      </c>
      <c r="AI108" s="68">
        <f>AI107*parameters!$C$36</f>
        <v>0</v>
      </c>
      <c r="AJ108" s="68">
        <f>AJ107*parameters!$C$36</f>
        <v>0</v>
      </c>
      <c r="AK108" s="68">
        <f>AK107*parameters!$C$36</f>
        <v>0</v>
      </c>
    </row>
    <row r="109" spans="1:37">
      <c r="A109" s="352" t="s">
        <v>1106</v>
      </c>
      <c r="B109" s="6">
        <f>parameters!E22</f>
        <v>1360</v>
      </c>
    </row>
    <row r="110" spans="1:37" ht="16.899999999999999" customHeight="1">
      <c r="A110" s="352" t="s">
        <v>1107</v>
      </c>
      <c r="B110" s="8">
        <f>parameters!E26</f>
        <v>0.57789999999999997</v>
      </c>
      <c r="C110" s="353" t="s">
        <v>1413</v>
      </c>
      <c r="L110" s="7">
        <f>0.052*parameters!C47</f>
        <v>4.0975999999999999</v>
      </c>
    </row>
    <row r="112" spans="1:37">
      <c r="A112" s="766" t="s">
        <v>1408</v>
      </c>
    </row>
    <row r="113" spans="1:23" ht="16.350000000000001" customHeight="1">
      <c r="A113" s="224" t="s">
        <v>947</v>
      </c>
      <c r="B113" s="312">
        <f>$B118*$B119*8760</f>
        <v>4245898.4160000002</v>
      </c>
      <c r="C113" s="312">
        <f t="shared" ref="C113:R113" si="17">$B118*$B119*8760</f>
        <v>4245898.4160000002</v>
      </c>
      <c r="D113" s="312">
        <f t="shared" si="17"/>
        <v>4245898.4160000002</v>
      </c>
      <c r="E113" s="312">
        <f t="shared" si="17"/>
        <v>4245898.4160000002</v>
      </c>
      <c r="F113" s="312">
        <f t="shared" si="17"/>
        <v>4245898.4160000002</v>
      </c>
      <c r="G113" s="312">
        <f t="shared" si="17"/>
        <v>4245898.4160000002</v>
      </c>
      <c r="H113" s="312">
        <f t="shared" si="17"/>
        <v>4245898.4160000002</v>
      </c>
      <c r="I113" s="312">
        <f t="shared" si="17"/>
        <v>4245898.4160000002</v>
      </c>
      <c r="J113" s="312">
        <f t="shared" si="17"/>
        <v>4245898.4160000002</v>
      </c>
      <c r="K113" s="312">
        <f t="shared" si="17"/>
        <v>4245898.4160000002</v>
      </c>
      <c r="L113" s="312">
        <f t="shared" si="17"/>
        <v>4245898.4160000002</v>
      </c>
      <c r="M113" s="312">
        <f t="shared" si="17"/>
        <v>4245898.4160000002</v>
      </c>
      <c r="N113" s="312">
        <f t="shared" si="17"/>
        <v>4245898.4160000002</v>
      </c>
      <c r="O113" s="312">
        <f t="shared" si="17"/>
        <v>4245898.4160000002</v>
      </c>
      <c r="P113" s="312">
        <f t="shared" si="17"/>
        <v>4245898.4160000002</v>
      </c>
      <c r="Q113" s="312">
        <f t="shared" si="17"/>
        <v>4245898.4160000002</v>
      </c>
      <c r="R113" s="312">
        <f t="shared" si="17"/>
        <v>4245898.4160000002</v>
      </c>
      <c r="S113" s="312">
        <f>$B118*$B119*8760*0.5</f>
        <v>2122949.2080000001</v>
      </c>
    </row>
    <row r="114" spans="1:23" ht="14.1" customHeight="1">
      <c r="A114" s="224" t="s">
        <v>949</v>
      </c>
      <c r="B114" s="274">
        <f>parameters!$C22</f>
        <v>0.5</v>
      </c>
      <c r="C114" s="274">
        <f>parameters!$C22</f>
        <v>0.5</v>
      </c>
      <c r="D114" s="274">
        <f>parameters!$C22</f>
        <v>0.5</v>
      </c>
      <c r="E114" s="274">
        <f>parameters!$C22</f>
        <v>0.5</v>
      </c>
      <c r="F114" s="274">
        <f>parameters!$C22</f>
        <v>0.5</v>
      </c>
      <c r="G114" s="274">
        <f>parameters!$C22</f>
        <v>0.5</v>
      </c>
      <c r="H114" s="274">
        <f>parameters!$C22</f>
        <v>0.5</v>
      </c>
      <c r="I114" s="274">
        <f>parameters!$C22</f>
        <v>0.5</v>
      </c>
      <c r="J114" s="274">
        <f>parameters!$C22</f>
        <v>0.5</v>
      </c>
      <c r="K114" s="274">
        <f>parameters!$C22</f>
        <v>0.5</v>
      </c>
      <c r="L114" s="274">
        <f>parameters!$C22</f>
        <v>0.5</v>
      </c>
      <c r="M114" s="274">
        <f>parameters!$C22</f>
        <v>0.5</v>
      </c>
      <c r="N114" s="274">
        <f>parameters!$C22</f>
        <v>0.5</v>
      </c>
      <c r="O114" s="274">
        <f>parameters!$C22</f>
        <v>0.5</v>
      </c>
      <c r="P114" s="274">
        <f>parameters!$C22</f>
        <v>0.5</v>
      </c>
      <c r="Q114" s="274">
        <f>parameters!$C22</f>
        <v>0.5</v>
      </c>
      <c r="R114" s="274">
        <f>parameters!$C22</f>
        <v>0.5</v>
      </c>
      <c r="S114" s="274">
        <f>parameters!$C22</f>
        <v>0.5</v>
      </c>
    </row>
    <row r="115" spans="1:23">
      <c r="A115" s="224" t="s">
        <v>951</v>
      </c>
      <c r="B115" s="151">
        <f>B113*B114</f>
        <v>2122949.2080000001</v>
      </c>
      <c r="C115" s="151">
        <f t="shared" ref="C115:S115" si="18">C113*C114</f>
        <v>2122949.2080000001</v>
      </c>
      <c r="D115" s="151">
        <f t="shared" si="18"/>
        <v>2122949.2080000001</v>
      </c>
      <c r="E115" s="151">
        <f t="shared" si="18"/>
        <v>2122949.2080000001</v>
      </c>
      <c r="F115" s="151">
        <f t="shared" si="18"/>
        <v>2122949.2080000001</v>
      </c>
      <c r="G115" s="151">
        <f t="shared" si="18"/>
        <v>2122949.2080000001</v>
      </c>
      <c r="H115" s="151">
        <f t="shared" si="18"/>
        <v>2122949.2080000001</v>
      </c>
      <c r="I115" s="151">
        <f t="shared" si="18"/>
        <v>2122949.2080000001</v>
      </c>
      <c r="J115" s="151">
        <f t="shared" si="18"/>
        <v>2122949.2080000001</v>
      </c>
      <c r="K115" s="151">
        <f t="shared" si="18"/>
        <v>2122949.2080000001</v>
      </c>
      <c r="L115" s="151">
        <f t="shared" si="18"/>
        <v>2122949.2080000001</v>
      </c>
      <c r="M115" s="151">
        <f t="shared" si="18"/>
        <v>2122949.2080000001</v>
      </c>
      <c r="N115" s="151">
        <f t="shared" si="18"/>
        <v>2122949.2080000001</v>
      </c>
      <c r="O115" s="151">
        <f t="shared" si="18"/>
        <v>2122949.2080000001</v>
      </c>
      <c r="P115" s="151">
        <f t="shared" si="18"/>
        <v>2122949.2080000001</v>
      </c>
      <c r="Q115" s="151">
        <f t="shared" si="18"/>
        <v>2122949.2080000001</v>
      </c>
      <c r="R115" s="151">
        <f t="shared" si="18"/>
        <v>2122949.2080000001</v>
      </c>
      <c r="S115" s="151">
        <f t="shared" si="18"/>
        <v>1061474.6040000001</v>
      </c>
    </row>
    <row r="116" spans="1:23">
      <c r="A116" s="224" t="s">
        <v>952</v>
      </c>
      <c r="B116" s="760">
        <f>B115*10.5/10^9</f>
        <v>2.2290966684000001E-2</v>
      </c>
      <c r="C116" s="760">
        <f t="shared" ref="C116:S116" si="19">C115*10.5/10^9</f>
        <v>2.2290966684000001E-2</v>
      </c>
      <c r="D116" s="760">
        <f t="shared" si="19"/>
        <v>2.2290966684000001E-2</v>
      </c>
      <c r="E116" s="760">
        <f t="shared" si="19"/>
        <v>2.2290966684000001E-2</v>
      </c>
      <c r="F116" s="760">
        <f t="shared" si="19"/>
        <v>2.2290966684000001E-2</v>
      </c>
      <c r="G116" s="760">
        <f t="shared" si="19"/>
        <v>2.2290966684000001E-2</v>
      </c>
      <c r="H116" s="760">
        <f t="shared" si="19"/>
        <v>2.2290966684000001E-2</v>
      </c>
      <c r="I116" s="760">
        <f t="shared" si="19"/>
        <v>2.2290966684000001E-2</v>
      </c>
      <c r="J116" s="760">
        <f t="shared" si="19"/>
        <v>2.2290966684000001E-2</v>
      </c>
      <c r="K116" s="760">
        <f t="shared" si="19"/>
        <v>2.2290966684000001E-2</v>
      </c>
      <c r="L116" s="760">
        <f t="shared" si="19"/>
        <v>2.2290966684000001E-2</v>
      </c>
      <c r="M116" s="760">
        <f t="shared" si="19"/>
        <v>2.2290966684000001E-2</v>
      </c>
      <c r="N116" s="760">
        <f t="shared" si="19"/>
        <v>2.2290966684000001E-2</v>
      </c>
      <c r="O116" s="760">
        <f t="shared" si="19"/>
        <v>2.2290966684000001E-2</v>
      </c>
      <c r="P116" s="760">
        <f t="shared" si="19"/>
        <v>2.2290966684000001E-2</v>
      </c>
      <c r="Q116" s="760">
        <f t="shared" si="19"/>
        <v>2.2290966684000001E-2</v>
      </c>
      <c r="R116" s="760">
        <f t="shared" si="19"/>
        <v>2.2290966684000001E-2</v>
      </c>
      <c r="S116" s="760">
        <f t="shared" si="19"/>
        <v>1.1145483342000001E-2</v>
      </c>
    </row>
    <row r="117" spans="1:23" ht="14.25">
      <c r="A117" s="224" t="s">
        <v>950</v>
      </c>
      <c r="B117" s="68">
        <f>B116*parameters!$C$36</f>
        <v>2.1109545449748004</v>
      </c>
      <c r="C117" s="68">
        <f>C116*parameters!$C$36</f>
        <v>2.1109545449748004</v>
      </c>
      <c r="D117" s="68">
        <f>D116*parameters!$C$36</f>
        <v>2.1109545449748004</v>
      </c>
      <c r="E117" s="68">
        <f>E116*parameters!$C$36</f>
        <v>2.1109545449748004</v>
      </c>
      <c r="F117" s="68">
        <f>F116*parameters!$C$36</f>
        <v>2.1109545449748004</v>
      </c>
      <c r="G117" s="68">
        <f>G116*parameters!$C$36</f>
        <v>2.1109545449748004</v>
      </c>
      <c r="H117" s="68">
        <f>H116*parameters!$C$36</f>
        <v>2.1109545449748004</v>
      </c>
      <c r="I117" s="68">
        <f>I116*parameters!$C$36</f>
        <v>2.1109545449748004</v>
      </c>
      <c r="J117" s="68">
        <f>J116*parameters!$C$36</f>
        <v>2.1109545449748004</v>
      </c>
      <c r="K117" s="68">
        <f>K116*parameters!$C$36</f>
        <v>2.1109545449748004</v>
      </c>
      <c r="L117" s="68">
        <f>L116*parameters!$C$36</f>
        <v>2.1109545449748004</v>
      </c>
      <c r="M117" s="68">
        <f>M116*parameters!$C$36</f>
        <v>2.1109545449748004</v>
      </c>
      <c r="N117" s="68">
        <f>N116*parameters!$C$36</f>
        <v>2.1109545449748004</v>
      </c>
      <c r="O117" s="68">
        <f>O116*parameters!$C$36</f>
        <v>2.1109545449748004</v>
      </c>
      <c r="P117" s="68">
        <f>P116*parameters!$C$36</f>
        <v>2.1109545449748004</v>
      </c>
      <c r="Q117" s="68">
        <f>Q116*parameters!$C$36</f>
        <v>2.1109545449748004</v>
      </c>
      <c r="R117" s="68">
        <f>R116*parameters!$C$36</f>
        <v>2.1109545449748004</v>
      </c>
      <c r="S117" s="68">
        <f>S116*parameters!$C$36</f>
        <v>1.0554772724874002</v>
      </c>
    </row>
    <row r="118" spans="1:23">
      <c r="A118" s="352" t="s">
        <v>1401</v>
      </c>
      <c r="B118" s="6">
        <f>parameters!I22</f>
        <v>614</v>
      </c>
    </row>
    <row r="119" spans="1:23">
      <c r="A119" s="352" t="s">
        <v>1107</v>
      </c>
      <c r="B119" s="8">
        <f>parameters!I26</f>
        <v>0.78939999999999999</v>
      </c>
      <c r="C119" s="8" t="s">
        <v>1414</v>
      </c>
      <c r="D119" s="8"/>
      <c r="E119" s="8"/>
      <c r="F119" s="8"/>
      <c r="G119" s="8"/>
      <c r="H119" s="8"/>
      <c r="I119" s="8"/>
      <c r="J119" s="8"/>
      <c r="K119" s="8"/>
      <c r="L119" s="8"/>
      <c r="M119" s="8"/>
      <c r="N119" s="8"/>
      <c r="O119" s="8"/>
      <c r="P119" s="8"/>
      <c r="Q119" s="8"/>
      <c r="R119" s="8"/>
      <c r="S119" s="8"/>
    </row>
    <row r="123" spans="1:23" ht="15">
      <c r="A123" s="613" t="s">
        <v>1231</v>
      </c>
    </row>
    <row r="124" spans="1:23">
      <c r="A124" s="612" t="s">
        <v>1223</v>
      </c>
      <c r="B124" s="478">
        <v>1990</v>
      </c>
      <c r="C124" s="478">
        <v>2000</v>
      </c>
      <c r="D124" s="478">
        <v>2005</v>
      </c>
      <c r="E124" s="478">
        <v>2010</v>
      </c>
      <c r="N124" s="330" t="s">
        <v>1278</v>
      </c>
      <c r="O124" s="652"/>
      <c r="P124" s="641">
        <f>R124*2</f>
        <v>10722240</v>
      </c>
      <c r="Q124" s="641">
        <f>S124*2</f>
        <v>10722240</v>
      </c>
      <c r="R124" s="641">
        <f>parameters!E22/2*parameters!E27*8760</f>
        <v>5361120</v>
      </c>
      <c r="S124" s="641">
        <f>$R124</f>
        <v>5361120</v>
      </c>
      <c r="T124" s="641">
        <f>$R124</f>
        <v>5361120</v>
      </c>
      <c r="U124" s="641">
        <f>$R124</f>
        <v>5361120</v>
      </c>
      <c r="V124" s="642">
        <f>$R124</f>
        <v>5361120</v>
      </c>
      <c r="W124" s="6" t="s">
        <v>534</v>
      </c>
    </row>
    <row r="125" spans="1:23">
      <c r="A125" s="352" t="s">
        <v>1302</v>
      </c>
      <c r="B125" s="6">
        <v>5032</v>
      </c>
      <c r="C125" s="6">
        <v>5849</v>
      </c>
      <c r="D125" s="6">
        <v>5949</v>
      </c>
      <c r="E125" s="6">
        <v>5557</v>
      </c>
      <c r="N125" s="643" t="s">
        <v>1280</v>
      </c>
      <c r="O125" s="327"/>
      <c r="P125" s="644"/>
      <c r="Q125" s="644"/>
      <c r="R125" s="644"/>
      <c r="S125" s="644"/>
      <c r="T125" s="644"/>
      <c r="U125" s="644"/>
      <c r="V125" s="645"/>
    </row>
    <row r="126" spans="1:23">
      <c r="A126" s="352" t="s">
        <v>1228</v>
      </c>
      <c r="B126" s="610">
        <f>0.2*B125</f>
        <v>1006.4000000000001</v>
      </c>
      <c r="C126" s="610">
        <f>0.2*C125</f>
        <v>1169.8</v>
      </c>
      <c r="D126" s="610">
        <f>0.2*D125</f>
        <v>1189.8</v>
      </c>
      <c r="E126" s="610">
        <f>0.2*E125</f>
        <v>1111.4000000000001</v>
      </c>
      <c r="N126" s="643" t="s">
        <v>1279</v>
      </c>
      <c r="O126" s="327"/>
      <c r="P126" s="646">
        <f t="shared" ref="P126:V126" si="20">P124-P106</f>
        <v>7279805.2800000003</v>
      </c>
      <c r="Q126" s="646">
        <f t="shared" si="20"/>
        <v>7279805.2800000003</v>
      </c>
      <c r="R126" s="646">
        <f t="shared" si="20"/>
        <v>3639902.64</v>
      </c>
      <c r="S126" s="646">
        <f t="shared" si="20"/>
        <v>3639902.64</v>
      </c>
      <c r="T126" s="646">
        <f t="shared" si="20"/>
        <v>3639902.64</v>
      </c>
      <c r="U126" s="646">
        <f t="shared" si="20"/>
        <v>3639902.64</v>
      </c>
      <c r="V126" s="647">
        <f t="shared" si="20"/>
        <v>3639902.64</v>
      </c>
      <c r="W126" s="6" t="s">
        <v>534</v>
      </c>
    </row>
    <row r="127" spans="1:23">
      <c r="A127" s="352"/>
      <c r="B127" s="610"/>
      <c r="C127" s="610"/>
      <c r="D127" s="610"/>
      <c r="E127" s="610"/>
      <c r="N127" s="643" t="s">
        <v>1293</v>
      </c>
      <c r="O127" s="327"/>
      <c r="P127" s="14"/>
      <c r="Q127" s="14"/>
      <c r="R127" s="14"/>
      <c r="S127" s="14"/>
      <c r="T127" s="14"/>
      <c r="U127" s="14"/>
      <c r="V127" s="327"/>
    </row>
    <row r="128" spans="1:23">
      <c r="A128" s="6" t="s">
        <v>1226</v>
      </c>
      <c r="B128" s="611">
        <v>249.464</v>
      </c>
      <c r="C128" s="611">
        <v>282.19400000000002</v>
      </c>
      <c r="D128" s="611">
        <v>295.89499999999998</v>
      </c>
      <c r="E128" s="611">
        <v>309.32600000000002</v>
      </c>
      <c r="N128" s="643" t="s">
        <v>1281</v>
      </c>
      <c r="O128" s="327"/>
      <c r="P128" s="648">
        <f>P126*10.5/10^9*parameters!$C36</f>
        <v>7.2386743801679998</v>
      </c>
      <c r="Q128" s="648">
        <f>Q126*10.5/10^9*parameters!$C36</f>
        <v>7.2386743801679998</v>
      </c>
      <c r="R128" s="648">
        <f>R126*10.5/10^9*parameters!$C36</f>
        <v>3.6193371900839999</v>
      </c>
      <c r="S128" s="648">
        <f>S126*10.5/10^9*parameters!$C36</f>
        <v>3.6193371900839999</v>
      </c>
      <c r="T128" s="648">
        <f>T126*10.5/10^9*parameters!$C36</f>
        <v>3.6193371900839999</v>
      </c>
      <c r="U128" s="648">
        <f>U126*10.5/10^9*parameters!$C36</f>
        <v>3.6193371900839999</v>
      </c>
      <c r="V128" s="649">
        <f>V126*10.5/10^9*parameters!$C36</f>
        <v>3.6193371900839999</v>
      </c>
      <c r="W128" s="6" t="s">
        <v>1079</v>
      </c>
    </row>
    <row r="129" spans="1:23">
      <c r="A129" s="352" t="s">
        <v>1224</v>
      </c>
      <c r="B129" s="6">
        <v>398.3</v>
      </c>
      <c r="N129" s="643" t="s">
        <v>1280</v>
      </c>
      <c r="O129" s="327"/>
      <c r="P129" s="14"/>
      <c r="Q129" s="14"/>
      <c r="R129" s="14"/>
      <c r="S129" s="14"/>
      <c r="T129" s="14"/>
      <c r="U129" s="14"/>
      <c r="V129" s="327"/>
    </row>
    <row r="130" spans="1:23">
      <c r="N130" s="643" t="s">
        <v>1291</v>
      </c>
      <c r="O130" s="327"/>
      <c r="P130" s="650">
        <f>P128*ramps!Q10</f>
        <v>0</v>
      </c>
      <c r="Q130" s="650">
        <f>Q128*ramps!R10</f>
        <v>101.22276496867178</v>
      </c>
      <c r="R130" s="650">
        <f>R128*ramps!S10</f>
        <v>57.143602430472086</v>
      </c>
      <c r="S130" s="650">
        <f>S128*ramps!T10</f>
        <v>63.381889293698734</v>
      </c>
      <c r="T130" s="650">
        <f>T128*ramps!U10</f>
        <v>69.282445436989363</v>
      </c>
      <c r="U130" s="650">
        <f>U128*ramps!V10</f>
        <v>74.81829443247814</v>
      </c>
      <c r="V130" s="651">
        <f>V128*ramps!W10</f>
        <v>79.964458049404456</v>
      </c>
      <c r="W130" s="6" t="s">
        <v>1283</v>
      </c>
    </row>
    <row r="131" spans="1:23">
      <c r="A131" s="662" t="s">
        <v>1225</v>
      </c>
      <c r="B131" s="6">
        <f>B124</f>
        <v>1990</v>
      </c>
      <c r="C131" s="6">
        <f>C124</f>
        <v>2000</v>
      </c>
      <c r="D131" s="6">
        <f>D124</f>
        <v>2005</v>
      </c>
      <c r="E131" s="6">
        <f>E124</f>
        <v>2010</v>
      </c>
      <c r="N131" s="326" t="s">
        <v>1292</v>
      </c>
      <c r="O131" s="324"/>
      <c r="P131" s="335"/>
      <c r="Q131" s="335"/>
      <c r="R131" s="335"/>
      <c r="S131" s="335"/>
      <c r="T131" s="335"/>
      <c r="U131" s="335"/>
      <c r="V131" s="324"/>
    </row>
    <row r="132" spans="1:23">
      <c r="A132" s="224" t="s">
        <v>1245</v>
      </c>
      <c r="B132" s="7">
        <f>B125/B128</f>
        <v>20.171247153897959</v>
      </c>
      <c r="C132" s="7">
        <f>C125/C128</f>
        <v>20.726875837190018</v>
      </c>
      <c r="D132" s="7">
        <f>D125/D128</f>
        <v>20.105104851383093</v>
      </c>
      <c r="E132" s="7">
        <f>E125/E128</f>
        <v>17.964865546381485</v>
      </c>
    </row>
    <row r="133" spans="1:23">
      <c r="A133" s="224" t="s">
        <v>1338</v>
      </c>
      <c r="B133" s="7">
        <f>B126/$B$129</f>
        <v>2.5267386392166711</v>
      </c>
      <c r="C133" s="7">
        <f>C126/$B$129</f>
        <v>2.936982174240522</v>
      </c>
      <c r="D133" s="7">
        <f>D126/$B$129</f>
        <v>2.9871955812201856</v>
      </c>
      <c r="E133" s="7">
        <f>E126/$B$129</f>
        <v>2.7903590258599049</v>
      </c>
    </row>
    <row r="135" spans="1:23">
      <c r="A135" s="478" t="s">
        <v>1227</v>
      </c>
      <c r="B135" s="478">
        <f>B124</f>
        <v>1990</v>
      </c>
      <c r="C135" s="478">
        <f>C124</f>
        <v>2000</v>
      </c>
      <c r="D135" s="478">
        <f>D124</f>
        <v>2005</v>
      </c>
      <c r="E135" s="478">
        <f>E124</f>
        <v>2010</v>
      </c>
    </row>
    <row r="136" spans="1:23">
      <c r="A136" s="662" t="s">
        <v>1302</v>
      </c>
      <c r="B136" s="611">
        <v>73</v>
      </c>
      <c r="C136" s="6">
        <v>85.5</v>
      </c>
      <c r="D136" s="6">
        <v>84.13</v>
      </c>
      <c r="E136" s="6">
        <v>84.19</v>
      </c>
    </row>
    <row r="137" spans="1:23">
      <c r="A137" s="352" t="s">
        <v>1228</v>
      </c>
      <c r="B137" s="6">
        <f>B136*0.2</f>
        <v>14.600000000000001</v>
      </c>
      <c r="C137" s="6">
        <f>C136*0.2</f>
        <v>17.100000000000001</v>
      </c>
      <c r="D137" s="7">
        <f>D136*0.2</f>
        <v>16.826000000000001</v>
      </c>
      <c r="E137" s="7">
        <f>E136*0.2</f>
        <v>16.838000000000001</v>
      </c>
    </row>
    <row r="138" spans="1:23">
      <c r="A138" s="224"/>
    </row>
    <row r="139" spans="1:23">
      <c r="A139" s="6" t="s">
        <v>1229</v>
      </c>
      <c r="B139" s="6">
        <v>4.8659999999999997</v>
      </c>
      <c r="C139" s="6">
        <v>5.8940000000000001</v>
      </c>
      <c r="D139" s="6">
        <v>6.2560000000000002</v>
      </c>
      <c r="E139" s="6">
        <v>6.7249999999999996</v>
      </c>
    </row>
    <row r="140" spans="1:23">
      <c r="A140" s="352" t="s">
        <v>1230</v>
      </c>
      <c r="B140" s="6">
        <v>9.7520000000000007</v>
      </c>
    </row>
    <row r="142" spans="1:23">
      <c r="A142" s="662" t="s">
        <v>1225</v>
      </c>
    </row>
    <row r="143" spans="1:23">
      <c r="A143" s="224" t="s">
        <v>1245</v>
      </c>
      <c r="B143" s="7">
        <f>B136/B139</f>
        <v>15.002055076037815</v>
      </c>
      <c r="C143" s="7">
        <f>C136/C139</f>
        <v>14.506277570410587</v>
      </c>
      <c r="D143" s="7">
        <f>D136/D139</f>
        <v>13.447890025575447</v>
      </c>
      <c r="E143" s="7">
        <f>E136/E139</f>
        <v>12.518959107806692</v>
      </c>
    </row>
    <row r="144" spans="1:23">
      <c r="A144" s="224" t="s">
        <v>1303</v>
      </c>
      <c r="B144" s="7">
        <f>B137/$B140</f>
        <v>1.4971287940935194</v>
      </c>
      <c r="C144" s="7">
        <f>C137/$B140</f>
        <v>1.7534864643150123</v>
      </c>
      <c r="D144" s="7">
        <f>D137/$B140</f>
        <v>1.7253896636587367</v>
      </c>
      <c r="E144" s="7">
        <f>E137/$B140</f>
        <v>1.7266201804757999</v>
      </c>
    </row>
    <row r="145" spans="1:5">
      <c r="A145" s="224" t="s">
        <v>1244</v>
      </c>
      <c r="B145" s="7">
        <f>B136*0.3333/$B140</f>
        <v>2.4949651353568498</v>
      </c>
      <c r="C145" s="7">
        <f>C136*0.3333/$B140</f>
        <v>2.9221851927809674</v>
      </c>
      <c r="D145" s="7">
        <f>D136*0.3333/$B140</f>
        <v>2.8753618744872842</v>
      </c>
      <c r="E145" s="7">
        <f>E136*0.3333/$B140</f>
        <v>2.8774125307629199</v>
      </c>
    </row>
  </sheetData>
  <phoneticPr fontId="22"/>
  <pageMargins left="0.25" right="0.25" top="0.75" bottom="0.75" header="0.3" footer="0.3"/>
  <pageSetup scale="9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AK45"/>
  <sheetViews>
    <sheetView workbookViewId="0">
      <pane xSplit="1" topLeftCell="F1" activePane="topRight" state="frozen"/>
      <selection pane="topRight" activeCell="M4" sqref="M4:N4"/>
    </sheetView>
  </sheetViews>
  <sheetFormatPr defaultRowHeight="12.75"/>
  <cols>
    <col min="1" max="1" width="28.7109375" customWidth="1"/>
  </cols>
  <sheetData>
    <row r="1" spans="1:37" ht="27">
      <c r="A1" s="112" t="s">
        <v>357</v>
      </c>
    </row>
    <row r="2" spans="1:37" s="31" customFormat="1" ht="15.75">
      <c r="A2" s="58" t="s">
        <v>383</v>
      </c>
      <c r="C2" s="69" t="s">
        <v>462</v>
      </c>
      <c r="D2" s="58"/>
      <c r="E2" s="58"/>
      <c r="F2" s="58"/>
      <c r="G2" s="58"/>
      <c r="H2" s="58"/>
    </row>
    <row r="3" spans="1:37" ht="15.75">
      <c r="A3" s="58" t="s">
        <v>380</v>
      </c>
      <c r="C3" s="58" t="str">
        <f>'price scenario A'!B3</f>
        <v>forecast is in 2017 dollars per million Btu</v>
      </c>
      <c r="D3" s="58"/>
      <c r="E3" s="58"/>
      <c r="F3" s="58"/>
      <c r="G3" s="58"/>
      <c r="H3" s="58"/>
    </row>
    <row r="4" spans="1:37">
      <c r="M4" s="18" t="s">
        <v>363</v>
      </c>
      <c r="N4" s="555" t="s">
        <v>364</v>
      </c>
    </row>
    <row r="5" spans="1:37" s="47" customFormat="1" ht="13.5">
      <c r="A5" s="59" t="str">
        <f>'Adjusted expend'!A5</f>
        <v xml:space="preserve"> Sector and Source</v>
      </c>
      <c r="B5" s="59">
        <f>'Adjusted price'!B6</f>
        <v>2005</v>
      </c>
      <c r="C5" s="59">
        <f>'Adjusted price'!C6</f>
        <v>2006</v>
      </c>
      <c r="D5" s="59">
        <f>'Adjusted price'!D6</f>
        <v>2007</v>
      </c>
      <c r="E5" s="59">
        <f>'Adjusted price'!E6</f>
        <v>2008</v>
      </c>
      <c r="F5" s="59">
        <f>'Adjusted price'!F6</f>
        <v>2009</v>
      </c>
      <c r="G5" s="59">
        <f>'Adjusted price'!G6</f>
        <v>2010</v>
      </c>
      <c r="H5" s="59">
        <f>'Adjusted price'!H6</f>
        <v>2011</v>
      </c>
      <c r="I5" s="59">
        <f>'Adjusted price'!I6</f>
        <v>2012</v>
      </c>
      <c r="J5" s="59">
        <f>'Adjusted price'!J6</f>
        <v>2013</v>
      </c>
      <c r="K5" s="59">
        <f>'Adjusted price'!K6</f>
        <v>2014</v>
      </c>
      <c r="L5" s="59">
        <f>'Adjusted price'!L6</f>
        <v>2015</v>
      </c>
      <c r="M5" s="59">
        <f>'Adjusted price'!M6</f>
        <v>2016</v>
      </c>
      <c r="N5" s="59">
        <f>'Adjusted price'!N6</f>
        <v>2017</v>
      </c>
      <c r="O5" s="59">
        <f>'Adjusted price'!O6</f>
        <v>2018</v>
      </c>
      <c r="P5" s="59">
        <f>'Adjusted price'!P6</f>
        <v>2019</v>
      </c>
      <c r="Q5" s="59">
        <f>'Adjusted price'!Q6</f>
        <v>2020</v>
      </c>
      <c r="R5" s="59">
        <f>'Adjusted price'!R6</f>
        <v>2021</v>
      </c>
      <c r="S5" s="59">
        <f>'Adjusted price'!S6</f>
        <v>2022</v>
      </c>
      <c r="T5" s="59">
        <f>'Adjusted price'!T6</f>
        <v>2023</v>
      </c>
      <c r="U5" s="59">
        <f>'Adjusted price'!U6</f>
        <v>2024</v>
      </c>
      <c r="V5" s="59">
        <f>'Adjusted price'!V6</f>
        <v>2025</v>
      </c>
      <c r="W5" s="59">
        <f>'Adjusted price'!W6</f>
        <v>2026</v>
      </c>
      <c r="X5" s="59">
        <f>'Adjusted price'!X6</f>
        <v>2027</v>
      </c>
      <c r="Y5" s="59">
        <f>'Adjusted price'!Y6</f>
        <v>2028</v>
      </c>
      <c r="Z5" s="59">
        <f>'Adjusted price'!Z6</f>
        <v>2029</v>
      </c>
      <c r="AA5" s="59">
        <f>'Adjusted price'!AA6</f>
        <v>2030</v>
      </c>
      <c r="AB5" s="59">
        <f>'Adjusted price'!AB6</f>
        <v>2031</v>
      </c>
      <c r="AC5" s="59">
        <f>'Adjusted price'!AC6</f>
        <v>2032</v>
      </c>
      <c r="AD5" s="59">
        <f>'Adjusted price'!AD6</f>
        <v>2033</v>
      </c>
      <c r="AE5" s="59">
        <f>'Adjusted price'!AE6</f>
        <v>2034</v>
      </c>
      <c r="AF5" s="59">
        <f>'Adjusted price'!AF6</f>
        <v>2035</v>
      </c>
      <c r="AG5" s="59">
        <f>'Adjusted price'!AG6</f>
        <v>2036</v>
      </c>
      <c r="AH5" s="59">
        <f>'Adjusted price'!AH6</f>
        <v>2037</v>
      </c>
      <c r="AI5" s="59">
        <f>'Adjusted price'!AI6</f>
        <v>2038</v>
      </c>
      <c r="AJ5" s="59">
        <f>'Adjusted price'!AJ6</f>
        <v>2039</v>
      </c>
      <c r="AK5" s="59">
        <f>'Adjusted price'!AK6</f>
        <v>2040</v>
      </c>
    </row>
    <row r="6" spans="1:37">
      <c r="A6" s="57" t="s">
        <v>78</v>
      </c>
    </row>
    <row r="7" spans="1:37">
      <c r="A7" s="57" t="str">
        <f>'Adjusted expend'!A7</f>
        <v xml:space="preserve">   Liquefied Petroleum Gases</v>
      </c>
      <c r="K7" s="66">
        <f>'Baseline Price'!K8*'Baseline Consumption'!K8</f>
        <v>0.15855154586752535</v>
      </c>
      <c r="L7" s="66">
        <f>'Baseline Price'!L8*'Baseline Consumption'!L8</f>
        <v>0.13270733973197674</v>
      </c>
      <c r="M7" s="66">
        <f>'Baseline Price'!M8*'Baseline Consumption'!M8</f>
        <v>0.13185780817982887</v>
      </c>
      <c r="N7" s="66">
        <f>'Baseline Price'!N8*'Baseline Consumption'!N8</f>
        <v>0.15626654487708258</v>
      </c>
      <c r="O7" s="66">
        <f>'Baseline Price'!O8*'Baseline Consumption'!O8</f>
        <v>0.13755753541345561</v>
      </c>
      <c r="P7" s="66">
        <f>'Baseline Price'!P8*'Baseline Consumption'!P8</f>
        <v>0.13460410030524153</v>
      </c>
      <c r="Q7" s="66">
        <f>'Baseline Price'!Q8*'Baseline Consumption'!Q8</f>
        <v>0.13962706386689841</v>
      </c>
      <c r="R7" s="66">
        <f>'Baseline Price'!R8*'Baseline Consumption'!R8</f>
        <v>0.14020179046994161</v>
      </c>
      <c r="S7" s="66">
        <f>'Baseline Price'!S8*'Baseline Consumption'!S8</f>
        <v>0.14065054314600109</v>
      </c>
      <c r="T7" s="66">
        <f>'Baseline Price'!T8*'Baseline Consumption'!T8</f>
        <v>0.14101213291761439</v>
      </c>
      <c r="U7" s="66">
        <f>'Baseline Price'!U8*'Baseline Consumption'!U8</f>
        <v>0.15671448217181824</v>
      </c>
      <c r="V7" s="66">
        <f>'Baseline Price'!V8*'Baseline Consumption'!V8</f>
        <v>0.15589298189818154</v>
      </c>
      <c r="W7" s="66">
        <f>'Baseline Price'!W8*'Baseline Consumption'!W8</f>
        <v>0.15512853476285327</v>
      </c>
      <c r="X7" s="66">
        <f>'Baseline Price'!X8*'Baseline Consumption'!X8</f>
        <v>0.15435587778156182</v>
      </c>
      <c r="Y7" s="66">
        <f>'Baseline Price'!Y8*'Baseline Consumption'!Y8</f>
        <v>0.15388854740246594</v>
      </c>
      <c r="Z7" s="66">
        <f>'Baseline Price'!Z8*'Baseline Consumption'!Z8</f>
        <v>0.15659668326429252</v>
      </c>
      <c r="AA7" s="66">
        <f>'Baseline Price'!AA8*'Baseline Consumption'!AA8</f>
        <v>0.15612394233839405</v>
      </c>
      <c r="AB7" s="66">
        <f>'Baseline Price'!AB8*'Baseline Consumption'!AB8</f>
        <v>0.15633213200721527</v>
      </c>
      <c r="AC7" s="66">
        <f>'Baseline Price'!AC8*'Baseline Consumption'!AC8</f>
        <v>0.15684083903228263</v>
      </c>
      <c r="AD7" s="66">
        <f>'Baseline Price'!AD8*'Baseline Consumption'!AD8</f>
        <v>0.15712840116774759</v>
      </c>
      <c r="AE7" s="66">
        <f>'Baseline Price'!AE8*'Baseline Consumption'!AE8</f>
        <v>0.15710948053119472</v>
      </c>
      <c r="AF7" s="66">
        <f>'Baseline Price'!AF8*'Baseline Consumption'!AF8</f>
        <v>0.15748157137521993</v>
      </c>
      <c r="AG7" s="66">
        <f>'Baseline Price'!AG8*'Baseline Consumption'!AG8</f>
        <v>0.15787826936497656</v>
      </c>
      <c r="AH7" s="66">
        <f>'Baseline Price'!AH8*'Baseline Consumption'!AH8</f>
        <v>0.15743614278471493</v>
      </c>
      <c r="AI7" s="66">
        <f>'Baseline Price'!AI8*'Baseline Consumption'!AI8</f>
        <v>0.15856485175347315</v>
      </c>
      <c r="AJ7" s="66">
        <f>'Baseline Price'!AJ8*'Baseline Consumption'!AJ8</f>
        <v>0.15844574846648318</v>
      </c>
      <c r="AK7" s="66">
        <f>'Baseline Price'!AK8*'Baseline Consumption'!AK8</f>
        <v>0.15824890379172218</v>
      </c>
    </row>
    <row r="8" spans="1:37">
      <c r="A8" s="57" t="str">
        <f>'Adjusted expend'!A8</f>
        <v xml:space="preserve">   Distillate Fuel Oil</v>
      </c>
      <c r="K8" s="66">
        <f>'Baseline Price'!K9*'Baseline Consumption'!K10</f>
        <v>9.7546875638584329E-2</v>
      </c>
      <c r="L8" s="66">
        <f>'Baseline Price'!L9*'Baseline Consumption'!L10</f>
        <v>7.2314017001715844E-2</v>
      </c>
      <c r="M8" s="66">
        <f>'Baseline Price'!M9*'Baseline Consumption'!M10</f>
        <v>5.2937913026325042E-2</v>
      </c>
      <c r="N8" s="66">
        <f>'Baseline Price'!N9*'Baseline Consumption'!N10</f>
        <v>6.7471984095410581E-2</v>
      </c>
      <c r="O8" s="66">
        <f>'Baseline Price'!O9*'Baseline Consumption'!O10</f>
        <v>7.5857578572736561E-2</v>
      </c>
      <c r="P8" s="66">
        <f>'Baseline Price'!P9*'Baseline Consumption'!P10</f>
        <v>7.4149806606253768E-2</v>
      </c>
      <c r="Q8" s="66">
        <f>'Baseline Price'!Q9*'Baseline Consumption'!Q10</f>
        <v>8.4123206648081414E-2</v>
      </c>
      <c r="R8" s="66">
        <f>'Baseline Price'!R9*'Baseline Consumption'!R10</f>
        <v>8.7055466755292799E-2</v>
      </c>
      <c r="S8" s="66">
        <f>'Baseline Price'!S9*'Baseline Consumption'!S10</f>
        <v>8.702186225244099E-2</v>
      </c>
      <c r="T8" s="66">
        <f>'Baseline Price'!T9*'Baseline Consumption'!T10</f>
        <v>8.6882487463658398E-2</v>
      </c>
      <c r="U8" s="66">
        <f>'Baseline Price'!U9*'Baseline Consumption'!U10</f>
        <v>8.6214448774553296E-2</v>
      </c>
      <c r="V8" s="66">
        <f>'Baseline Price'!V9*'Baseline Consumption'!V10</f>
        <v>8.4945799507243333E-2</v>
      </c>
      <c r="W8" s="66">
        <f>'Baseline Price'!W9*'Baseline Consumption'!W10</f>
        <v>8.3910518320143443E-2</v>
      </c>
      <c r="X8" s="66">
        <f>'Baseline Price'!X9*'Baseline Consumption'!X10</f>
        <v>8.3027929616802276E-2</v>
      </c>
      <c r="Y8" s="66">
        <f>'Baseline Price'!Y9*'Baseline Consumption'!Y10</f>
        <v>8.2287387414135937E-2</v>
      </c>
      <c r="Z8" s="66">
        <f>'Baseline Price'!Z9*'Baseline Consumption'!Z10</f>
        <v>8.1566554291220117E-2</v>
      </c>
      <c r="AA8" s="66">
        <f>'Baseline Price'!AA9*'Baseline Consumption'!AA10</f>
        <v>8.0551448436715828E-2</v>
      </c>
      <c r="AB8" s="66">
        <f>'Baseline Price'!AB9*'Baseline Consumption'!AB10</f>
        <v>8.0127733330047704E-2</v>
      </c>
      <c r="AC8" s="66">
        <f>'Baseline Price'!AC9*'Baseline Consumption'!AC10</f>
        <v>7.9183115346675784E-2</v>
      </c>
      <c r="AD8" s="66">
        <f>'Baseline Price'!AD9*'Baseline Consumption'!AD10</f>
        <v>7.8581106339147277E-2</v>
      </c>
      <c r="AE8" s="66">
        <f>'Baseline Price'!AE9*'Baseline Consumption'!AE10</f>
        <v>7.7852684610231052E-2</v>
      </c>
      <c r="AF8" s="66">
        <f>'Baseline Price'!AF9*'Baseline Consumption'!AF10</f>
        <v>7.6835308501617447E-2</v>
      </c>
      <c r="AG8" s="66">
        <f>'Baseline Price'!AG9*'Baseline Consumption'!AG10</f>
        <v>7.5880706717836408E-2</v>
      </c>
      <c r="AH8" s="66">
        <f>'Baseline Price'!AH9*'Baseline Consumption'!AH10</f>
        <v>7.5847328323515525E-2</v>
      </c>
      <c r="AI8" s="66">
        <f>'Baseline Price'!AI9*'Baseline Consumption'!AI10</f>
        <v>7.4939113126259296E-2</v>
      </c>
      <c r="AJ8" s="66">
        <f>'Baseline Price'!AJ9*'Baseline Consumption'!AJ10</f>
        <v>7.4273637756779601E-2</v>
      </c>
      <c r="AK8" s="66">
        <f>'Baseline Price'!AK9*'Baseline Consumption'!AK10</f>
        <v>7.3607294857944622E-2</v>
      </c>
    </row>
    <row r="9" spans="1:37">
      <c r="A9" s="57" t="str">
        <f>'Adjusted expend'!A9</f>
        <v xml:space="preserve">   Natural Gas</v>
      </c>
      <c r="K9" s="66">
        <f>'Baseline Price'!K10*'Baseline Consumption'!K11</f>
        <v>0.81348062232083784</v>
      </c>
      <c r="L9" s="66">
        <f>'Baseline Price'!L10*'Baseline Consumption'!L11</f>
        <v>0.83930102891221459</v>
      </c>
      <c r="M9" s="66">
        <f>'Baseline Price'!M10*'Baseline Consumption'!M11</f>
        <v>0.93073806023067207</v>
      </c>
      <c r="N9" s="66">
        <f>'Baseline Price'!N10*'Baseline Consumption'!N11</f>
        <v>0.95362334267858917</v>
      </c>
      <c r="O9" s="66">
        <f>'Baseline Price'!O10*'Baseline Consumption'!O11</f>
        <v>1.0211841046806227</v>
      </c>
      <c r="P9" s="66">
        <f>'Baseline Price'!P10*'Baseline Consumption'!P11</f>
        <v>1.0105938988515177</v>
      </c>
      <c r="Q9" s="66">
        <f>'Baseline Price'!Q10*'Baseline Consumption'!Q11</f>
        <v>1.0108904210456293</v>
      </c>
      <c r="R9" s="66">
        <f>'Baseline Price'!R10*'Baseline Consumption'!R11</f>
        <v>0.99147453525056262</v>
      </c>
      <c r="S9" s="66">
        <f>'Baseline Price'!S10*'Baseline Consumption'!S11</f>
        <v>0.97232459640089675</v>
      </c>
      <c r="T9" s="66">
        <f>'Baseline Price'!T10*'Baseline Consumption'!T11</f>
        <v>0.96279420964889073</v>
      </c>
      <c r="U9" s="66">
        <f>'Baseline Price'!U10*'Baseline Consumption'!U11</f>
        <v>1.1514756639032004</v>
      </c>
      <c r="V9" s="66">
        <f>'Baseline Price'!V10*'Baseline Consumption'!V11</f>
        <v>1.1674262960157626</v>
      </c>
      <c r="W9" s="66">
        <f>'Baseline Price'!W10*'Baseline Consumption'!W11</f>
        <v>1.1748916086854213</v>
      </c>
      <c r="X9" s="66">
        <f>'Baseline Price'!X10*'Baseline Consumption'!X11</f>
        <v>1.183669492977973</v>
      </c>
      <c r="Y9" s="66">
        <f>'Baseline Price'!Y10*'Baseline Consumption'!Y11</f>
        <v>1.1879458814614692</v>
      </c>
      <c r="Z9" s="66">
        <f>'Baseline Price'!Z10*'Baseline Consumption'!Z11</f>
        <v>1.2232448429475187</v>
      </c>
      <c r="AA9" s="66">
        <f>'Baseline Price'!AA10*'Baseline Consumption'!AA11</f>
        <v>1.2263315358265299</v>
      </c>
      <c r="AB9" s="66">
        <f>'Baseline Price'!AB10*'Baseline Consumption'!AB11</f>
        <v>1.2308370038300225</v>
      </c>
      <c r="AC9" s="66">
        <f>'Baseline Price'!AC10*'Baseline Consumption'!AC11</f>
        <v>1.2359762099551805</v>
      </c>
      <c r="AD9" s="66">
        <f>'Baseline Price'!AD10*'Baseline Consumption'!AD11</f>
        <v>1.2404026003236308</v>
      </c>
      <c r="AE9" s="66">
        <f>'Baseline Price'!AE10*'Baseline Consumption'!AE11</f>
        <v>1.245779640498166</v>
      </c>
      <c r="AF9" s="66">
        <f>'Baseline Price'!AF10*'Baseline Consumption'!AF11</f>
        <v>1.250191104111164</v>
      </c>
      <c r="AG9" s="66">
        <f>'Baseline Price'!AG10*'Baseline Consumption'!AG11</f>
        <v>1.2600261884367072</v>
      </c>
      <c r="AH9" s="66">
        <f>'Baseline Price'!AH10*'Baseline Consumption'!AH11</f>
        <v>1.2653115832320601</v>
      </c>
      <c r="AI9" s="66">
        <f>'Baseline Price'!AI10*'Baseline Consumption'!AI11</f>
        <v>1.2712760653862034</v>
      </c>
      <c r="AJ9" s="66">
        <f>'Baseline Price'!AJ10*'Baseline Consumption'!AJ11</f>
        <v>1.2773227293739466</v>
      </c>
      <c r="AK9" s="66">
        <f>'Baseline Price'!AK10*'Baseline Consumption'!AK11</f>
        <v>1.2831459921799513</v>
      </c>
    </row>
    <row r="10" spans="1:37">
      <c r="A10" s="57" t="str">
        <f>'Adjusted expend'!A10</f>
        <v xml:space="preserve">   Electricity</v>
      </c>
      <c r="K10" s="66">
        <f>'Baseline Price'!K11*'Baseline Consumption'!K13</f>
        <v>3.1161775975528743</v>
      </c>
      <c r="L10" s="66">
        <f>'Baseline Price'!L11*'Baseline Consumption'!L13</f>
        <v>3.2444342892485585</v>
      </c>
      <c r="M10" s="66">
        <f>'Baseline Price'!M11*'Baseline Consumption'!M13</f>
        <v>3.1968224563151879</v>
      </c>
      <c r="N10" s="66">
        <f>'Baseline Price'!N11*'Baseline Consumption'!N13</f>
        <v>3.3894507608117794</v>
      </c>
      <c r="O10" s="66">
        <f>'Baseline Price'!O11*'Baseline Consumption'!O13</f>
        <v>3.4531509848077908</v>
      </c>
      <c r="P10" s="66">
        <f>'Baseline Price'!P11*'Baseline Consumption'!P13</f>
        <v>3.3793741263524186</v>
      </c>
      <c r="Q10" s="66">
        <f>'Baseline Price'!Q11*'Baseline Consumption'!Q13</f>
        <v>3.2671933662815755</v>
      </c>
      <c r="R10" s="66">
        <f>'Baseline Price'!R11*'Baseline Consumption'!R13</f>
        <v>3.2655783633082724</v>
      </c>
      <c r="S10" s="66">
        <f>'Baseline Price'!S11*'Baseline Consumption'!S13</f>
        <v>3.3032581488438253</v>
      </c>
      <c r="T10" s="66">
        <f>'Baseline Price'!T11*'Baseline Consumption'!T13</f>
        <v>3.395136409448356</v>
      </c>
      <c r="U10" s="66">
        <f>'Baseline Price'!U11*'Baseline Consumption'!U13</f>
        <v>3.4026628694916528</v>
      </c>
      <c r="V10" s="66">
        <f>'Baseline Price'!V11*'Baseline Consumption'!V13</f>
        <v>3.4416251947510199</v>
      </c>
      <c r="W10" s="66">
        <f>'Baseline Price'!W11*'Baseline Consumption'!W13</f>
        <v>3.504358368436117</v>
      </c>
      <c r="X10" s="66">
        <f>'Baseline Price'!X11*'Baseline Consumption'!X13</f>
        <v>3.4805900515864248</v>
      </c>
      <c r="Y10" s="66">
        <f>'Baseline Price'!Y11*'Baseline Consumption'!Y13</f>
        <v>3.4539420005551853</v>
      </c>
      <c r="Z10" s="66">
        <f>'Baseline Price'!Z11*'Baseline Consumption'!Z13</f>
        <v>3.4511446954265343</v>
      </c>
      <c r="AA10" s="66">
        <f>'Baseline Price'!AA11*'Baseline Consumption'!AA13</f>
        <v>3.4897335760252393</v>
      </c>
      <c r="AB10" s="66">
        <f>'Baseline Price'!AB11*'Baseline Consumption'!AB13</f>
        <v>3.5543400092752182</v>
      </c>
      <c r="AC10" s="66">
        <f>'Baseline Price'!AC11*'Baseline Consumption'!AC13</f>
        <v>3.6005561990611619</v>
      </c>
      <c r="AD10" s="66">
        <f>'Baseline Price'!AD11*'Baseline Consumption'!AD13</f>
        <v>3.6461264689320507</v>
      </c>
      <c r="AE10" s="66">
        <f>'Baseline Price'!AE11*'Baseline Consumption'!AE13</f>
        <v>3.6936145543750341</v>
      </c>
      <c r="AF10" s="66">
        <f>'Baseline Price'!AF11*'Baseline Consumption'!AF13</f>
        <v>3.7385683011248005</v>
      </c>
      <c r="AG10" s="66">
        <f>'Baseline Price'!AG11*'Baseline Consumption'!AG13</f>
        <v>3.7711570570846433</v>
      </c>
      <c r="AH10" s="66">
        <f>'Baseline Price'!AH11*'Baseline Consumption'!AH13</f>
        <v>3.8090774922501844</v>
      </c>
      <c r="AI10" s="66">
        <f>'Baseline Price'!AI11*'Baseline Consumption'!AI13</f>
        <v>3.8449245202019044</v>
      </c>
      <c r="AJ10" s="66">
        <f>'Baseline Price'!AJ11*'Baseline Consumption'!AJ13</f>
        <v>3.8753071968038695</v>
      </c>
      <c r="AK10" s="66">
        <f>'Baseline Price'!AK11*'Baseline Consumption'!AK13</f>
        <v>3.9115308768742647</v>
      </c>
    </row>
    <row r="11" spans="1:37">
      <c r="A11" s="77" t="str">
        <f>'Adjusted expend'!A11</f>
        <v>Total</v>
      </c>
      <c r="K11" s="85">
        <f>SUM(K7:K10)</f>
        <v>4.1857566413798217</v>
      </c>
      <c r="L11" s="85">
        <f t="shared" ref="L11:AK11" si="0">SUM(L7:L10)</f>
        <v>4.2887566748944659</v>
      </c>
      <c r="M11" s="85">
        <f t="shared" si="0"/>
        <v>4.3123562377520139</v>
      </c>
      <c r="N11" s="85">
        <f t="shared" si="0"/>
        <v>4.5668126324628613</v>
      </c>
      <c r="O11" s="85">
        <f t="shared" si="0"/>
        <v>4.6877502034746055</v>
      </c>
      <c r="P11" s="85">
        <f t="shared" si="0"/>
        <v>4.5987219321154313</v>
      </c>
      <c r="Q11" s="85">
        <f>SUM(Q7:Q10)</f>
        <v>4.5018340578421849</v>
      </c>
      <c r="R11" s="85">
        <f t="shared" si="0"/>
        <v>4.484310155784069</v>
      </c>
      <c r="S11" s="85">
        <f t="shared" si="0"/>
        <v>4.503255150643164</v>
      </c>
      <c r="T11" s="85">
        <f t="shared" si="0"/>
        <v>4.5858252394785195</v>
      </c>
      <c r="U11" s="85">
        <f t="shared" si="0"/>
        <v>4.7970674643412252</v>
      </c>
      <c r="V11" s="85">
        <f t="shared" si="0"/>
        <v>4.8498902721722077</v>
      </c>
      <c r="W11" s="85">
        <f t="shared" si="0"/>
        <v>4.9182890302045355</v>
      </c>
      <c r="X11" s="85">
        <f t="shared" si="0"/>
        <v>4.901643351962762</v>
      </c>
      <c r="Y11" s="85">
        <f t="shared" si="0"/>
        <v>4.8780638168332562</v>
      </c>
      <c r="Z11" s="85">
        <f t="shared" si="0"/>
        <v>4.9125527759295657</v>
      </c>
      <c r="AA11" s="85">
        <f t="shared" si="0"/>
        <v>4.9527405026268791</v>
      </c>
      <c r="AB11" s="85">
        <f t="shared" si="0"/>
        <v>5.0216368784425036</v>
      </c>
      <c r="AC11" s="85">
        <f t="shared" si="0"/>
        <v>5.072556363395301</v>
      </c>
      <c r="AD11" s="85">
        <f t="shared" si="0"/>
        <v>5.1222385767625767</v>
      </c>
      <c r="AE11" s="85">
        <f t="shared" si="0"/>
        <v>5.1743563600146256</v>
      </c>
      <c r="AF11" s="85">
        <f>SUM(AF7:AF10)</f>
        <v>5.2230762851128016</v>
      </c>
      <c r="AG11" s="85">
        <f t="shared" si="0"/>
        <v>5.2649422216041639</v>
      </c>
      <c r="AH11" s="85">
        <f t="shared" si="0"/>
        <v>5.3076725465904744</v>
      </c>
      <c r="AI11" s="85">
        <f t="shared" si="0"/>
        <v>5.3497045504678402</v>
      </c>
      <c r="AJ11" s="85">
        <f t="shared" si="0"/>
        <v>5.3853493124010789</v>
      </c>
      <c r="AK11" s="85">
        <f t="shared" si="0"/>
        <v>5.4265330677038826</v>
      </c>
    </row>
    <row r="12" spans="1:37" s="57" customFormat="1">
      <c r="A12" s="77"/>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row>
    <row r="13" spans="1:37">
      <c r="A13" s="57" t="s">
        <v>79</v>
      </c>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row>
    <row r="14" spans="1:37">
      <c r="A14" s="57" t="str">
        <f>'Adjusted expend'!A14</f>
        <v xml:space="preserve">   Liquefied Petroleum Gases</v>
      </c>
      <c r="K14" s="66">
        <f>'Baseline Price'!K14*'Baseline Consumption'!K17</f>
        <v>6.807472007271527E-2</v>
      </c>
      <c r="L14" s="66">
        <f>'Baseline Price'!L14*'Baseline Consumption'!L17</f>
        <v>4.9496997653524388E-2</v>
      </c>
      <c r="M14" s="66">
        <f>'Baseline Price'!M14*'Baseline Consumption'!M17</f>
        <v>4.9428286355650275E-2</v>
      </c>
      <c r="N14" s="66">
        <f>'Baseline Price'!N14*'Baseline Consumption'!N17</f>
        <v>5.332505354783254E-2</v>
      </c>
      <c r="O14" s="66">
        <f>'Baseline Price'!O14*'Baseline Consumption'!O17</f>
        <v>4.9642032888680278E-2</v>
      </c>
      <c r="P14" s="66">
        <f>'Baseline Price'!P14*'Baseline Consumption'!P17</f>
        <v>5.3098624026297218E-2</v>
      </c>
      <c r="Q14" s="66">
        <f>'Baseline Price'!Q14*'Baseline Consumption'!Q17</f>
        <v>5.771393033365247E-2</v>
      </c>
      <c r="R14" s="66">
        <f>'Baseline Price'!R14*'Baseline Consumption'!R17</f>
        <v>6.159906959876045E-2</v>
      </c>
      <c r="S14" s="66">
        <f>'Baseline Price'!S14*'Baseline Consumption'!S17</f>
        <v>6.5529024772361069E-2</v>
      </c>
      <c r="T14" s="66">
        <f>'Baseline Price'!T14*'Baseline Consumption'!T17</f>
        <v>6.7152719937706898E-2</v>
      </c>
      <c r="U14" s="66">
        <f>'Baseline Price'!U14*'Baseline Consumption'!U17</f>
        <v>7.5366327525296872E-2</v>
      </c>
      <c r="V14" s="66">
        <f>'Baseline Price'!V14*'Baseline Consumption'!V17</f>
        <v>7.6766260642992551E-2</v>
      </c>
      <c r="W14" s="66">
        <f>'Baseline Price'!W14*'Baseline Consumption'!W17</f>
        <v>7.8168862560478336E-2</v>
      </c>
      <c r="X14" s="66">
        <f>'Baseline Price'!X14*'Baseline Consumption'!X17</f>
        <v>7.9571345853656689E-2</v>
      </c>
      <c r="Y14" s="66">
        <f>'Baseline Price'!Y14*'Baseline Consumption'!Y17</f>
        <v>8.108403495567354E-2</v>
      </c>
      <c r="Z14" s="66">
        <f>'Baseline Price'!Z14*'Baseline Consumption'!Z17</f>
        <v>8.3931883233780896E-2</v>
      </c>
      <c r="AA14" s="66">
        <f>'Baseline Price'!AA14*'Baseline Consumption'!AA17</f>
        <v>8.5527445245083045E-2</v>
      </c>
      <c r="AB14" s="66">
        <f>'Baseline Price'!AB14*'Baseline Consumption'!AB17</f>
        <v>8.7326564128119136E-2</v>
      </c>
      <c r="AC14" s="66">
        <f>'Baseline Price'!AC14*'Baseline Consumption'!AC17</f>
        <v>8.9256571376818999E-2</v>
      </c>
      <c r="AD14" s="66">
        <f>'Baseline Price'!AD14*'Baseline Consumption'!AD17</f>
        <v>9.1142840621458387E-2</v>
      </c>
      <c r="AE14" s="66">
        <f>'Baseline Price'!AE14*'Baseline Consumption'!AE17</f>
        <v>9.2933014743524778E-2</v>
      </c>
      <c r="AF14" s="66">
        <f>'Baseline Price'!AF14*'Baseline Consumption'!AF17</f>
        <v>9.4805595821217614E-2</v>
      </c>
      <c r="AG14" s="66">
        <f>'Baseline Price'!AG14*'Baseline Consumption'!AG17</f>
        <v>9.6704325488701254E-2</v>
      </c>
      <c r="AH14" s="66">
        <f>'Baseline Price'!AH14*'Baseline Consumption'!AH17</f>
        <v>9.8323218399349044E-2</v>
      </c>
      <c r="AI14" s="66">
        <f>'Baseline Price'!AI14*'Baseline Consumption'!AI17</f>
        <v>0.10046561328231025</v>
      </c>
      <c r="AJ14" s="66">
        <f>'Baseline Price'!AJ14*'Baseline Consumption'!AJ17</f>
        <v>0.10222903549303919</v>
      </c>
      <c r="AK14" s="66">
        <f>'Baseline Price'!AK14*'Baseline Consumption'!AK17</f>
        <v>0.10395027028854156</v>
      </c>
    </row>
    <row r="15" spans="1:37">
      <c r="A15" s="57" t="str">
        <f>'Adjusted expend'!A15</f>
        <v xml:space="preserve">   Distillate Fuel Oil</v>
      </c>
      <c r="K15" s="66">
        <f>'Baseline Price'!K15*'Baseline Consumption'!K20</f>
        <v>0.18176817342349399</v>
      </c>
      <c r="L15" s="66">
        <f>'Baseline Price'!L15*'Baseline Consumption'!L20</f>
        <v>0.11906643779645161</v>
      </c>
      <c r="M15" s="66">
        <f>'Baseline Price'!M15*'Baseline Consumption'!M20</f>
        <v>0.10565517672315819</v>
      </c>
      <c r="N15" s="66">
        <f>'Baseline Price'!N15*'Baseline Consumption'!N20</f>
        <v>0.12954824775337567</v>
      </c>
      <c r="O15" s="66">
        <f>'Baseline Price'!O15*'Baseline Consumption'!O20</f>
        <v>0.1468314247562767</v>
      </c>
      <c r="P15" s="66">
        <f>'Baseline Price'!P15*'Baseline Consumption'!P20</f>
        <v>0.14676336851253402</v>
      </c>
      <c r="Q15" s="66">
        <f>'Baseline Price'!Q15*'Baseline Consumption'!Q20</f>
        <v>0.16667286814614993</v>
      </c>
      <c r="R15" s="66">
        <f>'Baseline Price'!R15*'Baseline Consumption'!R20</f>
        <v>0.17376584029740907</v>
      </c>
      <c r="S15" s="66">
        <f>'Baseline Price'!S15*'Baseline Consumption'!S20</f>
        <v>0.17564588056804045</v>
      </c>
      <c r="T15" s="66">
        <f>'Baseline Price'!T15*'Baseline Consumption'!T20</f>
        <v>0.1772161075991939</v>
      </c>
      <c r="U15" s="66">
        <f>'Baseline Price'!U15*'Baseline Consumption'!U20</f>
        <v>0.19397733300991088</v>
      </c>
      <c r="V15" s="66">
        <f>'Baseline Price'!V15*'Baseline Consumption'!V20</f>
        <v>0.19470348557736786</v>
      </c>
      <c r="W15" s="66">
        <f>'Baseline Price'!W15*'Baseline Consumption'!W20</f>
        <v>0.19510809937123871</v>
      </c>
      <c r="X15" s="66">
        <f>'Baseline Price'!X15*'Baseline Consumption'!X20</f>
        <v>0.19636762458167026</v>
      </c>
      <c r="Y15" s="66">
        <f>'Baseline Price'!Y15*'Baseline Consumption'!Y20</f>
        <v>0.19774764981933021</v>
      </c>
      <c r="Z15" s="66">
        <f>'Baseline Price'!Z15*'Baseline Consumption'!Z20</f>
        <v>0.20120065318281005</v>
      </c>
      <c r="AA15" s="66">
        <f>'Baseline Price'!AA15*'Baseline Consumption'!AA20</f>
        <v>0.20188881395250335</v>
      </c>
      <c r="AB15" s="66">
        <f>'Baseline Price'!AB15*'Baseline Consumption'!AB20</f>
        <v>0.20359650772765961</v>
      </c>
      <c r="AC15" s="66">
        <f>'Baseline Price'!AC15*'Baseline Consumption'!AC20</f>
        <v>0.20396505278153129</v>
      </c>
      <c r="AD15" s="66">
        <f>'Baseline Price'!AD15*'Baseline Consumption'!AD20</f>
        <v>0.2052132099462009</v>
      </c>
      <c r="AE15" s="66">
        <f>'Baseline Price'!AE15*'Baseline Consumption'!AE20</f>
        <v>0.20648456843646157</v>
      </c>
      <c r="AF15" s="66">
        <f>'Baseline Price'!AF15*'Baseline Consumption'!AF20</f>
        <v>0.20676599301854126</v>
      </c>
      <c r="AG15" s="66">
        <f>'Baseline Price'!AG15*'Baseline Consumption'!AG20</f>
        <v>0.20701591410334544</v>
      </c>
      <c r="AH15" s="66">
        <f>'Baseline Price'!AH15*'Baseline Consumption'!AH20</f>
        <v>0.20957406365991701</v>
      </c>
      <c r="AI15" s="66">
        <f>'Baseline Price'!AI15*'Baseline Consumption'!AI20</f>
        <v>0.20971905663568952</v>
      </c>
      <c r="AJ15" s="66">
        <f>'Baseline Price'!AJ15*'Baseline Consumption'!AJ20</f>
        <v>0.21042138801176444</v>
      </c>
      <c r="AK15" s="66">
        <f>'Baseline Price'!AK15*'Baseline Consumption'!AK20</f>
        <v>0.21111882949520833</v>
      </c>
    </row>
    <row r="16" spans="1:37">
      <c r="A16" s="57" t="str">
        <f>'Adjusted expend'!A16</f>
        <v xml:space="preserve">   Residual Fuel</v>
      </c>
      <c r="K16" s="66">
        <f>'Baseline Price'!K16*'Baseline Consumption'!K21</f>
        <v>1.3202080195509673E-4</v>
      </c>
      <c r="L16" s="66">
        <f>'Baseline Price'!L16*'Baseline Consumption'!L21</f>
        <v>2.3013899285262408E-5</v>
      </c>
      <c r="M16" s="66">
        <f>'Baseline Price'!M16*'Baseline Consumption'!M21</f>
        <v>0</v>
      </c>
      <c r="N16" s="66">
        <f>'Baseline Price'!N16*'Baseline Consumption'!N21</f>
        <v>0</v>
      </c>
      <c r="O16" s="66">
        <f>'Baseline Price'!O16*'Baseline Consumption'!O21</f>
        <v>0</v>
      </c>
      <c r="P16" s="66">
        <f>'Baseline Price'!P16*'Baseline Consumption'!P21</f>
        <v>0</v>
      </c>
      <c r="Q16" s="66">
        <f>'Baseline Price'!Q16*'Baseline Consumption'!Q21</f>
        <v>0</v>
      </c>
      <c r="R16" s="66">
        <f>'Baseline Price'!R16*'Baseline Consumption'!R21</f>
        <v>0</v>
      </c>
      <c r="S16" s="66">
        <f>'Baseline Price'!S16*'Baseline Consumption'!S21</f>
        <v>0</v>
      </c>
      <c r="T16" s="66">
        <f>'Baseline Price'!T16*'Baseline Consumption'!T21</f>
        <v>0</v>
      </c>
      <c r="U16" s="66">
        <f>'Baseline Price'!U16*'Baseline Consumption'!U21</f>
        <v>0</v>
      </c>
      <c r="V16" s="66">
        <f>'Baseline Price'!V16*'Baseline Consumption'!V21</f>
        <v>0</v>
      </c>
      <c r="W16" s="66">
        <f>'Baseline Price'!W16*'Baseline Consumption'!W21</f>
        <v>0</v>
      </c>
      <c r="X16" s="66">
        <f>'Baseline Price'!X16*'Baseline Consumption'!X21</f>
        <v>0</v>
      </c>
      <c r="Y16" s="66">
        <f>'Baseline Price'!Y16*'Baseline Consumption'!Y21</f>
        <v>0</v>
      </c>
      <c r="Z16" s="66">
        <f>'Baseline Price'!Z16*'Baseline Consumption'!Z21</f>
        <v>0</v>
      </c>
      <c r="AA16" s="66">
        <f>'Baseline Price'!AA16*'Baseline Consumption'!AA21</f>
        <v>0</v>
      </c>
      <c r="AB16" s="66">
        <f>'Baseline Price'!AB16*'Baseline Consumption'!AB21</f>
        <v>0</v>
      </c>
      <c r="AC16" s="66">
        <f>'Baseline Price'!AC16*'Baseline Consumption'!AC21</f>
        <v>0</v>
      </c>
      <c r="AD16" s="66">
        <f>'Baseline Price'!AD16*'Baseline Consumption'!AD21</f>
        <v>0</v>
      </c>
      <c r="AE16" s="66">
        <f>'Baseline Price'!AE16*'Baseline Consumption'!AE21</f>
        <v>0</v>
      </c>
      <c r="AF16" s="66">
        <f>'Baseline Price'!AF16*'Baseline Consumption'!AF21</f>
        <v>0</v>
      </c>
      <c r="AG16" s="66">
        <f>'Baseline Price'!AG16*'Baseline Consumption'!AG21</f>
        <v>0</v>
      </c>
      <c r="AH16" s="66">
        <f>'Baseline Price'!AH16*'Baseline Consumption'!AH21</f>
        <v>0</v>
      </c>
      <c r="AI16" s="66">
        <f>'Baseline Price'!AI16*'Baseline Consumption'!AI21</f>
        <v>0</v>
      </c>
      <c r="AJ16" s="66">
        <f>'Baseline Price'!AJ16*'Baseline Consumption'!AJ21</f>
        <v>0</v>
      </c>
      <c r="AK16" s="66">
        <f>'Baseline Price'!AK16*'Baseline Consumption'!AK21</f>
        <v>0</v>
      </c>
    </row>
    <row r="17" spans="1:37">
      <c r="A17" s="57" t="str">
        <f>'Adjusted expend'!A17</f>
        <v xml:space="preserve">   Natural Gas</v>
      </c>
      <c r="K17" s="66">
        <f>'Baseline Price'!K17*'Baseline Consumption'!K22</f>
        <v>0.52096687306201761</v>
      </c>
      <c r="L17" s="66">
        <f>'Baseline Price'!L17*'Baseline Consumption'!L22</f>
        <v>0.47067617709958226</v>
      </c>
      <c r="M17" s="66">
        <f>'Baseline Price'!M17*'Baseline Consumption'!M22</f>
        <v>0.49905394381130919</v>
      </c>
      <c r="N17" s="66">
        <f>'Baseline Price'!N17*'Baseline Consumption'!N22</f>
        <v>0.50925778594591642</v>
      </c>
      <c r="O17" s="66">
        <f>'Baseline Price'!O17*'Baseline Consumption'!O22</f>
        <v>0.51311996471886834</v>
      </c>
      <c r="P17" s="66">
        <f>'Baseline Price'!P17*'Baseline Consumption'!P22</f>
        <v>0.52679366541543682</v>
      </c>
      <c r="Q17" s="66">
        <f>'Baseline Price'!Q17*'Baseline Consumption'!Q22</f>
        <v>0.54337905252105945</v>
      </c>
      <c r="R17" s="66">
        <f>'Baseline Price'!R17*'Baseline Consumption'!R22</f>
        <v>0.547867122157777</v>
      </c>
      <c r="S17" s="66">
        <f>'Baseline Price'!S17*'Baseline Consumption'!S22</f>
        <v>0.55284784009051069</v>
      </c>
      <c r="T17" s="66">
        <f>'Baseline Price'!T17*'Baseline Consumption'!T22</f>
        <v>0.56554077956049664</v>
      </c>
      <c r="U17" s="66">
        <f>'Baseline Price'!U17*'Baseline Consumption'!U22</f>
        <v>0.68664022975237604</v>
      </c>
      <c r="V17" s="66">
        <f>'Baseline Price'!V17*'Baseline Consumption'!V22</f>
        <v>0.69696082917671465</v>
      </c>
      <c r="W17" s="66">
        <f>'Baseline Price'!W17*'Baseline Consumption'!W22</f>
        <v>0.70340195582905052</v>
      </c>
      <c r="X17" s="66">
        <f>'Baseline Price'!X17*'Baseline Consumption'!X22</f>
        <v>0.71200974204280787</v>
      </c>
      <c r="Y17" s="66">
        <f>'Baseline Price'!Y17*'Baseline Consumption'!Y22</f>
        <v>0.7185567591743256</v>
      </c>
      <c r="Z17" s="66">
        <f>'Baseline Price'!Z17*'Baseline Consumption'!Z22</f>
        <v>0.7457243619742806</v>
      </c>
      <c r="AA17" s="66">
        <f>'Baseline Price'!AA17*'Baseline Consumption'!AA22</f>
        <v>0.75218145470901843</v>
      </c>
      <c r="AB17" s="66">
        <f>'Baseline Price'!AB17*'Baseline Consumption'!AB22</f>
        <v>0.76039409949877701</v>
      </c>
      <c r="AC17" s="66">
        <f>'Baseline Price'!AC17*'Baseline Consumption'!AC22</f>
        <v>0.76996138007437409</v>
      </c>
      <c r="AD17" s="66">
        <f>'Baseline Price'!AD17*'Baseline Consumption'!AD22</f>
        <v>0.77937163543690235</v>
      </c>
      <c r="AE17" s="66">
        <f>'Baseline Price'!AE17*'Baseline Consumption'!AE22</f>
        <v>0.7896645241021788</v>
      </c>
      <c r="AF17" s="66">
        <f>'Baseline Price'!AF17*'Baseline Consumption'!AF22</f>
        <v>0.79935356370954824</v>
      </c>
      <c r="AG17" s="66">
        <f>'Baseline Price'!AG17*'Baseline Consumption'!AG22</f>
        <v>0.81320827531998385</v>
      </c>
      <c r="AH17" s="66">
        <f>'Baseline Price'!AH17*'Baseline Consumption'!AH22</f>
        <v>0.82395515911253026</v>
      </c>
      <c r="AI17" s="66">
        <f>'Baseline Price'!AI17*'Baseline Consumption'!AI22</f>
        <v>0.83556817988581833</v>
      </c>
      <c r="AJ17" s="66">
        <f>'Baseline Price'!AJ17*'Baseline Consumption'!AJ22</f>
        <v>0.84753939199853567</v>
      </c>
      <c r="AK17" s="66">
        <f>'Baseline Price'!AK17*'Baseline Consumption'!AK22</f>
        <v>0.85955526058031639</v>
      </c>
    </row>
    <row r="18" spans="1:37">
      <c r="A18" s="57" t="str">
        <f>'Adjusted expend'!A18</f>
        <v xml:space="preserve">   Electricity</v>
      </c>
      <c r="K18" s="66">
        <f>'Baseline Price'!K18*'Baseline Consumption'!K25</f>
        <v>2.8679011902615752</v>
      </c>
      <c r="L18" s="66">
        <f>'Baseline Price'!L18*'Baseline Consumption'!L25</f>
        <v>2.8061712913216019</v>
      </c>
      <c r="M18" s="66">
        <f>'Baseline Price'!M18*'Baseline Consumption'!M25</f>
        <v>2.3697016601840524</v>
      </c>
      <c r="N18" s="66">
        <f>'Baseline Price'!N18*'Baseline Consumption'!N25</f>
        <v>2.6561276540766516</v>
      </c>
      <c r="O18" s="66">
        <f>'Baseline Price'!O18*'Baseline Consumption'!O25</f>
        <v>2.6370564054182095</v>
      </c>
      <c r="P18" s="66">
        <f>'Baseline Price'!P18*'Baseline Consumption'!P25</f>
        <v>2.5348374267307499</v>
      </c>
      <c r="Q18" s="66">
        <f>'Baseline Price'!Q18*'Baseline Consumption'!Q25</f>
        <v>2.4726953604442508</v>
      </c>
      <c r="R18" s="66">
        <f>'Baseline Price'!R18*'Baseline Consumption'!R25</f>
        <v>2.4394409857851365</v>
      </c>
      <c r="S18" s="66">
        <f>'Baseline Price'!S18*'Baseline Consumption'!S25</f>
        <v>2.5048189719494149</v>
      </c>
      <c r="T18" s="66">
        <f>'Baseline Price'!T18*'Baseline Consumption'!T25</f>
        <v>2.5349153313287207</v>
      </c>
      <c r="U18" s="66">
        <f>'Baseline Price'!U18*'Baseline Consumption'!U25</f>
        <v>2.5173948379515694</v>
      </c>
      <c r="V18" s="66">
        <f>'Baseline Price'!V18*'Baseline Consumption'!V25</f>
        <v>2.5779045842384281</v>
      </c>
      <c r="W18" s="66">
        <f>'Baseline Price'!W18*'Baseline Consumption'!W25</f>
        <v>2.592798313773141</v>
      </c>
      <c r="X18" s="66">
        <f>'Baseline Price'!X18*'Baseline Consumption'!X25</f>
        <v>2.5770026264073711</v>
      </c>
      <c r="Y18" s="66">
        <f>'Baseline Price'!Y18*'Baseline Consumption'!Y25</f>
        <v>2.5727394815949345</v>
      </c>
      <c r="Z18" s="66">
        <f>'Baseline Price'!Z18*'Baseline Consumption'!Z25</f>
        <v>2.5842412977855393</v>
      </c>
      <c r="AA18" s="66">
        <f>'Baseline Price'!AA18*'Baseline Consumption'!AA25</f>
        <v>2.6337167810808801</v>
      </c>
      <c r="AB18" s="66">
        <f>'Baseline Price'!AB18*'Baseline Consumption'!AB25</f>
        <v>2.6887661713686293</v>
      </c>
      <c r="AC18" s="66">
        <f>'Baseline Price'!AC18*'Baseline Consumption'!AC25</f>
        <v>2.7293168143610975</v>
      </c>
      <c r="AD18" s="66">
        <f>'Baseline Price'!AD18*'Baseline Consumption'!AD25</f>
        <v>2.7674171934203668</v>
      </c>
      <c r="AE18" s="66">
        <f>'Baseline Price'!AE18*'Baseline Consumption'!AE25</f>
        <v>2.805350188541047</v>
      </c>
      <c r="AF18" s="66">
        <f>'Baseline Price'!AF18*'Baseline Consumption'!AF25</f>
        <v>2.841829520612853</v>
      </c>
      <c r="AG18" s="66">
        <f>'Baseline Price'!AG18*'Baseline Consumption'!AG25</f>
        <v>2.8695871816272218</v>
      </c>
      <c r="AH18" s="66">
        <f>'Baseline Price'!AH18*'Baseline Consumption'!AH25</f>
        <v>2.8977724115302532</v>
      </c>
      <c r="AI18" s="66">
        <f>'Baseline Price'!AI18*'Baseline Consumption'!AI25</f>
        <v>2.923989960521534</v>
      </c>
      <c r="AJ18" s="66">
        <f>'Baseline Price'!AJ18*'Baseline Consumption'!AJ25</f>
        <v>2.9454654501530135</v>
      </c>
      <c r="AK18" s="66">
        <f>'Baseline Price'!AK18*'Baseline Consumption'!AK25</f>
        <v>2.9666019180231902</v>
      </c>
    </row>
    <row r="19" spans="1:37">
      <c r="A19" s="77" t="str">
        <f>'Adjusted expend'!A19</f>
        <v>Total</v>
      </c>
      <c r="K19" s="85">
        <f>SUM(K14:K18)</f>
        <v>3.6388429776217572</v>
      </c>
      <c r="L19" s="85">
        <f t="shared" ref="L19:AK19" si="1">SUM(L14:L18)</f>
        <v>3.4454339177704454</v>
      </c>
      <c r="M19" s="85">
        <f t="shared" si="1"/>
        <v>3.0238390670741699</v>
      </c>
      <c r="N19" s="85">
        <f t="shared" si="1"/>
        <v>3.3482587413237761</v>
      </c>
      <c r="O19" s="85">
        <f t="shared" si="1"/>
        <v>3.3466498277820347</v>
      </c>
      <c r="P19" s="85">
        <f t="shared" si="1"/>
        <v>3.2614930846850179</v>
      </c>
      <c r="Q19" s="85">
        <f t="shared" si="1"/>
        <v>3.2404612114451128</v>
      </c>
      <c r="R19" s="85">
        <f t="shared" si="1"/>
        <v>3.222673017839083</v>
      </c>
      <c r="S19" s="85">
        <f t="shared" si="1"/>
        <v>3.2988417173803271</v>
      </c>
      <c r="T19" s="85">
        <f t="shared" si="1"/>
        <v>3.3448249384261182</v>
      </c>
      <c r="U19" s="85">
        <f t="shared" si="1"/>
        <v>3.4733787282391533</v>
      </c>
      <c r="V19" s="85">
        <f t="shared" si="1"/>
        <v>3.5463351596355031</v>
      </c>
      <c r="W19" s="85">
        <f t="shared" si="1"/>
        <v>3.5694772315339085</v>
      </c>
      <c r="X19" s="85">
        <f t="shared" si="1"/>
        <v>3.5649513388855061</v>
      </c>
      <c r="Y19" s="85">
        <f t="shared" si="1"/>
        <v>3.5701279255442637</v>
      </c>
      <c r="Z19" s="85">
        <f t="shared" si="1"/>
        <v>3.6150981961764108</v>
      </c>
      <c r="AA19" s="85">
        <f t="shared" si="1"/>
        <v>3.6733144949874852</v>
      </c>
      <c r="AB19" s="85">
        <f t="shared" si="1"/>
        <v>3.7400833427231852</v>
      </c>
      <c r="AC19" s="85">
        <f t="shared" si="1"/>
        <v>3.7924998185938219</v>
      </c>
      <c r="AD19" s="85">
        <f t="shared" si="1"/>
        <v>3.8431448794249286</v>
      </c>
      <c r="AE19" s="85">
        <f t="shared" si="1"/>
        <v>3.8944322958232123</v>
      </c>
      <c r="AF19" s="85">
        <f t="shared" si="1"/>
        <v>3.9427546731621601</v>
      </c>
      <c r="AG19" s="85">
        <f t="shared" si="1"/>
        <v>3.9865156965392523</v>
      </c>
      <c r="AH19" s="85">
        <f t="shared" si="1"/>
        <v>4.0296248527020495</v>
      </c>
      <c r="AI19" s="85">
        <f t="shared" si="1"/>
        <v>4.0697428103253523</v>
      </c>
      <c r="AJ19" s="85">
        <f t="shared" si="1"/>
        <v>4.1056552656563525</v>
      </c>
      <c r="AK19" s="85">
        <f t="shared" si="1"/>
        <v>4.141226278387256</v>
      </c>
    </row>
    <row r="20" spans="1:37" s="57" customFormat="1">
      <c r="A20" s="77"/>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row>
    <row r="21" spans="1:37">
      <c r="A21" s="57" t="s">
        <v>80</v>
      </c>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row>
    <row r="22" spans="1:37">
      <c r="A22" s="57" t="str">
        <f>'Adjusted expend'!A22</f>
        <v xml:space="preserve">   Liquefied Petroleum Gases</v>
      </c>
      <c r="K22" s="66">
        <f>'Baseline Price'!K21*'Baseline Consumption'!K29</f>
        <v>8.7526665436681514E-2</v>
      </c>
      <c r="L22" s="66">
        <f>'Baseline Price'!L21*'Baseline Consumption'!L29</f>
        <v>6.5504671499961212E-2</v>
      </c>
      <c r="M22" s="66">
        <f>'Baseline Price'!M21*'Baseline Consumption'!M29</f>
        <v>6.6815690079985002E-2</v>
      </c>
      <c r="N22" s="66">
        <f>'Baseline Price'!N21*'Baseline Consumption'!N29</f>
        <v>7.2942268432074783E-2</v>
      </c>
      <c r="O22" s="66">
        <f>'Baseline Price'!O21*'Baseline Consumption'!O29</f>
        <v>7.4553983632979395E-2</v>
      </c>
      <c r="P22" s="66">
        <f>'Baseline Price'!P21*'Baseline Consumption'!P29</f>
        <v>7.4602915986376139E-2</v>
      </c>
      <c r="Q22" s="66">
        <f>'Baseline Price'!Q21*'Baseline Consumption'!Q29</f>
        <v>8.4317702022816896E-2</v>
      </c>
      <c r="R22" s="66">
        <f>'Baseline Price'!R21*'Baseline Consumption'!R29</f>
        <v>8.9272827199862001E-2</v>
      </c>
      <c r="S22" s="66">
        <f>'Baseline Price'!S21*'Baseline Consumption'!S29</f>
        <v>9.3964067031907267E-2</v>
      </c>
      <c r="T22" s="66">
        <f>'Baseline Price'!T21*'Baseline Consumption'!T29</f>
        <v>9.8873448390570953E-2</v>
      </c>
      <c r="U22" s="66">
        <f>'Baseline Price'!U21*'Baseline Consumption'!U29</f>
        <v>0.10349880741655089</v>
      </c>
      <c r="V22" s="66">
        <f>'Baseline Price'!V21*'Baseline Consumption'!V29</f>
        <v>0.10576134383084128</v>
      </c>
      <c r="W22" s="66">
        <f>'Baseline Price'!W21*'Baseline Consumption'!W29</f>
        <v>0.10755248964277962</v>
      </c>
      <c r="X22" s="66">
        <f>'Baseline Price'!X21*'Baseline Consumption'!X29</f>
        <v>0.10977740050539396</v>
      </c>
      <c r="Y22" s="66">
        <f>'Baseline Price'!Y21*'Baseline Consumption'!Y29</f>
        <v>0.11293215601890123</v>
      </c>
      <c r="Z22" s="66">
        <f>'Baseline Price'!Z21*'Baseline Consumption'!Z29</f>
        <v>0.11703483482343224</v>
      </c>
      <c r="AA22" s="66">
        <f>'Baseline Price'!AA21*'Baseline Consumption'!AA29</f>
        <v>0.11975728938385911</v>
      </c>
      <c r="AB22" s="66">
        <f>'Baseline Price'!AB21*'Baseline Consumption'!AB29</f>
        <v>0.12319931215035849</v>
      </c>
      <c r="AC22" s="66">
        <f>'Baseline Price'!AC21*'Baseline Consumption'!AC29</f>
        <v>0.12658095810008535</v>
      </c>
      <c r="AD22" s="66">
        <f>'Baseline Price'!AD21*'Baseline Consumption'!AD29</f>
        <v>0.13028674583481142</v>
      </c>
      <c r="AE22" s="66">
        <f>'Baseline Price'!AE21*'Baseline Consumption'!AE29</f>
        <v>0.13258978505976735</v>
      </c>
      <c r="AF22" s="66">
        <f>'Baseline Price'!AF21*'Baseline Consumption'!AF29</f>
        <v>0.13522416679690666</v>
      </c>
      <c r="AG22" s="66">
        <f>'Baseline Price'!AG21*'Baseline Consumption'!AG29</f>
        <v>0.13824723320071372</v>
      </c>
      <c r="AH22" s="66">
        <f>'Baseline Price'!AH21*'Baseline Consumption'!AH29</f>
        <v>0.1406460253269409</v>
      </c>
      <c r="AI22" s="66">
        <f>'Baseline Price'!AI21*'Baseline Consumption'!AI29</f>
        <v>0.14621077392008358</v>
      </c>
      <c r="AJ22" s="66">
        <f>'Baseline Price'!AJ21*'Baseline Consumption'!AJ29</f>
        <v>0.1484584217785305</v>
      </c>
      <c r="AK22" s="66">
        <f>'Baseline Price'!AK21*'Baseline Consumption'!AK29</f>
        <v>0.15008342524692056</v>
      </c>
    </row>
    <row r="23" spans="1:37">
      <c r="A23" s="77" t="str">
        <f>'Adjusted expend'!A23</f>
        <v>Motor gas</v>
      </c>
      <c r="K23" s="66">
        <f>'Baseline Price'!K33*'Baseline Consumption'!K18</f>
        <v>1.1157178474368892E-2</v>
      </c>
      <c r="L23" s="66">
        <f>'Baseline Price'!L33*'Baseline Consumption'!L18</f>
        <v>1.1365761510702559E-2</v>
      </c>
      <c r="M23" s="66">
        <f>'Baseline Price'!M33*'Baseline Consumption'!M18</f>
        <v>0.13773927176117043</v>
      </c>
      <c r="N23" s="66">
        <f>'Baseline Price'!N33*'Baseline Consumption'!N18</f>
        <v>0.15333179157632931</v>
      </c>
      <c r="O23" s="66">
        <f>'Baseline Price'!O33*'Baseline Consumption'!O18</f>
        <v>0.1674764512085983</v>
      </c>
      <c r="P23" s="66">
        <f>'Baseline Price'!P33*'Baseline Consumption'!P18</f>
        <v>0.16042080031042724</v>
      </c>
      <c r="Q23" s="66">
        <f>'Baseline Price'!Q33*'Baseline Consumption'!Q18</f>
        <v>0.15912172752057746</v>
      </c>
      <c r="R23" s="66">
        <f>'Baseline Price'!R33*'Baseline Consumption'!R18</f>
        <v>0.15241196215399758</v>
      </c>
      <c r="S23" s="66">
        <f>'Baseline Price'!S33*'Baseline Consumption'!S18</f>
        <v>0.142798662495737</v>
      </c>
      <c r="T23" s="66">
        <f>'Baseline Price'!T33*'Baseline Consumption'!T18</f>
        <v>0.14416411089545028</v>
      </c>
      <c r="U23" s="66">
        <f>'Baseline Price'!U33*'Baseline Consumption'!U18</f>
        <v>0.15815317045031516</v>
      </c>
      <c r="V23" s="66">
        <f>'Baseline Price'!V33*'Baseline Consumption'!V18</f>
        <v>0.15934578760449961</v>
      </c>
      <c r="W23" s="66">
        <f>'Baseline Price'!W33*'Baseline Consumption'!W18</f>
        <v>0.16070170742497311</v>
      </c>
      <c r="X23" s="66">
        <f>'Baseline Price'!X33*'Baseline Consumption'!X18</f>
        <v>0.16188384651641191</v>
      </c>
      <c r="Y23" s="66">
        <f>'Baseline Price'!Y33*'Baseline Consumption'!Y18</f>
        <v>0.16349161713183824</v>
      </c>
      <c r="Z23" s="66">
        <f>'Baseline Price'!Z33*'Baseline Consumption'!Z18</f>
        <v>0.16654206102790911</v>
      </c>
      <c r="AA23" s="66">
        <f>'Baseline Price'!AA33*'Baseline Consumption'!AA18</f>
        <v>0.1678707592767226</v>
      </c>
      <c r="AB23" s="66">
        <f>'Baseline Price'!AB33*'Baseline Consumption'!AB18</f>
        <v>0.16965645808047949</v>
      </c>
      <c r="AC23" s="66">
        <f>'Baseline Price'!AC33*'Baseline Consumption'!AC18</f>
        <v>0.17087287468804044</v>
      </c>
      <c r="AD23" s="66">
        <f>'Baseline Price'!AD33*'Baseline Consumption'!AD18</f>
        <v>0.17165412414184522</v>
      </c>
      <c r="AE23" s="66">
        <f>'Baseline Price'!AE33*'Baseline Consumption'!AE18</f>
        <v>0.1727894356872669</v>
      </c>
      <c r="AF23" s="66">
        <f>'Baseline Price'!AF33*'Baseline Consumption'!AF18</f>
        <v>0.17407721646831784</v>
      </c>
      <c r="AG23" s="66">
        <f>'Baseline Price'!AG33*'Baseline Consumption'!AG18</f>
        <v>0.17493159459825244</v>
      </c>
      <c r="AH23" s="66">
        <f>'Baseline Price'!AH33*'Baseline Consumption'!AH18</f>
        <v>0.17667029272546345</v>
      </c>
      <c r="AI23" s="66">
        <f>'Baseline Price'!AI33*'Baseline Consumption'!AI18</f>
        <v>0.17780937624005128</v>
      </c>
      <c r="AJ23" s="66">
        <f>'Baseline Price'!AJ33*'Baseline Consumption'!AJ18</f>
        <v>0.17924964093957696</v>
      </c>
      <c r="AK23" s="66">
        <f>'Baseline Price'!AK33*'Baseline Consumption'!AK18</f>
        <v>0.1807890265628786</v>
      </c>
    </row>
    <row r="24" spans="1:37">
      <c r="A24" s="57" t="str">
        <f>'Adjusted expend'!A24</f>
        <v xml:space="preserve">   Distillate Fuel Oil</v>
      </c>
      <c r="K24" s="66">
        <f>'Baseline Price'!K22*'Baseline Consumption'!K31</f>
        <v>0.50198753548151642</v>
      </c>
      <c r="L24" s="66">
        <f>'Baseline Price'!L22*'Baseline Consumption'!L31</f>
        <v>0.31824552016917634</v>
      </c>
      <c r="M24" s="66">
        <f>'Baseline Price'!M22*'Baseline Consumption'!M31</f>
        <v>0.21939479354989913</v>
      </c>
      <c r="N24" s="66">
        <f>'Baseline Price'!N22*'Baseline Consumption'!N31</f>
        <v>0.26086697538679265</v>
      </c>
      <c r="O24" s="66">
        <f>'Baseline Price'!O22*'Baseline Consumption'!O31</f>
        <v>0.27785152806748886</v>
      </c>
      <c r="P24" s="66">
        <f>'Baseline Price'!P22*'Baseline Consumption'!P31</f>
        <v>0.29432061461925885</v>
      </c>
      <c r="Q24" s="66">
        <f>'Baseline Price'!Q22*'Baseline Consumption'!Q31</f>
        <v>0.34723277308138911</v>
      </c>
      <c r="R24" s="66">
        <f>'Baseline Price'!R22*'Baseline Consumption'!R31</f>
        <v>0.37524977350345284</v>
      </c>
      <c r="S24" s="66">
        <f>'Baseline Price'!S22*'Baseline Consumption'!S31</f>
        <v>0.38954843344669071</v>
      </c>
      <c r="T24" s="66">
        <f>'Baseline Price'!T22*'Baseline Consumption'!T31</f>
        <v>0.40293694371966443</v>
      </c>
      <c r="U24" s="66">
        <f>'Baseline Price'!U22*'Baseline Consumption'!U31</f>
        <v>0.41534248049407624</v>
      </c>
      <c r="V24" s="66">
        <f>'Baseline Price'!V22*'Baseline Consumption'!V31</f>
        <v>0.42446060483431441</v>
      </c>
      <c r="W24" s="66">
        <f>'Baseline Price'!W22*'Baseline Consumption'!W31</f>
        <v>0.43175321521836096</v>
      </c>
      <c r="X24" s="66">
        <f>'Baseline Price'!X22*'Baseline Consumption'!X31</f>
        <v>0.44110684233724834</v>
      </c>
      <c r="Y24" s="66">
        <f>'Baseline Price'!Y22*'Baseline Consumption'!Y31</f>
        <v>0.45163292193620164</v>
      </c>
      <c r="Z24" s="66">
        <f>'Baseline Price'!Z22*'Baseline Consumption'!Z31</f>
        <v>0.46139050150768962</v>
      </c>
      <c r="AA24" s="66">
        <f>'Baseline Price'!AA22*'Baseline Consumption'!AA31</f>
        <v>0.46961328739294805</v>
      </c>
      <c r="AB24" s="66">
        <f>'Baseline Price'!AB22*'Baseline Consumption'!AB31</f>
        <v>0.4806131063715261</v>
      </c>
      <c r="AC24" s="66">
        <f>'Baseline Price'!AC22*'Baseline Consumption'!AC31</f>
        <v>0.48704969193886782</v>
      </c>
      <c r="AD24" s="66">
        <f>'Baseline Price'!AD22*'Baseline Consumption'!AD31</f>
        <v>0.49534466402623473</v>
      </c>
      <c r="AE24" s="66">
        <f>'Baseline Price'!AE22*'Baseline Consumption'!AE31</f>
        <v>0.50555103750503572</v>
      </c>
      <c r="AF24" s="66">
        <f>'Baseline Price'!AF22*'Baseline Consumption'!AF31</f>
        <v>0.51325572795142393</v>
      </c>
      <c r="AG24" s="66">
        <f>'Baseline Price'!AG22*'Baseline Consumption'!AG31</f>
        <v>0.52065263421433383</v>
      </c>
      <c r="AH24" s="66">
        <f>'Baseline Price'!AH22*'Baseline Consumption'!AH31</f>
        <v>0.53524759301818448</v>
      </c>
      <c r="AI24" s="66">
        <f>'Baseline Price'!AI22*'Baseline Consumption'!AI31</f>
        <v>0.54390882398404738</v>
      </c>
      <c r="AJ24" s="66">
        <f>'Baseline Price'!AJ22*'Baseline Consumption'!AJ31</f>
        <v>0.55322208966971953</v>
      </c>
      <c r="AK24" s="66">
        <f>'Baseline Price'!AK22*'Baseline Consumption'!AK31</f>
        <v>0.5630646280399787</v>
      </c>
    </row>
    <row r="25" spans="1:37">
      <c r="A25" s="57" t="str">
        <f>'Adjusted expend'!A25</f>
        <v xml:space="preserve">   Residual Fuel Oil</v>
      </c>
      <c r="K25" s="66">
        <f>'Baseline Price'!K23*'Baseline Consumption'!K32</f>
        <v>5.6781688898970978E-3</v>
      </c>
      <c r="L25" s="66">
        <f>'Baseline Price'!L23*'Baseline Consumption'!L32</f>
        <v>3.9950815010186703E-3</v>
      </c>
      <c r="M25" s="66">
        <f>'Baseline Price'!M23*'Baseline Consumption'!M32</f>
        <v>3.1674160619322368E-3</v>
      </c>
      <c r="N25" s="66">
        <f>'Baseline Price'!N23*'Baseline Consumption'!N32</f>
        <v>4.2757396502071726E-3</v>
      </c>
      <c r="O25" s="66">
        <f>'Baseline Price'!O23*'Baseline Consumption'!O32</f>
        <v>4.1912236612328835E-3</v>
      </c>
      <c r="P25" s="66">
        <f>'Baseline Price'!P23*'Baseline Consumption'!P32</f>
        <v>3.8949287198801678E-3</v>
      </c>
      <c r="Q25" s="66">
        <f>'Baseline Price'!Q23*'Baseline Consumption'!Q32</f>
        <v>4.2853765107663767E-3</v>
      </c>
      <c r="R25" s="66">
        <f>'Baseline Price'!R23*'Baseline Consumption'!R32</f>
        <v>4.2451925462743505E-3</v>
      </c>
      <c r="S25" s="66">
        <f>'Baseline Price'!S23*'Baseline Consumption'!S32</f>
        <v>4.0231657001251137E-3</v>
      </c>
      <c r="T25" s="66">
        <f>'Baseline Price'!T23*'Baseline Consumption'!T32</f>
        <v>3.786046827183271E-3</v>
      </c>
      <c r="U25" s="66">
        <f>'Baseline Price'!U23*'Baseline Consumption'!U32</f>
        <v>3.7304833248583214E-3</v>
      </c>
      <c r="V25" s="66">
        <f>'Baseline Price'!V23*'Baseline Consumption'!V32</f>
        <v>3.7019287382130304E-3</v>
      </c>
      <c r="W25" s="66">
        <f>'Baseline Price'!W23*'Baseline Consumption'!W32</f>
        <v>3.7281412664397612E-3</v>
      </c>
      <c r="X25" s="66">
        <f>'Baseline Price'!X23*'Baseline Consumption'!X32</f>
        <v>3.7571821372087916E-3</v>
      </c>
      <c r="Y25" s="66">
        <f>'Baseline Price'!Y23*'Baseline Consumption'!Y32</f>
        <v>3.7635530584418609E-3</v>
      </c>
      <c r="Z25" s="66">
        <f>'Baseline Price'!Z23*'Baseline Consumption'!Z32</f>
        <v>3.8941623030616435E-3</v>
      </c>
      <c r="AA25" s="66">
        <f>'Baseline Price'!AA23*'Baseline Consumption'!AA32</f>
        <v>3.9873114606731154E-3</v>
      </c>
      <c r="AB25" s="66">
        <f>'Baseline Price'!AB23*'Baseline Consumption'!AB32</f>
        <v>4.1111748201060894E-3</v>
      </c>
      <c r="AC25" s="66">
        <f>'Baseline Price'!AC23*'Baseline Consumption'!AC32</f>
        <v>4.1846435264876764E-3</v>
      </c>
      <c r="AD25" s="66">
        <f>'Baseline Price'!AD23*'Baseline Consumption'!AD32</f>
        <v>4.2755309758081474E-3</v>
      </c>
      <c r="AE25" s="66">
        <f>'Baseline Price'!AE23*'Baseline Consumption'!AE32</f>
        <v>4.366568583286194E-3</v>
      </c>
      <c r="AF25" s="66">
        <f>'Baseline Price'!AF23*'Baseline Consumption'!AF32</f>
        <v>4.4646490865741326E-3</v>
      </c>
      <c r="AG25" s="66">
        <f>'Baseline Price'!AG23*'Baseline Consumption'!AG32</f>
        <v>4.5359382822545407E-3</v>
      </c>
      <c r="AH25" s="66">
        <f>'Baseline Price'!AH23*'Baseline Consumption'!AH32</f>
        <v>4.697686346364454E-3</v>
      </c>
      <c r="AI25" s="66">
        <f>'Baseline Price'!AI23*'Baseline Consumption'!AI32</f>
        <v>4.7797936608736857E-3</v>
      </c>
      <c r="AJ25" s="66">
        <f>'Baseline Price'!AJ23*'Baseline Consumption'!AJ32</f>
        <v>4.8878050263994992E-3</v>
      </c>
      <c r="AK25" s="66">
        <f>'Baseline Price'!AK23*'Baseline Consumption'!AK32</f>
        <v>4.9959681681305398E-3</v>
      </c>
    </row>
    <row r="26" spans="1:37" s="31" customFormat="1">
      <c r="A26" s="77" t="str">
        <f>'Adjusted expend'!A26</f>
        <v>Other petroleum</v>
      </c>
      <c r="K26" s="66">
        <f>'Baseline Price'!K23*'Baseline Consumption'!K34</f>
        <v>0.93884121595494485</v>
      </c>
      <c r="L26" s="66">
        <f>'Baseline Price'!L23*'Baseline Consumption'!L34</f>
        <v>0.775832217665825</v>
      </c>
      <c r="M26" s="66">
        <f>'Baseline Price'!M23*'Baseline Consumption'!M34</f>
        <v>0.71188995621888751</v>
      </c>
      <c r="N26" s="66">
        <f>'Baseline Price'!N23*'Baseline Consumption'!N34</f>
        <v>0.96741115339170469</v>
      </c>
      <c r="O26" s="66">
        <f>'Baseline Price'!O23*'Baseline Consumption'!O34</f>
        <v>1.0093918611043073</v>
      </c>
      <c r="P26" s="66">
        <f>'Baseline Price'!P23*'Baseline Consumption'!P34</f>
        <v>1.0304808448392329</v>
      </c>
      <c r="Q26" s="66">
        <f>'Baseline Price'!Q23*'Baseline Consumption'!Q34</f>
        <v>1.207908837561116</v>
      </c>
      <c r="R26" s="66">
        <f>'Baseline Price'!R23*'Baseline Consumption'!R34</f>
        <v>1.2287507118434553</v>
      </c>
      <c r="S26" s="66">
        <f>'Baseline Price'!S23*'Baseline Consumption'!S34</f>
        <v>1.2042909788063183</v>
      </c>
      <c r="T26" s="66">
        <f>'Baseline Price'!T23*'Baseline Consumption'!T34</f>
        <v>1.1697380920678921</v>
      </c>
      <c r="U26" s="66">
        <f>'Baseline Price'!U23*'Baseline Consumption'!U34</f>
        <v>1.1860167693483441</v>
      </c>
      <c r="V26" s="66">
        <f>'Baseline Price'!V23*'Baseline Consumption'!V34</f>
        <v>1.1942578780845661</v>
      </c>
      <c r="W26" s="66">
        <f>'Baseline Price'!W23*'Baseline Consumption'!W34</f>
        <v>1.2142959340987782</v>
      </c>
      <c r="X26" s="66">
        <f>'Baseline Price'!X23*'Baseline Consumption'!X34</f>
        <v>1.2480671379711685</v>
      </c>
      <c r="Y26" s="66">
        <f>'Baseline Price'!Y23*'Baseline Consumption'!Y34</f>
        <v>1.2734997413847811</v>
      </c>
      <c r="Z26" s="66">
        <f>'Baseline Price'!Z23*'Baseline Consumption'!Z34</f>
        <v>1.3133466535414546</v>
      </c>
      <c r="AA26" s="66">
        <f>'Baseline Price'!AA23*'Baseline Consumption'!AA34</f>
        <v>1.3400437028094547</v>
      </c>
      <c r="AB26" s="66">
        <f>'Baseline Price'!AB23*'Baseline Consumption'!AB34</f>
        <v>1.3939612757483308</v>
      </c>
      <c r="AC26" s="66">
        <f>'Baseline Price'!AC23*'Baseline Consumption'!AC34</f>
        <v>1.4160382697293517</v>
      </c>
      <c r="AD26" s="66">
        <f>'Baseline Price'!AD23*'Baseline Consumption'!AD34</f>
        <v>1.4487761630117175</v>
      </c>
      <c r="AE26" s="66">
        <f>'Baseline Price'!AE23*'Baseline Consumption'!AE34</f>
        <v>1.4815008174580937</v>
      </c>
      <c r="AF26" s="66">
        <f>'Baseline Price'!AF23*'Baseline Consumption'!AF34</f>
        <v>1.5209425378686092</v>
      </c>
      <c r="AG26" s="66">
        <f>'Baseline Price'!AG23*'Baseline Consumption'!AG34</f>
        <v>1.541252867805013</v>
      </c>
      <c r="AH26" s="66">
        <f>'Baseline Price'!AH23*'Baseline Consumption'!AH34</f>
        <v>1.5944964172679577</v>
      </c>
      <c r="AI26" s="66">
        <f>'Baseline Price'!AI23*'Baseline Consumption'!AI34</f>
        <v>1.6265997603260005</v>
      </c>
      <c r="AJ26" s="66">
        <f>'Baseline Price'!AJ23*'Baseline Consumption'!AJ34</f>
        <v>1.6625162471895409</v>
      </c>
      <c r="AK26" s="66">
        <f>'Baseline Price'!AK23*'Baseline Consumption'!AK34</f>
        <v>1.6986921780429867</v>
      </c>
    </row>
    <row r="27" spans="1:37">
      <c r="A27" s="57" t="str">
        <f>'Adjusted expend'!A27</f>
        <v xml:space="preserve">   Natural Gas 2/</v>
      </c>
      <c r="K27" s="66">
        <f>'Baseline Price'!K24*'Baseline Consumption'!K38</f>
        <v>0.47899843803326453</v>
      </c>
      <c r="L27" s="66">
        <f>'Baseline Price'!L24*'Baseline Consumption'!L38</f>
        <v>0.36665988865402072</v>
      </c>
      <c r="M27" s="66">
        <f>'Baseline Price'!M24*'Baseline Consumption'!M38</f>
        <v>0.29498036555003182</v>
      </c>
      <c r="N27" s="66">
        <f>'Baseline Price'!N24*'Baseline Consumption'!N38</f>
        <v>0.33651939065696146</v>
      </c>
      <c r="O27" s="66">
        <f>'Baseline Price'!O24*'Baseline Consumption'!O38</f>
        <v>0.35341883956790471</v>
      </c>
      <c r="P27" s="66">
        <f>'Baseline Price'!P24*'Baseline Consumption'!P38</f>
        <v>0.39046338289000382</v>
      </c>
      <c r="Q27" s="66">
        <f>'Baseline Price'!Q24*'Baseline Consumption'!Q38</f>
        <v>0.42435135508123967</v>
      </c>
      <c r="R27" s="66">
        <f>'Baseline Price'!R24*'Baseline Consumption'!R38</f>
        <v>0.43278360147715689</v>
      </c>
      <c r="S27" s="66">
        <f>'Baseline Price'!S24*'Baseline Consumption'!S38</f>
        <v>0.4430025742348479</v>
      </c>
      <c r="T27" s="66">
        <f>'Baseline Price'!T24*'Baseline Consumption'!T38</f>
        <v>0.45971951223404794</v>
      </c>
      <c r="U27" s="66">
        <f>'Baseline Price'!U24*'Baseline Consumption'!U38</f>
        <v>0.46801399824026346</v>
      </c>
      <c r="V27" s="66">
        <f>'Baseline Price'!V24*'Baseline Consumption'!V38</f>
        <v>0.48200479236773019</v>
      </c>
      <c r="W27" s="66">
        <f>'Baseline Price'!W24*'Baseline Consumption'!W38</f>
        <v>0.48942848604315281</v>
      </c>
      <c r="X27" s="66">
        <f>'Baseline Price'!X24*'Baseline Consumption'!X38</f>
        <v>0.49857630940017733</v>
      </c>
      <c r="Y27" s="66">
        <f>'Baseline Price'!Y24*'Baseline Consumption'!Y38</f>
        <v>0.50517094656265382</v>
      </c>
      <c r="Z27" s="66">
        <f>'Baseline Price'!Z24*'Baseline Consumption'!Z38</f>
        <v>0.51400756135017145</v>
      </c>
      <c r="AA27" s="66">
        <f>'Baseline Price'!AA24*'Baseline Consumption'!AA38</f>
        <v>0.51874163524906425</v>
      </c>
      <c r="AB27" s="66">
        <f>'Baseline Price'!AB24*'Baseline Consumption'!AB38</f>
        <v>0.52269181233178452</v>
      </c>
      <c r="AC27" s="66">
        <f>'Baseline Price'!AC24*'Baseline Consumption'!AC38</f>
        <v>0.52993469600894416</v>
      </c>
      <c r="AD27" s="66">
        <f>'Baseline Price'!AD24*'Baseline Consumption'!AD38</f>
        <v>0.53557304060760846</v>
      </c>
      <c r="AE27" s="66">
        <f>'Baseline Price'!AE24*'Baseline Consumption'!AE38</f>
        <v>0.5434811162954396</v>
      </c>
      <c r="AF27" s="66">
        <f>'Baseline Price'!AF24*'Baseline Consumption'!AF38</f>
        <v>0.54986561611496532</v>
      </c>
      <c r="AG27" s="66">
        <f>'Baseline Price'!AG24*'Baseline Consumption'!AG38</f>
        <v>0.56355279430138316</v>
      </c>
      <c r="AH27" s="66">
        <f>'Baseline Price'!AH24*'Baseline Consumption'!AH38</f>
        <v>0.57237551665009267</v>
      </c>
      <c r="AI27" s="66">
        <f>'Baseline Price'!AI24*'Baseline Consumption'!AI38</f>
        <v>0.58551497020021959</v>
      </c>
      <c r="AJ27" s="66">
        <f>'Baseline Price'!AJ24*'Baseline Consumption'!AJ38</f>
        <v>0.59704709994027205</v>
      </c>
      <c r="AK27" s="66">
        <f>'Baseline Price'!AK24*'Baseline Consumption'!AK38</f>
        <v>0.60664019902059862</v>
      </c>
    </row>
    <row r="28" spans="1:37">
      <c r="A28" s="57" t="str">
        <f>'Adjusted expend'!A28</f>
        <v xml:space="preserve">   Metallurgical Coal</v>
      </c>
      <c r="K28" s="66">
        <f>'Baseline Price'!K26*'Baseline Consumption'!K40</f>
        <v>9.3081458157252446E-3</v>
      </c>
      <c r="L28" s="66">
        <f>'Baseline Price'!L26*'Baseline Consumption'!L40</f>
        <v>9.7758906647643761E-3</v>
      </c>
      <c r="M28" s="66">
        <f>'Baseline Price'!M26*'Baseline Consumption'!M40</f>
        <v>4.0808299951091073E-3</v>
      </c>
      <c r="N28" s="66">
        <f>'Baseline Price'!N26*'Baseline Consumption'!N40</f>
        <v>3.7982669219202231E-3</v>
      </c>
      <c r="O28" s="66">
        <f>'Baseline Price'!O26*'Baseline Consumption'!O40</f>
        <v>3.9881426812152206E-3</v>
      </c>
      <c r="P28" s="66">
        <f>'Baseline Price'!P26*'Baseline Consumption'!P40</f>
        <v>4.1804472468451852E-3</v>
      </c>
      <c r="Q28" s="66">
        <f>'Baseline Price'!Q26*'Baseline Consumption'!Q40</f>
        <v>4.3563195027207149E-3</v>
      </c>
      <c r="R28" s="66">
        <f>'Baseline Price'!R26*'Baseline Consumption'!R40</f>
        <v>4.4287315700270464E-3</v>
      </c>
      <c r="S28" s="66">
        <f>'Baseline Price'!S26*'Baseline Consumption'!S40</f>
        <v>4.4532187762902882E-3</v>
      </c>
      <c r="T28" s="66">
        <f>'Baseline Price'!T26*'Baseline Consumption'!T40</f>
        <v>4.4902565523288994E-3</v>
      </c>
      <c r="U28" s="66">
        <f>'Baseline Price'!U26*'Baseline Consumption'!U40</f>
        <v>4.5632971959819512E-3</v>
      </c>
      <c r="V28" s="66">
        <f>'Baseline Price'!V26*'Baseline Consumption'!V40</f>
        <v>4.5782017143659636E-3</v>
      </c>
      <c r="W28" s="66">
        <f>'Baseline Price'!W26*'Baseline Consumption'!W40</f>
        <v>4.5623667104957473E-3</v>
      </c>
      <c r="X28" s="66">
        <f>'Baseline Price'!X26*'Baseline Consumption'!X40</f>
        <v>4.5433347764602065E-3</v>
      </c>
      <c r="Y28" s="66">
        <f>'Baseline Price'!Y26*'Baseline Consumption'!Y40</f>
        <v>4.5374230525977157E-3</v>
      </c>
      <c r="Z28" s="66">
        <f>'Baseline Price'!Z26*'Baseline Consumption'!Z40</f>
        <v>4.4701906694457668E-3</v>
      </c>
      <c r="AA28" s="66">
        <f>'Baseline Price'!AA26*'Baseline Consumption'!AA40</f>
        <v>4.5078810009447842E-3</v>
      </c>
      <c r="AB28" s="66">
        <f>'Baseline Price'!AB26*'Baseline Consumption'!AB40</f>
        <v>4.4813427468239153E-3</v>
      </c>
      <c r="AC28" s="66">
        <f>'Baseline Price'!AC26*'Baseline Consumption'!AC40</f>
        <v>4.4195991642146338E-3</v>
      </c>
      <c r="AD28" s="66">
        <f>'Baseline Price'!AD26*'Baseline Consumption'!AD40</f>
        <v>4.3823634788696126E-3</v>
      </c>
      <c r="AE28" s="66">
        <f>'Baseline Price'!AE26*'Baseline Consumption'!AE40</f>
        <v>4.3245814617703182E-3</v>
      </c>
      <c r="AF28" s="66">
        <f>'Baseline Price'!AF26*'Baseline Consumption'!AF40</f>
        <v>4.2837448008250061E-3</v>
      </c>
      <c r="AG28" s="66">
        <f>'Baseline Price'!AG26*'Baseline Consumption'!AG40</f>
        <v>4.2680329720571836E-3</v>
      </c>
      <c r="AH28" s="66">
        <f>'Baseline Price'!AH26*'Baseline Consumption'!AH40</f>
        <v>4.2799605490884268E-3</v>
      </c>
      <c r="AI28" s="66">
        <f>'Baseline Price'!AI26*'Baseline Consumption'!AI40</f>
        <v>4.2578534209793571E-3</v>
      </c>
      <c r="AJ28" s="66">
        <f>'Baseline Price'!AJ26*'Baseline Consumption'!AJ40</f>
        <v>4.233054646175561E-3</v>
      </c>
      <c r="AK28" s="66">
        <f>'Baseline Price'!AK26*'Baseline Consumption'!AK40</f>
        <v>4.2401185759506528E-3</v>
      </c>
    </row>
    <row r="29" spans="1:37">
      <c r="A29" s="57" t="str">
        <f>'Adjusted expend'!A29</f>
        <v xml:space="preserve">   Other Industrial Coal</v>
      </c>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row>
    <row r="30" spans="1:37">
      <c r="A30" s="57" t="str">
        <f>'Adjusted expend'!A30</f>
        <v xml:space="preserve">   Coal to Liquids</v>
      </c>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row>
    <row r="31" spans="1:37">
      <c r="A31" s="57" t="str">
        <f>'Adjusted expend'!A31</f>
        <v xml:space="preserve">   Electricity</v>
      </c>
      <c r="K31" s="66">
        <f>'Baseline Price'!K28*'Baseline Consumption'!K46</f>
        <v>1.3687071277522243</v>
      </c>
      <c r="L31" s="66">
        <f>'Baseline Price'!L28*'Baseline Consumption'!L46</f>
        <v>1.37450827899363</v>
      </c>
      <c r="M31" s="66">
        <f>'Baseline Price'!M28*'Baseline Consumption'!M46</f>
        <v>1.3187052025174533</v>
      </c>
      <c r="N31" s="66">
        <f>'Baseline Price'!N28*'Baseline Consumption'!N46</f>
        <v>1.0503694103533345</v>
      </c>
      <c r="O31" s="66">
        <f>'Baseline Price'!O28*'Baseline Consumption'!O46</f>
        <v>1.1045251059711541</v>
      </c>
      <c r="P31" s="66">
        <f>'Baseline Price'!P28*'Baseline Consumption'!P46</f>
        <v>1.0251519908151077</v>
      </c>
      <c r="Q31" s="66">
        <f>'Baseline Price'!Q28*'Baseline Consumption'!Q46</f>
        <v>1.0245833152441242</v>
      </c>
      <c r="R31" s="66">
        <f>'Baseline Price'!R28*'Baseline Consumption'!R46</f>
        <v>1.0231929054487272</v>
      </c>
      <c r="S31" s="66">
        <f>'Baseline Price'!S28*'Baseline Consumption'!S46</f>
        <v>1.0989532886054731</v>
      </c>
      <c r="T31" s="66">
        <f>'Baseline Price'!T28*'Baseline Consumption'!T46</f>
        <v>1.1289969788639234</v>
      </c>
      <c r="U31" s="66">
        <f>'Baseline Price'!U28*'Baseline Consumption'!U46</f>
        <v>1.1483347858858883</v>
      </c>
      <c r="V31" s="66">
        <f>'Baseline Price'!V28*'Baseline Consumption'!V46</f>
        <v>1.2217505835141962</v>
      </c>
      <c r="W31" s="66">
        <f>'Baseline Price'!W28*'Baseline Consumption'!W46</f>
        <v>1.2481786617578867</v>
      </c>
      <c r="X31" s="66">
        <f>'Baseline Price'!X28*'Baseline Consumption'!X46</f>
        <v>1.2629470205224591</v>
      </c>
      <c r="Y31" s="66">
        <f>'Baseline Price'!Y28*'Baseline Consumption'!Y46</f>
        <v>1.2761624094719082</v>
      </c>
      <c r="Z31" s="66">
        <f>'Baseline Price'!Z28*'Baseline Consumption'!Z46</f>
        <v>1.2940450627191746</v>
      </c>
      <c r="AA31" s="66">
        <f>'Baseline Price'!AA28*'Baseline Consumption'!AA46</f>
        <v>1.3271515609435656</v>
      </c>
      <c r="AB31" s="66">
        <f>'Baseline Price'!AB28*'Baseline Consumption'!AB46</f>
        <v>1.3409281344171358</v>
      </c>
      <c r="AC31" s="66">
        <f>'Baseline Price'!AC28*'Baseline Consumption'!AC46</f>
        <v>1.3606244296389496</v>
      </c>
      <c r="AD31" s="66">
        <f>'Baseline Price'!AD28*'Baseline Consumption'!AD46</f>
        <v>1.3802157861573454</v>
      </c>
      <c r="AE31" s="66">
        <f>'Baseline Price'!AE28*'Baseline Consumption'!AE46</f>
        <v>1.4001081906865895</v>
      </c>
      <c r="AF31" s="66">
        <f>'Baseline Price'!AF28*'Baseline Consumption'!AF46</f>
        <v>1.4181196964496365</v>
      </c>
      <c r="AG31" s="66">
        <f>'Baseline Price'!AG28*'Baseline Consumption'!AG46</f>
        <v>1.4324481342602966</v>
      </c>
      <c r="AH31" s="66">
        <f>'Baseline Price'!AH28*'Baseline Consumption'!AH46</f>
        <v>1.4464107279951026</v>
      </c>
      <c r="AI31" s="66">
        <f>'Baseline Price'!AI28*'Baseline Consumption'!AI46</f>
        <v>1.4597864886159251</v>
      </c>
      <c r="AJ31" s="66">
        <f>'Baseline Price'!AJ28*'Baseline Consumption'!AJ46</f>
        <v>1.4707054416405478</v>
      </c>
      <c r="AK31" s="66">
        <f>'Baseline Price'!AK28*'Baseline Consumption'!AK46</f>
        <v>1.4813125043002562</v>
      </c>
    </row>
    <row r="32" spans="1:37">
      <c r="A32" s="77" t="str">
        <f>'Adjusted expend'!A32</f>
        <v>Total</v>
      </c>
      <c r="K32" s="85">
        <f>SUM(K22:K31)</f>
        <v>3.402204475838623</v>
      </c>
      <c r="L32" s="85">
        <f t="shared" ref="L32:AK32" si="2">SUM(L22:L31)</f>
        <v>2.9258873106590988</v>
      </c>
      <c r="M32" s="85">
        <f t="shared" si="2"/>
        <v>2.7567735257344683</v>
      </c>
      <c r="N32" s="85">
        <f t="shared" si="2"/>
        <v>2.8495149963693249</v>
      </c>
      <c r="O32" s="85">
        <f t="shared" si="2"/>
        <v>2.9953971358948808</v>
      </c>
      <c r="P32" s="85">
        <f t="shared" si="2"/>
        <v>2.983515925427132</v>
      </c>
      <c r="Q32" s="85">
        <f t="shared" si="2"/>
        <v>3.2561574065247507</v>
      </c>
      <c r="R32" s="85">
        <f t="shared" si="2"/>
        <v>3.3103357057429532</v>
      </c>
      <c r="S32" s="85">
        <f t="shared" si="2"/>
        <v>3.3810343890973895</v>
      </c>
      <c r="T32" s="85">
        <f t="shared" si="2"/>
        <v>3.4127053895510615</v>
      </c>
      <c r="U32" s="85">
        <f t="shared" si="2"/>
        <v>3.4876537923562783</v>
      </c>
      <c r="V32" s="85">
        <f t="shared" si="2"/>
        <v>3.5958611206887272</v>
      </c>
      <c r="W32" s="85">
        <f t="shared" si="2"/>
        <v>3.660201002162867</v>
      </c>
      <c r="X32" s="85">
        <f t="shared" si="2"/>
        <v>3.7306590741665282</v>
      </c>
      <c r="Y32" s="85">
        <f t="shared" si="2"/>
        <v>3.7911907686173238</v>
      </c>
      <c r="Z32" s="85">
        <f t="shared" si="2"/>
        <v>3.8747310279423397</v>
      </c>
      <c r="AA32" s="85">
        <f t="shared" si="2"/>
        <v>3.9516734275172323</v>
      </c>
      <c r="AB32" s="85">
        <f t="shared" si="2"/>
        <v>4.0396426166665451</v>
      </c>
      <c r="AC32" s="85">
        <f t="shared" si="2"/>
        <v>4.0997051627949412</v>
      </c>
      <c r="AD32" s="85">
        <f t="shared" si="2"/>
        <v>4.17050841823424</v>
      </c>
      <c r="AE32" s="85">
        <f t="shared" si="2"/>
        <v>4.2447115327372487</v>
      </c>
      <c r="AF32" s="85">
        <f t="shared" si="2"/>
        <v>4.3202333555372583</v>
      </c>
      <c r="AG32" s="85">
        <f t="shared" si="2"/>
        <v>4.3798892296343048</v>
      </c>
      <c r="AH32" s="85">
        <f t="shared" si="2"/>
        <v>4.4748242198791948</v>
      </c>
      <c r="AI32" s="85">
        <f t="shared" si="2"/>
        <v>4.5488678403681799</v>
      </c>
      <c r="AJ32" s="85">
        <f t="shared" si="2"/>
        <v>4.6203198008307629</v>
      </c>
      <c r="AK32" s="85">
        <f t="shared" si="2"/>
        <v>4.6898180479577007</v>
      </c>
    </row>
    <row r="33" spans="1:37" s="57" customFormat="1">
      <c r="A33" s="77"/>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row>
    <row r="34" spans="1:37">
      <c r="A34" s="57" t="s">
        <v>81</v>
      </c>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row>
    <row r="35" spans="1:37">
      <c r="A35" s="57" t="str">
        <f>'Adjusted expend'!A35</f>
        <v xml:space="preserve">   Liquefied Petroleum Gases 3/</v>
      </c>
      <c r="K35" s="66">
        <f>'Baseline Price'!K31*'Baseline Consumption'!K50</f>
        <v>7.5819968717844915E-3</v>
      </c>
      <c r="L35" s="66">
        <f>'Baseline Price'!L31*'Baseline Consumption'!L50</f>
        <v>6.1191004092589268E-3</v>
      </c>
      <c r="M35" s="66">
        <f>'Baseline Price'!M31*'Baseline Consumption'!M50</f>
        <v>2.6976275872236015E-3</v>
      </c>
      <c r="N35" s="66">
        <f>'Baseline Price'!N31*'Baseline Consumption'!N50</f>
        <v>2.9558346660015673E-3</v>
      </c>
      <c r="O35" s="66">
        <f>'Baseline Price'!O31*'Baseline Consumption'!O50</f>
        <v>3.0009097237784026E-3</v>
      </c>
      <c r="P35" s="66">
        <f>'Baseline Price'!P31*'Baseline Consumption'!P50</f>
        <v>3.1749241004985058E-3</v>
      </c>
      <c r="Q35" s="66">
        <f>'Baseline Price'!Q31*'Baseline Consumption'!Q50</f>
        <v>3.6525870569811209E-3</v>
      </c>
      <c r="R35" s="66">
        <f>'Baseline Price'!R31*'Baseline Consumption'!R50</f>
        <v>3.8037371678785767E-3</v>
      </c>
      <c r="S35" s="66">
        <f>'Baseline Price'!S31*'Baseline Consumption'!S50</f>
        <v>3.7879828429383598E-3</v>
      </c>
      <c r="T35" s="66">
        <f>'Baseline Price'!T31*'Baseline Consumption'!T50</f>
        <v>3.794235968438601E-3</v>
      </c>
      <c r="U35" s="66">
        <f>'Baseline Price'!U31*'Baseline Consumption'!U50</f>
        <v>4.2205336839878926E-3</v>
      </c>
      <c r="V35" s="66">
        <f>'Baseline Price'!V31*'Baseline Consumption'!V50</f>
        <v>4.1966778000164561E-3</v>
      </c>
      <c r="W35" s="66">
        <f>'Baseline Price'!W31*'Baseline Consumption'!W50</f>
        <v>4.2188555170552021E-3</v>
      </c>
      <c r="X35" s="66">
        <f>'Baseline Price'!X31*'Baseline Consumption'!X50</f>
        <v>4.3110669081710198E-3</v>
      </c>
      <c r="Y35" s="66">
        <f>'Baseline Price'!Y31*'Baseline Consumption'!Y50</f>
        <v>4.4296755172095817E-3</v>
      </c>
      <c r="Z35" s="66">
        <f>'Baseline Price'!Z31*'Baseline Consumption'!Z50</f>
        <v>4.6268386350746052E-3</v>
      </c>
      <c r="AA35" s="66">
        <f>'Baseline Price'!AA31*'Baseline Consumption'!AA50</f>
        <v>4.7308167113451647E-3</v>
      </c>
      <c r="AB35" s="66">
        <f>'Baseline Price'!AB31*'Baseline Consumption'!AB50</f>
        <v>4.859144018407131E-3</v>
      </c>
      <c r="AC35" s="66">
        <f>'Baseline Price'!AC31*'Baseline Consumption'!AC50</f>
        <v>4.9815036601303367E-3</v>
      </c>
      <c r="AD35" s="66">
        <f>'Baseline Price'!AD31*'Baseline Consumption'!AD50</f>
        <v>5.0931221983162075E-3</v>
      </c>
      <c r="AE35" s="66">
        <f>'Baseline Price'!AE31*'Baseline Consumption'!AE50</f>
        <v>5.2112171498681853E-3</v>
      </c>
      <c r="AF35" s="66">
        <f>'Baseline Price'!AF31*'Baseline Consumption'!AF50</f>
        <v>5.3304234916865178E-3</v>
      </c>
      <c r="AG35" s="66">
        <f>'Baseline Price'!AG31*'Baseline Consumption'!AG50</f>
        <v>5.459060652898552E-3</v>
      </c>
      <c r="AH35" s="66">
        <f>'Baseline Price'!AH31*'Baseline Consumption'!AH50</f>
        <v>5.6209562822669415E-3</v>
      </c>
      <c r="AI35" s="66">
        <f>'Baseline Price'!AI31*'Baseline Consumption'!AI50</f>
        <v>5.7797682592621042E-3</v>
      </c>
      <c r="AJ35" s="66">
        <f>'Baseline Price'!AJ31*'Baseline Consumption'!AJ50</f>
        <v>5.9369219543457166E-3</v>
      </c>
      <c r="AK35" s="66">
        <f>'Baseline Price'!AK31*'Baseline Consumption'!AK50</f>
        <v>6.1075853357351649E-3</v>
      </c>
    </row>
    <row r="36" spans="1:37">
      <c r="A36" s="57" t="str">
        <f>'Adjusted expend'!A36</f>
        <v xml:space="preserve">   E85 4/</v>
      </c>
      <c r="K36" s="66">
        <f>'Baseline Price'!K32*'Baseline Consumption'!K51</f>
        <v>2.3420353308884499E-2</v>
      </c>
      <c r="L36" s="66">
        <f>'Baseline Price'!L32*'Baseline Consumption'!L51</f>
        <v>2.3965307093315881E-2</v>
      </c>
      <c r="M36" s="66">
        <f>'Baseline Price'!M32*'Baseline Consumption'!M51</f>
        <v>4.2558697267743029E-3</v>
      </c>
      <c r="N36" s="66">
        <f>'Baseline Price'!N32*'Baseline Consumption'!N51</f>
        <v>5.2851456532097048E-3</v>
      </c>
      <c r="O36" s="66">
        <f>'Baseline Price'!O32*'Baseline Consumption'!O51</f>
        <v>2.4837465821640845E-2</v>
      </c>
      <c r="P36" s="66">
        <f>'Baseline Price'!P32*'Baseline Consumption'!P51</f>
        <v>3.1084642441286565E-2</v>
      </c>
      <c r="Q36" s="66">
        <f>'Baseline Price'!Q32*'Baseline Consumption'!Q51</f>
        <v>4.136339826657124E-2</v>
      </c>
      <c r="R36" s="66">
        <f>'Baseline Price'!R32*'Baseline Consumption'!R51</f>
        <v>5.0398282884321376E-2</v>
      </c>
      <c r="S36" s="66">
        <f>'Baseline Price'!S32*'Baseline Consumption'!S51</f>
        <v>6.2441504064199932E-2</v>
      </c>
      <c r="T36" s="66">
        <f>'Baseline Price'!T32*'Baseline Consumption'!T51</f>
        <v>8.3356877136844518E-2</v>
      </c>
      <c r="U36" s="66">
        <f>'Baseline Price'!U32*'Baseline Consumption'!U51</f>
        <v>0.10835385463254094</v>
      </c>
      <c r="V36" s="66">
        <f>'Baseline Price'!V32*'Baseline Consumption'!V51</f>
        <v>0.12814445808460603</v>
      </c>
      <c r="W36" s="66">
        <f>'Baseline Price'!W32*'Baseline Consumption'!W51</f>
        <v>0.13187727010987207</v>
      </c>
      <c r="X36" s="66">
        <f>'Baseline Price'!X32*'Baseline Consumption'!X51</f>
        <v>0.14143908063591612</v>
      </c>
      <c r="Y36" s="66">
        <f>'Baseline Price'!Y32*'Baseline Consumption'!Y51</f>
        <v>0.14633725115055826</v>
      </c>
      <c r="Z36" s="66">
        <f>'Baseline Price'!Z32*'Baseline Consumption'!Z51</f>
        <v>0.15158055809196572</v>
      </c>
      <c r="AA36" s="66">
        <f>'Baseline Price'!AA32*'Baseline Consumption'!AA51</f>
        <v>0.15495306304702416</v>
      </c>
      <c r="AB36" s="66">
        <f>'Baseline Price'!AB32*'Baseline Consumption'!AB51</f>
        <v>0.15240922841851537</v>
      </c>
      <c r="AC36" s="66">
        <f>'Baseline Price'!AC32*'Baseline Consumption'!AC51</f>
        <v>0.15286463248424809</v>
      </c>
      <c r="AD36" s="66">
        <f>'Baseline Price'!AD32*'Baseline Consumption'!AD51</f>
        <v>0.15795613880696027</v>
      </c>
      <c r="AE36" s="66">
        <f>'Baseline Price'!AE32*'Baseline Consumption'!AE51</f>
        <v>0.16427162181180788</v>
      </c>
      <c r="AF36" s="66">
        <f>'Baseline Price'!AF32*'Baseline Consumption'!AF51</f>
        <v>0.16976724436686638</v>
      </c>
      <c r="AG36" s="66">
        <f>'Baseline Price'!AG32*'Baseline Consumption'!AG51</f>
        <v>0.17262482584703931</v>
      </c>
      <c r="AH36" s="66">
        <f>'Baseline Price'!AH32*'Baseline Consumption'!AH51</f>
        <v>0.17821064403550424</v>
      </c>
      <c r="AI36" s="66">
        <f>'Baseline Price'!AI32*'Baseline Consumption'!AI51</f>
        <v>0.18084115601351403</v>
      </c>
      <c r="AJ36" s="66">
        <f>'Baseline Price'!AJ32*'Baseline Consumption'!AJ51</f>
        <v>0.18273698915768585</v>
      </c>
      <c r="AK36" s="66">
        <f>'Baseline Price'!AK32*'Baseline Consumption'!AK51</f>
        <v>0.18294988148679617</v>
      </c>
    </row>
    <row r="37" spans="1:37">
      <c r="A37" s="57" t="str">
        <f>'Adjusted expend'!A37</f>
        <v xml:space="preserve">   Motor Gasoline 5/</v>
      </c>
      <c r="K37" s="66">
        <f>'Baseline Price'!K33*'Baseline Consumption'!K52</f>
        <v>8.6909395845204696</v>
      </c>
      <c r="L37" s="66">
        <f>'Baseline Price'!L33*'Baseline Consumption'!L52</f>
        <v>6.3904445388933979</v>
      </c>
      <c r="M37" s="66">
        <f>'Baseline Price'!M33*'Baseline Consumption'!M52</f>
        <v>6.7269617439945959</v>
      </c>
      <c r="N37" s="66">
        <f>'Baseline Price'!N33*'Baseline Consumption'!N52</f>
        <v>7.3432660293334102</v>
      </c>
      <c r="O37" s="66">
        <f>'Baseline Price'!O33*'Baseline Consumption'!O52</f>
        <v>7.23854207109797</v>
      </c>
      <c r="P37" s="66">
        <f>'Baseline Price'!P33*'Baseline Consumption'!P52</f>
        <v>7.4115760519873977</v>
      </c>
      <c r="Q37" s="66">
        <f>'Baseline Price'!Q33*'Baseline Consumption'!Q52</f>
        <v>8.2332486693241496</v>
      </c>
      <c r="R37" s="66">
        <f>'Baseline Price'!R33*'Baseline Consumption'!R52</f>
        <v>8.5165827896925741</v>
      </c>
      <c r="S37" s="66">
        <f>'Baseline Price'!S33*'Baseline Consumption'!S52</f>
        <v>8.51499323848725</v>
      </c>
      <c r="T37" s="66">
        <f>'Baseline Price'!T33*'Baseline Consumption'!T52</f>
        <v>8.4386620238849037</v>
      </c>
      <c r="U37" s="66">
        <f>'Baseline Price'!U33*'Baseline Consumption'!U52</f>
        <v>9.0812107781814806</v>
      </c>
      <c r="V37" s="66">
        <f>'Baseline Price'!V33*'Baseline Consumption'!V52</f>
        <v>8.8335313786641141</v>
      </c>
      <c r="W37" s="66">
        <f>'Baseline Price'!W33*'Baseline Consumption'!W52</f>
        <v>8.6523350676009674</v>
      </c>
      <c r="X37" s="66">
        <f>'Baseline Price'!X33*'Baseline Consumption'!X52</f>
        <v>8.5134364122728456</v>
      </c>
      <c r="Y37" s="66">
        <f>'Baseline Price'!Y33*'Baseline Consumption'!Y52</f>
        <v>8.4279946000325232</v>
      </c>
      <c r="Z37" s="66">
        <f>'Baseline Price'!Z33*'Baseline Consumption'!Z52</f>
        <v>8.4469485096374299</v>
      </c>
      <c r="AA37" s="66">
        <f>'Baseline Price'!AA33*'Baseline Consumption'!AA52</f>
        <v>8.3479110154073304</v>
      </c>
      <c r="AB37" s="66">
        <f>'Baseline Price'!AB33*'Baseline Consumption'!AB52</f>
        <v>8.3217826306519616</v>
      </c>
      <c r="AC37" s="66">
        <f>'Baseline Price'!AC33*'Baseline Consumption'!AC52</f>
        <v>8.250056217774997</v>
      </c>
      <c r="AD37" s="66">
        <f>'Baseline Price'!AD33*'Baseline Consumption'!AD52</f>
        <v>8.1659872531231557</v>
      </c>
      <c r="AE37" s="66">
        <f>'Baseline Price'!AE33*'Baseline Consumption'!AE52</f>
        <v>8.1235018654582003</v>
      </c>
      <c r="AF37" s="66">
        <f>'Baseline Price'!AF33*'Baseline Consumption'!AF52</f>
        <v>8.0804359239348074</v>
      </c>
      <c r="AG37" s="66">
        <f>'Baseline Price'!AG33*'Baseline Consumption'!AG52</f>
        <v>8.0374658887391028</v>
      </c>
      <c r="AH37" s="66">
        <f>'Baseline Price'!AH33*'Baseline Consumption'!AH52</f>
        <v>8.0849855431382753</v>
      </c>
      <c r="AI37" s="66">
        <f>'Baseline Price'!AI33*'Baseline Consumption'!AI52</f>
        <v>8.074738906939336</v>
      </c>
      <c r="AJ37" s="66">
        <f>'Baseline Price'!AJ33*'Baseline Consumption'!AJ52</f>
        <v>8.0982384633943028</v>
      </c>
      <c r="AK37" s="66">
        <f>'Baseline Price'!AK33*'Baseline Consumption'!AK52</f>
        <v>8.1449160152336635</v>
      </c>
    </row>
    <row r="38" spans="1:37">
      <c r="A38" s="57" t="str">
        <f>'Adjusted expend'!A38</f>
        <v xml:space="preserve">   Jet Fuel 6/</v>
      </c>
      <c r="K38" s="66">
        <f>'Baseline Price'!K34*'Baseline Consumption'!K53</f>
        <v>1.9580284544564333</v>
      </c>
      <c r="L38" s="66">
        <f>'Baseline Price'!L34*'Baseline Consumption'!L53</f>
        <v>1.1698074838606509</v>
      </c>
      <c r="M38" s="66">
        <f>'Baseline Price'!M34*'Baseline Consumption'!M53</f>
        <v>0.9242036888911267</v>
      </c>
      <c r="N38" s="66">
        <f>'Baseline Price'!N34*'Baseline Consumption'!N53</f>
        <v>1.1225022792917652</v>
      </c>
      <c r="O38" s="66">
        <f>'Baseline Price'!O34*'Baseline Consumption'!O53</f>
        <v>1.181614642251847</v>
      </c>
      <c r="P38" s="66">
        <f>'Baseline Price'!P34*'Baseline Consumption'!P53</f>
        <v>1.3122483835979486</v>
      </c>
      <c r="Q38" s="66">
        <f>'Baseline Price'!Q34*'Baseline Consumption'!Q53</f>
        <v>1.6691633723198209</v>
      </c>
      <c r="R38" s="66">
        <f>'Baseline Price'!R34*'Baseline Consumption'!R53</f>
        <v>1.8634115901852626</v>
      </c>
      <c r="S38" s="66">
        <f>'Baseline Price'!S34*'Baseline Consumption'!S53</f>
        <v>1.965362915671405</v>
      </c>
      <c r="T38" s="66">
        <f>'Baseline Price'!T34*'Baseline Consumption'!T53</f>
        <v>2.0551594388062702</v>
      </c>
      <c r="U38" s="66">
        <f>'Baseline Price'!U34*'Baseline Consumption'!U53</f>
        <v>2.1525988423625866</v>
      </c>
      <c r="V38" s="66">
        <f>'Baseline Price'!V34*'Baseline Consumption'!V53</f>
        <v>2.2027554418529647</v>
      </c>
      <c r="W38" s="66">
        <f>'Baseline Price'!W34*'Baseline Consumption'!W53</f>
        <v>2.2520481854346901</v>
      </c>
      <c r="X38" s="66">
        <f>'Baseline Price'!X34*'Baseline Consumption'!X53</f>
        <v>2.3307880478476108</v>
      </c>
      <c r="Y38" s="66">
        <f>'Baseline Price'!Y34*'Baseline Consumption'!Y53</f>
        <v>2.4121800307990786</v>
      </c>
      <c r="Z38" s="66">
        <f>'Baseline Price'!Z34*'Baseline Consumption'!Z53</f>
        <v>2.5259000061120598</v>
      </c>
      <c r="AA38" s="66">
        <f>'Baseline Price'!AA34*'Baseline Consumption'!AA53</f>
        <v>2.5993449970471296</v>
      </c>
      <c r="AB38" s="66">
        <f>'Baseline Price'!AB34*'Baseline Consumption'!AB53</f>
        <v>2.6948244649976782</v>
      </c>
      <c r="AC38" s="66">
        <f>'Baseline Price'!AC34*'Baseline Consumption'!AC53</f>
        <v>2.774828481781543</v>
      </c>
      <c r="AD38" s="66">
        <f>'Baseline Price'!AD34*'Baseline Consumption'!AD53</f>
        <v>2.8666483780818144</v>
      </c>
      <c r="AE38" s="66">
        <f>'Baseline Price'!AE34*'Baseline Consumption'!AE53</f>
        <v>2.9457225610141773</v>
      </c>
      <c r="AF38" s="66">
        <f>'Baseline Price'!AF34*'Baseline Consumption'!AF53</f>
        <v>3.0228693982963839</v>
      </c>
      <c r="AG38" s="66">
        <f>'Baseline Price'!AG34*'Baseline Consumption'!AG53</f>
        <v>3.0997823149763173</v>
      </c>
      <c r="AH38" s="66">
        <f>'Baseline Price'!AH34*'Baseline Consumption'!AH53</f>
        <v>3.2171874213895615</v>
      </c>
      <c r="AI38" s="66">
        <f>'Baseline Price'!AI34*'Baseline Consumption'!AI53</f>
        <v>3.3059588622846325</v>
      </c>
      <c r="AJ38" s="66">
        <f>'Baseline Price'!AJ34*'Baseline Consumption'!AJ53</f>
        <v>3.3864871973464905</v>
      </c>
      <c r="AK38" s="66">
        <f>'Baseline Price'!AK34*'Baseline Consumption'!AK53</f>
        <v>3.4681690314719948</v>
      </c>
    </row>
    <row r="39" spans="1:37">
      <c r="A39" s="57" t="str">
        <f>'Adjusted expend'!A39</f>
        <v xml:space="preserve">   Diesel Fuel (distillate fuel oil) 7/</v>
      </c>
      <c r="K39" s="66">
        <f>'Baseline Price'!K35*'Baseline Consumption'!K54</f>
        <v>3.4057318280831637</v>
      </c>
      <c r="L39" s="66">
        <f>'Baseline Price'!L35*'Baseline Consumption'!L54</f>
        <v>2.4542264560615803</v>
      </c>
      <c r="M39" s="66">
        <f>'Baseline Price'!M35*'Baseline Consumption'!M54</f>
        <v>2.2447598503655568</v>
      </c>
      <c r="N39" s="66">
        <f>'Baseline Price'!N35*'Baseline Consumption'!N54</f>
        <v>2.5637324045006014</v>
      </c>
      <c r="O39" s="66">
        <f>'Baseline Price'!O35*'Baseline Consumption'!O54</f>
        <v>2.6347358215017889</v>
      </c>
      <c r="P39" s="66">
        <f>'Baseline Price'!P35*'Baseline Consumption'!P54</f>
        <v>2.7015936340869775</v>
      </c>
      <c r="Q39" s="66">
        <f>'Baseline Price'!Q35*'Baseline Consumption'!Q54</f>
        <v>3.0667768628106495</v>
      </c>
      <c r="R39" s="66">
        <f>'Baseline Price'!R35*'Baseline Consumption'!R54</f>
        <v>3.1421725847923603</v>
      </c>
      <c r="S39" s="66">
        <f>'Baseline Price'!S35*'Baseline Consumption'!S54</f>
        <v>3.2000473702398882</v>
      </c>
      <c r="T39" s="66">
        <f>'Baseline Price'!T35*'Baseline Consumption'!T54</f>
        <v>3.2552121690315845</v>
      </c>
      <c r="U39" s="66">
        <f>'Baseline Price'!U35*'Baseline Consumption'!U54</f>
        <v>3.6305221598284585</v>
      </c>
      <c r="V39" s="66">
        <f>'Baseline Price'!V35*'Baseline Consumption'!V54</f>
        <v>3.6619515515437304</v>
      </c>
      <c r="W39" s="66">
        <f>'Baseline Price'!W35*'Baseline Consumption'!W54</f>
        <v>3.6745091861520658</v>
      </c>
      <c r="X39" s="66">
        <f>'Baseline Price'!X35*'Baseline Consumption'!X54</f>
        <v>3.6990013089130889</v>
      </c>
      <c r="Y39" s="66">
        <f>'Baseline Price'!Y35*'Baseline Consumption'!Y54</f>
        <v>3.7231718906604692</v>
      </c>
      <c r="Z39" s="66">
        <f>'Baseline Price'!Z35*'Baseline Consumption'!Z54</f>
        <v>3.7959946357205312</v>
      </c>
      <c r="AA39" s="66">
        <f>'Baseline Price'!AA35*'Baseline Consumption'!AA54</f>
        <v>3.8112296590900292</v>
      </c>
      <c r="AB39" s="66">
        <f>'Baseline Price'!AB35*'Baseline Consumption'!AB54</f>
        <v>3.8407072839280887</v>
      </c>
      <c r="AC39" s="66">
        <f>'Baseline Price'!AC35*'Baseline Consumption'!AC54</f>
        <v>3.8441134260869565</v>
      </c>
      <c r="AD39" s="66">
        <f>'Baseline Price'!AD35*'Baseline Consumption'!AD54</f>
        <v>3.8724760923084429</v>
      </c>
      <c r="AE39" s="66">
        <f>'Baseline Price'!AE35*'Baseline Consumption'!AE54</f>
        <v>3.9062843241430185</v>
      </c>
      <c r="AF39" s="66">
        <f>'Baseline Price'!AF35*'Baseline Consumption'!AF54</f>
        <v>3.9313214150031324</v>
      </c>
      <c r="AG39" s="66">
        <f>'Baseline Price'!AG35*'Baseline Consumption'!AG54</f>
        <v>3.9633430723667646</v>
      </c>
      <c r="AH39" s="66">
        <f>'Baseline Price'!AH35*'Baseline Consumption'!AH54</f>
        <v>4.0279191268311543</v>
      </c>
      <c r="AI39" s="66">
        <f>'Baseline Price'!AI35*'Baseline Consumption'!AI54</f>
        <v>4.0666977407250684</v>
      </c>
      <c r="AJ39" s="66">
        <f>'Baseline Price'!AJ35*'Baseline Consumption'!AJ54</f>
        <v>4.1025959864385007</v>
      </c>
      <c r="AK39" s="66">
        <f>'Baseline Price'!AK35*'Baseline Consumption'!AK54</f>
        <v>4.1384322827180249</v>
      </c>
    </row>
    <row r="40" spans="1:37">
      <c r="A40" s="57" t="str">
        <f>'Adjusted expend'!A40</f>
        <v xml:space="preserve">   Residual Fuel Oil</v>
      </c>
      <c r="K40" s="66">
        <f>'Baseline Price'!K36*'Baseline Consumption'!K55</f>
        <v>0.40936263801126682</v>
      </c>
      <c r="L40" s="66">
        <f>'Baseline Price'!L36*'Baseline Consumption'!L55</f>
        <v>0.29404863406478238</v>
      </c>
      <c r="M40" s="66">
        <f>'Baseline Price'!M36*'Baseline Consumption'!M55</f>
        <v>0.507456589883719</v>
      </c>
      <c r="N40" s="66">
        <f>'Baseline Price'!N36*'Baseline Consumption'!N55</f>
        <v>0.68482986167296478</v>
      </c>
      <c r="O40" s="66">
        <f>'Baseline Price'!O36*'Baseline Consumption'!O55</f>
        <v>0.67267407265004853</v>
      </c>
      <c r="P40" s="66">
        <f>'Baseline Price'!P36*'Baseline Consumption'!P55</f>
        <v>0.84528129009404906</v>
      </c>
      <c r="Q40" s="66">
        <f>'Baseline Price'!Q36*'Baseline Consumption'!Q55</f>
        <v>0.6239152256949857</v>
      </c>
      <c r="R40" s="66">
        <f>'Baseline Price'!R36*'Baseline Consumption'!R55</f>
        <v>1.0079804797130099</v>
      </c>
      <c r="S40" s="66">
        <f>'Baseline Price'!S36*'Baseline Consumption'!S55</f>
        <v>1.0286933732464707</v>
      </c>
      <c r="T40" s="66">
        <f>'Baseline Price'!T36*'Baseline Consumption'!T55</f>
        <v>1.0332089456098152</v>
      </c>
      <c r="U40" s="66">
        <f>'Baseline Price'!U36*'Baseline Consumption'!U55</f>
        <v>1.0885301170023451</v>
      </c>
      <c r="V40" s="66">
        <f>'Baseline Price'!V36*'Baseline Consumption'!V55</f>
        <v>1.106143173064486</v>
      </c>
      <c r="W40" s="66">
        <f>'Baseline Price'!W36*'Baseline Consumption'!W55</f>
        <v>1.0940585568322414</v>
      </c>
      <c r="X40" s="66">
        <f>'Baseline Price'!X36*'Baseline Consumption'!X55</f>
        <v>1.1086120497110576</v>
      </c>
      <c r="Y40" s="66">
        <f>'Baseline Price'!Y36*'Baseline Consumption'!Y55</f>
        <v>1.119455374550453</v>
      </c>
      <c r="Z40" s="66">
        <f>'Baseline Price'!Z36*'Baseline Consumption'!Z55</f>
        <v>1.134264081119676</v>
      </c>
      <c r="AA40" s="66">
        <f>'Baseline Price'!AA36*'Baseline Consumption'!AA55</f>
        <v>1.1423708627318556</v>
      </c>
      <c r="AB40" s="66">
        <f>'Baseline Price'!AB36*'Baseline Consumption'!AB55</f>
        <v>1.1533654488185481</v>
      </c>
      <c r="AC40" s="66">
        <f>'Baseline Price'!AC36*'Baseline Consumption'!AC55</f>
        <v>1.1570872358916777</v>
      </c>
      <c r="AD40" s="66">
        <f>'Baseline Price'!AD36*'Baseline Consumption'!AD55</f>
        <v>1.1617220237283576</v>
      </c>
      <c r="AE40" s="66">
        <f>'Baseline Price'!AE36*'Baseline Consumption'!AE55</f>
        <v>1.1646517836635262</v>
      </c>
      <c r="AF40" s="66">
        <f>'Baseline Price'!AF36*'Baseline Consumption'!AF55</f>
        <v>1.1660549389417985</v>
      </c>
      <c r="AG40" s="66">
        <f>'Baseline Price'!AG36*'Baseline Consumption'!AG55</f>
        <v>1.1693700555109781</v>
      </c>
      <c r="AH40" s="66">
        <f>'Baseline Price'!AH36*'Baseline Consumption'!AH55</f>
        <v>1.1627535623048988</v>
      </c>
      <c r="AI40" s="66">
        <f>'Baseline Price'!AI36*'Baseline Consumption'!AI55</f>
        <v>1.1602325093332688</v>
      </c>
      <c r="AJ40" s="66">
        <f>'Baseline Price'!AJ36*'Baseline Consumption'!AJ55</f>
        <v>1.1540750620624285</v>
      </c>
      <c r="AK40" s="66">
        <f>'Baseline Price'!AK36*'Baseline Consumption'!AK55</f>
        <v>1.1466737611736362</v>
      </c>
    </row>
    <row r="41" spans="1:37">
      <c r="A41" s="57" t="str">
        <f>'Adjusted expend'!A41</f>
        <v xml:space="preserve">   Natural Gas 8/</v>
      </c>
      <c r="K41" s="66">
        <f>'Baseline Price'!K37*('Baseline Consumption'!K57+'Baseline Consumption'!K58)</f>
        <v>0.15142557380948476</v>
      </c>
      <c r="L41" s="347">
        <f>'Baseline Price'!L37*('Baseline Consumption'!L57+'Baseline Consumption'!L58)</f>
        <v>0.19230188401448753</v>
      </c>
      <c r="M41" s="347">
        <f>'Baseline Price'!M37*('Baseline Consumption'!M57+'Baseline Consumption'!M58)</f>
        <v>0.1668204489117957</v>
      </c>
      <c r="N41" s="347">
        <f>'Baseline Price'!N37*('Baseline Consumption'!N57+'Baseline Consumption'!N58)</f>
        <v>0.1574762072049026</v>
      </c>
      <c r="O41" s="347">
        <f>'Baseline Price'!O37*('Baseline Consumption'!O57+'Baseline Consumption'!O58)</f>
        <v>0.16286337464333767</v>
      </c>
      <c r="P41" s="347">
        <f>'Baseline Price'!P37*('Baseline Consumption'!P57+'Baseline Consumption'!P58)</f>
        <v>0.16826743548530243</v>
      </c>
      <c r="Q41" s="347">
        <f>'Baseline Price'!Q37*('Baseline Consumption'!Q57+'Baseline Consumption'!Q58)</f>
        <v>0.17109983678220972</v>
      </c>
      <c r="R41" s="347">
        <f>'Baseline Price'!R37*('Baseline Consumption'!R57+'Baseline Consumption'!R58)</f>
        <v>0.16957454480183831</v>
      </c>
      <c r="S41" s="347">
        <f>'Baseline Price'!S37*('Baseline Consumption'!S57+'Baseline Consumption'!S58)</f>
        <v>0.17216852751058648</v>
      </c>
      <c r="T41" s="347">
        <f>'Baseline Price'!T37*('Baseline Consumption'!T57+'Baseline Consumption'!T58)</f>
        <v>0.17611369476914393</v>
      </c>
      <c r="U41" s="347">
        <f>'Baseline Price'!U37*('Baseline Consumption'!U57+'Baseline Consumption'!U58)</f>
        <v>0.2123044392865151</v>
      </c>
      <c r="V41" s="347">
        <f>'Baseline Price'!V37*('Baseline Consumption'!V57+'Baseline Consumption'!V58)</f>
        <v>0.21694313652144662</v>
      </c>
      <c r="W41" s="347">
        <f>'Baseline Price'!W37*('Baseline Consumption'!W57+'Baseline Consumption'!W58)</f>
        <v>0.21939628964838584</v>
      </c>
      <c r="X41" s="347">
        <f>'Baseline Price'!X37*('Baseline Consumption'!X57+'Baseline Consumption'!X58)</f>
        <v>0.22327039055505235</v>
      </c>
      <c r="Y41" s="347">
        <f>'Baseline Price'!Y37*('Baseline Consumption'!Y57+'Baseline Consumption'!Y58)</f>
        <v>0.22655665408726211</v>
      </c>
      <c r="Z41" s="347">
        <f>'Baseline Price'!Z37*('Baseline Consumption'!Z57+'Baseline Consumption'!Z58)</f>
        <v>0.23549836321401613</v>
      </c>
      <c r="AA41" s="347">
        <f>'Baseline Price'!AA37*('Baseline Consumption'!AA57+'Baseline Consumption'!AA58)</f>
        <v>0.23783911305274766</v>
      </c>
      <c r="AB41" s="347">
        <f>'Baseline Price'!AB37*('Baseline Consumption'!AB57+'Baseline Consumption'!AB58)</f>
        <v>0.24090635682200395</v>
      </c>
      <c r="AC41" s="347">
        <f>'Baseline Price'!AC37*('Baseline Consumption'!AC57+'Baseline Consumption'!AC58)</f>
        <v>0.24466847895161123</v>
      </c>
      <c r="AD41" s="347">
        <f>'Baseline Price'!AD37*('Baseline Consumption'!AD57+'Baseline Consumption'!AD58)</f>
        <v>0.24780900170495587</v>
      </c>
      <c r="AE41" s="347">
        <f>'Baseline Price'!AE37*('Baseline Consumption'!AE57+'Baseline Consumption'!AE58)</f>
        <v>0.25215003026112615</v>
      </c>
      <c r="AF41" s="347">
        <f>'Baseline Price'!AF37*('Baseline Consumption'!AF57+'Baseline Consumption'!AF58)</f>
        <v>0.25606011919020766</v>
      </c>
      <c r="AG41" s="347">
        <f>'Baseline Price'!AG37*('Baseline Consumption'!AG57+'Baseline Consumption'!AG58)</f>
        <v>0.26197356446232295</v>
      </c>
      <c r="AH41" s="347">
        <f>'Baseline Price'!AH37*('Baseline Consumption'!AH57+'Baseline Consumption'!AH58)</f>
        <v>0.26748341860976499</v>
      </c>
      <c r="AI41" s="347">
        <f>'Baseline Price'!AI37*('Baseline Consumption'!AI57+'Baseline Consumption'!AI58)</f>
        <v>0.27278177127617642</v>
      </c>
      <c r="AJ41" s="347">
        <f>'Baseline Price'!AJ37*('Baseline Consumption'!AJ57+'Baseline Consumption'!AJ58)</f>
        <v>0.2783926962789578</v>
      </c>
      <c r="AK41" s="347">
        <f>'Baseline Price'!AK37*('Baseline Consumption'!AK57+'Baseline Consumption'!AK58)</f>
        <v>0.28386563898715977</v>
      </c>
    </row>
    <row r="42" spans="1:37">
      <c r="A42" s="57" t="str">
        <f>'Adjusted expend'!A42</f>
        <v xml:space="preserve">   Electricity</v>
      </c>
      <c r="K42" s="66">
        <f>'Baseline Price'!K38*'Baseline Consumption'!K60</f>
        <v>1.3044126582381285E-2</v>
      </c>
      <c r="L42" s="66">
        <f>'Baseline Price'!L38*'Baseline Consumption'!L60</f>
        <v>2.3849800336362237E-3</v>
      </c>
      <c r="M42" s="66">
        <f>'Baseline Price'!M38*'Baseline Consumption'!M60</f>
        <v>3.1018270167665419E-3</v>
      </c>
      <c r="N42" s="66">
        <f>'Baseline Price'!N38*'Baseline Consumption'!N60</f>
        <v>1.7254441108635495E-2</v>
      </c>
      <c r="O42" s="66">
        <f>'Baseline Price'!O38*'Baseline Consumption'!O60</f>
        <v>2.532966834114362E-2</v>
      </c>
      <c r="P42" s="66">
        <f>'Baseline Price'!P38*'Baseline Consumption'!P60</f>
        <v>3.3495727076778503E-2</v>
      </c>
      <c r="Q42" s="66">
        <f>'Baseline Price'!Q38*'Baseline Consumption'!Q60</f>
        <v>4.3757013526203793E-2</v>
      </c>
      <c r="R42" s="66">
        <f>'Baseline Price'!R38*'Baseline Consumption'!R60</f>
        <v>5.6385678668753325E-2</v>
      </c>
      <c r="S42" s="66">
        <f>'Baseline Price'!S38*'Baseline Consumption'!S60</f>
        <v>7.1031397866982579E-2</v>
      </c>
      <c r="T42" s="66">
        <f>'Baseline Price'!T38*'Baseline Consumption'!T60</f>
        <v>8.8217777654854487E-2</v>
      </c>
      <c r="U42" s="66">
        <f>'Baseline Price'!U38*'Baseline Consumption'!U60</f>
        <v>0.10405897382089166</v>
      </c>
      <c r="V42" s="66">
        <f>'Baseline Price'!V38*'Baseline Consumption'!V60</f>
        <v>0.12269798765869565</v>
      </c>
      <c r="W42" s="66">
        <f>'Baseline Price'!W38*'Baseline Consumption'!W60</f>
        <v>0.14272578516651152</v>
      </c>
      <c r="X42" s="66">
        <f>'Baseline Price'!X38*'Baseline Consumption'!X60</f>
        <v>0.16011213650822656</v>
      </c>
      <c r="Y42" s="66">
        <f>'Baseline Price'!Y38*'Baseline Consumption'!Y60</f>
        <v>0.17693841913445765</v>
      </c>
      <c r="Z42" s="66">
        <f>'Baseline Price'!Z38*'Baseline Consumption'!Z60</f>
        <v>0.19311626814590865</v>
      </c>
      <c r="AA42" s="66">
        <f>'Baseline Price'!AA38*'Baseline Consumption'!AA60</f>
        <v>0.20924042653096073</v>
      </c>
      <c r="AB42" s="66">
        <f>'Baseline Price'!AB38*'Baseline Consumption'!AB60</f>
        <v>0.22270557868022198</v>
      </c>
      <c r="AC42" s="66">
        <f>'Baseline Price'!AC38*'Baseline Consumption'!AC60</f>
        <v>0.23463364542726614</v>
      </c>
      <c r="AD42" s="66">
        <f>'Baseline Price'!AD38*'Baseline Consumption'!AD60</f>
        <v>0.24414587373092603</v>
      </c>
      <c r="AE42" s="66">
        <f>'Baseline Price'!AE38*'Baseline Consumption'!AE60</f>
        <v>0.25340899222765262</v>
      </c>
      <c r="AF42" s="66">
        <f>'Baseline Price'!AF38*'Baseline Consumption'!AF60</f>
        <v>0.25941910619019354</v>
      </c>
      <c r="AG42" s="66">
        <f>'Baseline Price'!AG38*'Baseline Consumption'!AG60</f>
        <v>0.26921897859372124</v>
      </c>
      <c r="AH42" s="66">
        <f>'Baseline Price'!AH38*'Baseline Consumption'!AH60</f>
        <v>0.27744838553276208</v>
      </c>
      <c r="AI42" s="66">
        <f>'Baseline Price'!AI38*'Baseline Consumption'!AI60</f>
        <v>0.28509440984590678</v>
      </c>
      <c r="AJ42" s="66">
        <f>'Baseline Price'!AJ38*'Baseline Consumption'!AJ60</f>
        <v>0.2922153168431581</v>
      </c>
      <c r="AK42" s="66">
        <f>'Baseline Price'!AK38*'Baseline Consumption'!AK60</f>
        <v>0.29903621859868679</v>
      </c>
    </row>
    <row r="43" spans="1:37">
      <c r="A43" s="77" t="s">
        <v>4</v>
      </c>
      <c r="K43" s="85">
        <f>SUM(K35:K42)</f>
        <v>14.659534555643869</v>
      </c>
      <c r="L43" s="85">
        <f t="shared" ref="L43:AK43" si="3">SUM(L35:L42)</f>
        <v>10.533298384431109</v>
      </c>
      <c r="M43" s="85">
        <f t="shared" si="3"/>
        <v>10.580257646377559</v>
      </c>
      <c r="N43" s="85">
        <f t="shared" si="3"/>
        <v>11.897302203431492</v>
      </c>
      <c r="O43" s="85">
        <f t="shared" si="3"/>
        <v>11.943598026031555</v>
      </c>
      <c r="P43" s="85">
        <f t="shared" si="3"/>
        <v>12.506722088870237</v>
      </c>
      <c r="Q43" s="85">
        <f t="shared" si="3"/>
        <v>13.85297696578157</v>
      </c>
      <c r="R43" s="85">
        <f t="shared" si="3"/>
        <v>14.810309687906001</v>
      </c>
      <c r="S43" s="85">
        <f t="shared" si="3"/>
        <v>15.018526309929722</v>
      </c>
      <c r="T43" s="85">
        <f t="shared" si="3"/>
        <v>15.133725162861856</v>
      </c>
      <c r="U43" s="85">
        <f t="shared" si="3"/>
        <v>16.381799698798808</v>
      </c>
      <c r="V43" s="85">
        <f t="shared" si="3"/>
        <v>16.276363805190062</v>
      </c>
      <c r="W43" s="85">
        <f t="shared" si="3"/>
        <v>16.17116919646179</v>
      </c>
      <c r="X43" s="85">
        <f t="shared" si="3"/>
        <v>16.180970493351968</v>
      </c>
      <c r="Y43" s="85">
        <f t="shared" si="3"/>
        <v>16.23706389593201</v>
      </c>
      <c r="Z43" s="85">
        <f t="shared" si="3"/>
        <v>16.487929260676662</v>
      </c>
      <c r="AA43" s="85">
        <f t="shared" si="3"/>
        <v>16.507619953618423</v>
      </c>
      <c r="AB43" s="85">
        <f t="shared" si="3"/>
        <v>16.631560136335427</v>
      </c>
      <c r="AC43" s="85">
        <f t="shared" si="3"/>
        <v>16.663233622058428</v>
      </c>
      <c r="AD43" s="85">
        <f t="shared" si="3"/>
        <v>16.721837883682927</v>
      </c>
      <c r="AE43" s="85">
        <f t="shared" si="3"/>
        <v>16.815202395729376</v>
      </c>
      <c r="AF43" s="85">
        <f t="shared" si="3"/>
        <v>16.891258569415079</v>
      </c>
      <c r="AG43" s="85">
        <f t="shared" si="3"/>
        <v>16.979237761149143</v>
      </c>
      <c r="AH43" s="85">
        <f t="shared" si="3"/>
        <v>17.221609058124187</v>
      </c>
      <c r="AI43" s="85">
        <f t="shared" si="3"/>
        <v>17.352125124677166</v>
      </c>
      <c r="AJ43" s="85">
        <f t="shared" si="3"/>
        <v>17.500678633475868</v>
      </c>
      <c r="AK43" s="85">
        <f t="shared" si="3"/>
        <v>17.670150415005697</v>
      </c>
    </row>
    <row r="44" spans="1:37" ht="13.5" thickBot="1">
      <c r="A44" s="57"/>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row>
    <row r="45" spans="1:37" ht="13.5" thickTop="1">
      <c r="A45" s="57" t="s">
        <v>355</v>
      </c>
      <c r="K45" s="118">
        <f>K11+K19+K32+K43</f>
        <v>25.88633865048407</v>
      </c>
      <c r="L45" s="118">
        <f t="shared" ref="L45:AK45" si="4">L11+L19+L32+L43</f>
        <v>21.193376287755118</v>
      </c>
      <c r="M45" s="118">
        <f t="shared" si="4"/>
        <v>20.673226476938211</v>
      </c>
      <c r="N45" s="118">
        <f t="shared" si="4"/>
        <v>22.661888573587454</v>
      </c>
      <c r="O45" s="118">
        <f t="shared" si="4"/>
        <v>22.973395193183077</v>
      </c>
      <c r="P45" s="118">
        <f t="shared" si="4"/>
        <v>23.350453031097818</v>
      </c>
      <c r="Q45" s="118">
        <f t="shared" si="4"/>
        <v>24.851429641593619</v>
      </c>
      <c r="R45" s="118">
        <f t="shared" si="4"/>
        <v>25.827628567272107</v>
      </c>
      <c r="S45" s="118">
        <f t="shared" si="4"/>
        <v>26.201657567050603</v>
      </c>
      <c r="T45" s="118">
        <f t="shared" si="4"/>
        <v>26.477080730317553</v>
      </c>
      <c r="U45" s="118">
        <f t="shared" si="4"/>
        <v>28.139899683735464</v>
      </c>
      <c r="V45" s="118">
        <f t="shared" si="4"/>
        <v>28.2684503576865</v>
      </c>
      <c r="W45" s="118">
        <f t="shared" si="4"/>
        <v>28.319136460363101</v>
      </c>
      <c r="X45" s="118">
        <f t="shared" si="4"/>
        <v>28.378224258366764</v>
      </c>
      <c r="Y45" s="118">
        <f t="shared" si="4"/>
        <v>28.476446406926854</v>
      </c>
      <c r="Z45" s="118">
        <f t="shared" si="4"/>
        <v>28.890311260724978</v>
      </c>
      <c r="AA45" s="118">
        <f t="shared" si="4"/>
        <v>29.08534837875002</v>
      </c>
      <c r="AB45" s="118">
        <f t="shared" si="4"/>
        <v>29.43292297416766</v>
      </c>
      <c r="AC45" s="118">
        <f t="shared" si="4"/>
        <v>29.627994966842493</v>
      </c>
      <c r="AD45" s="118">
        <f t="shared" si="4"/>
        <v>29.857729758104671</v>
      </c>
      <c r="AE45" s="118">
        <f t="shared" si="4"/>
        <v>30.128702584304463</v>
      </c>
      <c r="AF45" s="118">
        <f t="shared" si="4"/>
        <v>30.377322883227301</v>
      </c>
      <c r="AG45" s="118">
        <f t="shared" si="4"/>
        <v>30.610584908926864</v>
      </c>
      <c r="AH45" s="118">
        <f t="shared" si="4"/>
        <v>31.033730677295907</v>
      </c>
      <c r="AI45" s="118">
        <f t="shared" si="4"/>
        <v>31.32044032583854</v>
      </c>
      <c r="AJ45" s="118">
        <f t="shared" si="4"/>
        <v>31.612003012364063</v>
      </c>
      <c r="AK45" s="118">
        <f t="shared" si="4"/>
        <v>31.927727809054538</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K104"/>
  <sheetViews>
    <sheetView workbookViewId="0">
      <pane xSplit="1" topLeftCell="I1" activePane="topRight" state="frozen"/>
      <selection pane="topRight" activeCell="AK41" sqref="AK41"/>
    </sheetView>
  </sheetViews>
  <sheetFormatPr defaultColWidth="9.140625" defaultRowHeight="12.75"/>
  <cols>
    <col min="1" max="1" width="38" style="6" customWidth="1"/>
    <col min="2" max="37" width="8.7109375" style="6" customWidth="1"/>
    <col min="38" max="16384" width="9.140625" style="6"/>
  </cols>
  <sheetData>
    <row r="1" spans="1:37" ht="27">
      <c r="A1" s="81" t="s">
        <v>303</v>
      </c>
      <c r="B1" s="31"/>
      <c r="C1" s="31"/>
      <c r="D1" s="31"/>
      <c r="E1"/>
      <c r="F1"/>
      <c r="G1"/>
      <c r="H1" s="10"/>
      <c r="I1" s="10"/>
      <c r="J1" s="10"/>
      <c r="K1" s="10"/>
      <c r="L1" s="10"/>
      <c r="M1" s="10"/>
      <c r="N1" s="10"/>
      <c r="O1" s="10"/>
      <c r="P1" s="10"/>
      <c r="Q1" s="10"/>
      <c r="R1" s="10"/>
      <c r="S1" s="10"/>
      <c r="T1" s="10"/>
      <c r="U1" s="10"/>
      <c r="V1" s="10"/>
      <c r="W1" s="10"/>
      <c r="X1" s="10"/>
      <c r="Y1" s="10"/>
      <c r="Z1" s="10"/>
      <c r="AA1" s="10"/>
      <c r="AB1" s="10"/>
      <c r="AC1" s="10"/>
      <c r="AD1" s="10"/>
      <c r="AE1" s="10"/>
      <c r="AF1" s="10"/>
      <c r="AG1" s="10"/>
    </row>
    <row r="2" spans="1:37" ht="15.75">
      <c r="A2" s="58" t="s">
        <v>382</v>
      </c>
      <c r="C2" s="58" t="s">
        <v>430</v>
      </c>
      <c r="D2" s="31"/>
      <c r="E2"/>
      <c r="F2"/>
      <c r="G2"/>
      <c r="H2" s="10"/>
      <c r="I2" s="10"/>
      <c r="J2" s="10"/>
      <c r="K2" s="10"/>
      <c r="L2" s="10"/>
      <c r="M2" s="10"/>
      <c r="N2" s="10"/>
      <c r="O2" s="10"/>
      <c r="P2" s="10"/>
      <c r="Q2" s="10"/>
      <c r="R2" s="10"/>
      <c r="S2" s="10"/>
      <c r="T2" s="10"/>
      <c r="U2" s="10"/>
      <c r="V2" s="10"/>
      <c r="W2" s="10"/>
      <c r="X2" s="10"/>
      <c r="Y2" s="10"/>
      <c r="Z2" s="10"/>
      <c r="AA2" s="10"/>
      <c r="AB2" s="10"/>
      <c r="AC2" s="10"/>
      <c r="AD2" s="10"/>
      <c r="AE2" s="10"/>
      <c r="AF2" s="10"/>
      <c r="AG2" s="10"/>
    </row>
    <row r="3" spans="1:37" ht="15.75">
      <c r="A3" s="58" t="s">
        <v>383</v>
      </c>
      <c r="C3" s="69" t="s">
        <v>429</v>
      </c>
      <c r="D3" s="29"/>
      <c r="E3" s="9"/>
      <c r="F3" s="9"/>
      <c r="G3" s="9"/>
      <c r="H3" s="10"/>
      <c r="I3" s="10"/>
      <c r="J3" s="10"/>
      <c r="K3" s="10"/>
      <c r="L3" s="10"/>
      <c r="M3" s="10"/>
      <c r="N3" s="10"/>
      <c r="O3" s="10"/>
      <c r="P3" s="10"/>
      <c r="Q3" s="10"/>
      <c r="R3" s="10"/>
      <c r="S3" s="10"/>
      <c r="T3" s="10"/>
      <c r="U3" s="10"/>
      <c r="V3" s="10"/>
      <c r="W3" s="10"/>
      <c r="X3" s="10"/>
      <c r="Y3" s="10"/>
      <c r="Z3" s="10"/>
      <c r="AA3" s="10"/>
      <c r="AB3" s="10"/>
      <c r="AC3" s="10"/>
      <c r="AD3" s="10"/>
      <c r="AE3" s="10"/>
      <c r="AF3" s="10"/>
      <c r="AG3" s="10"/>
    </row>
    <row r="4" spans="1:37" ht="15.75">
      <c r="A4" s="58" t="s">
        <v>380</v>
      </c>
      <c r="C4" s="69" t="s">
        <v>431</v>
      </c>
      <c r="D4" s="33"/>
      <c r="E4" s="33"/>
      <c r="F4" s="33"/>
      <c r="G4" s="33"/>
      <c r="H4" s="10"/>
      <c r="I4" s="10"/>
      <c r="J4" s="10"/>
      <c r="K4" s="10"/>
      <c r="L4" s="10"/>
      <c r="M4" s="10"/>
      <c r="N4" s="10"/>
      <c r="O4" s="10"/>
      <c r="P4" s="10"/>
      <c r="Q4" s="10"/>
      <c r="R4" s="10"/>
      <c r="S4" s="10"/>
      <c r="T4" s="10"/>
      <c r="U4" s="10"/>
      <c r="V4" s="10"/>
      <c r="W4" s="10"/>
      <c r="X4" s="10"/>
      <c r="Y4" s="10"/>
      <c r="Z4" s="10"/>
      <c r="AA4" s="10"/>
      <c r="AB4" s="10"/>
      <c r="AC4" s="10"/>
      <c r="AD4" s="10"/>
      <c r="AE4" s="10"/>
      <c r="AF4" s="10"/>
      <c r="AG4" s="10"/>
    </row>
    <row r="5" spans="1:37" ht="15">
      <c r="A5"/>
      <c r="B5" s="31"/>
      <c r="C5" s="31"/>
      <c r="D5" s="31"/>
      <c r="E5"/>
      <c r="F5"/>
      <c r="G5"/>
      <c r="H5" s="10"/>
      <c r="I5" s="10"/>
      <c r="J5" s="10"/>
      <c r="K5" s="10"/>
      <c r="L5" s="10"/>
      <c r="M5" s="10"/>
      <c r="N5" s="10"/>
      <c r="O5" s="10"/>
      <c r="P5" s="10"/>
      <c r="Q5" s="10"/>
      <c r="R5" s="10"/>
      <c r="S5" s="10"/>
      <c r="T5" s="10"/>
      <c r="U5" s="10"/>
      <c r="V5" s="10"/>
      <c r="W5" s="10"/>
      <c r="X5" s="10"/>
      <c r="Y5" s="10"/>
      <c r="Z5" s="10"/>
      <c r="AA5" s="10"/>
      <c r="AB5" s="10"/>
      <c r="AC5" s="10"/>
      <c r="AD5" s="10"/>
      <c r="AE5" s="10"/>
      <c r="AF5" s="10"/>
      <c r="AG5" s="10"/>
    </row>
    <row r="6" spans="1:37" ht="13.5">
      <c r="A6" s="59" t="s">
        <v>22</v>
      </c>
      <c r="B6" s="59">
        <v>2005</v>
      </c>
      <c r="C6" s="59">
        <v>2006</v>
      </c>
      <c r="D6" s="59">
        <v>2007</v>
      </c>
      <c r="E6" s="59">
        <v>2008</v>
      </c>
      <c r="F6" s="59">
        <v>2009</v>
      </c>
      <c r="G6" s="59">
        <v>2010</v>
      </c>
      <c r="H6" s="59">
        <v>2011</v>
      </c>
      <c r="I6" s="59">
        <v>2012</v>
      </c>
      <c r="J6" s="59">
        <v>2013</v>
      </c>
      <c r="K6" s="59">
        <v>2014</v>
      </c>
      <c r="L6" s="59">
        <v>2015</v>
      </c>
      <c r="M6" s="59">
        <v>2016</v>
      </c>
      <c r="N6" s="59">
        <v>2017</v>
      </c>
      <c r="O6" s="59">
        <v>2018</v>
      </c>
      <c r="P6" s="59">
        <v>2019</v>
      </c>
      <c r="Q6" s="59">
        <v>2020</v>
      </c>
      <c r="R6" s="59">
        <v>2021</v>
      </c>
      <c r="S6" s="59">
        <v>2022</v>
      </c>
      <c r="T6" s="59">
        <v>2023</v>
      </c>
      <c r="U6" s="59">
        <v>2024</v>
      </c>
      <c r="V6" s="59">
        <v>2025</v>
      </c>
      <c r="W6" s="59">
        <v>2026</v>
      </c>
      <c r="X6" s="59">
        <v>2027</v>
      </c>
      <c r="Y6" s="59">
        <v>2028</v>
      </c>
      <c r="Z6" s="59">
        <v>2029</v>
      </c>
      <c r="AA6" s="59">
        <v>2030</v>
      </c>
      <c r="AB6" s="59">
        <v>2031</v>
      </c>
      <c r="AC6" s="59">
        <v>2032</v>
      </c>
      <c r="AD6" s="59">
        <v>2033</v>
      </c>
      <c r="AE6" s="59">
        <v>2034</v>
      </c>
      <c r="AF6" s="59">
        <v>2035</v>
      </c>
      <c r="AG6" s="59">
        <v>2036</v>
      </c>
      <c r="AH6" s="59">
        <v>2037</v>
      </c>
      <c r="AI6" s="59">
        <v>2038</v>
      </c>
      <c r="AJ6" s="59">
        <v>2039</v>
      </c>
      <c r="AK6" s="59">
        <v>2040</v>
      </c>
    </row>
    <row r="7" spans="1:37">
      <c r="A7" s="57" t="s">
        <v>23</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row>
    <row r="8" spans="1:37">
      <c r="A8" s="57" t="s">
        <v>24</v>
      </c>
      <c r="B8" s="67"/>
      <c r="C8" s="67"/>
      <c r="D8" s="67"/>
      <c r="E8" s="67"/>
      <c r="F8" s="67"/>
      <c r="G8" s="67"/>
      <c r="H8" s="67"/>
      <c r="I8" s="67"/>
      <c r="J8" s="67"/>
      <c r="K8" s="67">
        <f>ramps!L22/'Baseline Price'!K8</f>
        <v>0</v>
      </c>
      <c r="L8" s="67">
        <f>ramps!M22/'Baseline Price'!L8</f>
        <v>0</v>
      </c>
      <c r="M8" s="67">
        <f>ramps!N22/'Baseline Price'!M8</f>
        <v>0</v>
      </c>
      <c r="N8" s="67">
        <f>ramps!O22/'Baseline Price'!N8</f>
        <v>0</v>
      </c>
      <c r="O8" s="67">
        <f>ramps!P22/'Baseline Price'!O8</f>
        <v>0</v>
      </c>
      <c r="P8" s="67">
        <f>ramps!Q22/'Baseline Price'!P8</f>
        <v>0</v>
      </c>
      <c r="Q8" s="67">
        <f>ramps!R22/'Baseline Price'!Q8</f>
        <v>4.3648196515678542E-2</v>
      </c>
      <c r="R8" s="67">
        <f>ramps!S22/'Baseline Price'!R8</f>
        <v>4.846673016980111E-2</v>
      </c>
      <c r="S8" s="67">
        <f>ramps!T22/'Baseline Price'!S8</f>
        <v>5.2972132961419852E-2</v>
      </c>
      <c r="T8" s="67">
        <f>ramps!U22/'Baseline Price'!T8</f>
        <v>5.7211991664735042E-2</v>
      </c>
      <c r="U8" s="67">
        <f>ramps!V22/'Baseline Price'!U8</f>
        <v>5.5100565552268832E-2</v>
      </c>
      <c r="V8" s="67">
        <f>ramps!W22/'Baseline Price'!V8</f>
        <v>5.8729023007162158E-2</v>
      </c>
      <c r="W8" s="67">
        <f>ramps!X22/'Baseline Price'!W8</f>
        <v>6.2076007394654097E-2</v>
      </c>
      <c r="X8" s="67">
        <f>ramps!Y22/'Baseline Price'!X8</f>
        <v>6.5169333525867026E-2</v>
      </c>
      <c r="Y8" s="67">
        <f>ramps!Z22/'Baseline Price'!Y8</f>
        <v>6.7777485913915025E-2</v>
      </c>
      <c r="Z8" s="67">
        <f>ramps!AA22/'Baseline Price'!Z8</f>
        <v>6.9231752602382499E-2</v>
      </c>
      <c r="AA8" s="67">
        <f>ramps!AB22/'Baseline Price'!AA8</f>
        <v>0</v>
      </c>
      <c r="AB8" s="67">
        <f>ramps!AC22/'Baseline Price'!AB8</f>
        <v>0</v>
      </c>
      <c r="AC8" s="67">
        <f>ramps!AD22/'Baseline Price'!AC8</f>
        <v>0</v>
      </c>
      <c r="AD8" s="67">
        <f>ramps!AE22/'Baseline Price'!AD8</f>
        <v>0</v>
      </c>
      <c r="AE8" s="67">
        <f>ramps!AF22/'Baseline Price'!AE8</f>
        <v>0</v>
      </c>
      <c r="AF8" s="67">
        <f>ramps!AG22/'Baseline Price'!AF8</f>
        <v>0</v>
      </c>
      <c r="AG8" s="67">
        <f>ramps!AH22/'Baseline Price'!AG8</f>
        <v>0</v>
      </c>
      <c r="AH8" s="67">
        <f>ramps!AI22/'Baseline Price'!AH8</f>
        <v>0</v>
      </c>
      <c r="AI8" s="67">
        <f>ramps!AJ22/'Baseline Price'!AI8</f>
        <v>0</v>
      </c>
      <c r="AJ8" s="67">
        <f>ramps!AK22/'Baseline Price'!AJ8</f>
        <v>0</v>
      </c>
      <c r="AK8" s="67">
        <f>ramps!AL22/'Baseline Price'!AK8</f>
        <v>0</v>
      </c>
    </row>
    <row r="9" spans="1:37">
      <c r="A9" s="57" t="s">
        <v>25</v>
      </c>
      <c r="B9" s="67"/>
      <c r="C9" s="67"/>
      <c r="D9" s="67"/>
      <c r="E9" s="67"/>
      <c r="F9" s="67"/>
      <c r="G9" s="67"/>
      <c r="H9" s="67"/>
      <c r="I9" s="67"/>
      <c r="J9" s="67"/>
      <c r="K9" s="67">
        <f>ramps!L20/'Baseline Price'!K9</f>
        <v>0</v>
      </c>
      <c r="L9" s="67">
        <f>ramps!M20/'Baseline Price'!L9</f>
        <v>0</v>
      </c>
      <c r="M9" s="67">
        <f>ramps!N20/'Baseline Price'!M9</f>
        <v>0</v>
      </c>
      <c r="N9" s="67">
        <f>ramps!O20/'Baseline Price'!N9</f>
        <v>0</v>
      </c>
      <c r="O9" s="67">
        <f>ramps!P20/'Baseline Price'!O9</f>
        <v>0</v>
      </c>
      <c r="P9" s="67">
        <f>ramps!Q20/'Baseline Price'!P9</f>
        <v>0</v>
      </c>
      <c r="Q9" s="67">
        <f>ramps!R20/'Baseline Price'!Q9</f>
        <v>4.4529554149663725E-2</v>
      </c>
      <c r="R9" s="67">
        <f>ramps!S20/'Baseline Price'!R9</f>
        <v>4.6933140756766675E-2</v>
      </c>
      <c r="S9" s="67">
        <f>ramps!T20/'Baseline Price'!S9</f>
        <v>5.0599641044531601E-2</v>
      </c>
      <c r="T9" s="67">
        <f>ramps!U20/'Baseline Price'!T9</f>
        <v>5.4130070153928074E-2</v>
      </c>
      <c r="U9" s="67">
        <f>ramps!V20/'Baseline Price'!U9</f>
        <v>5.7733130423001426E-2</v>
      </c>
      <c r="V9" s="67">
        <f>ramps!W20/'Baseline Price'!V9</f>
        <v>6.1441485770981935E-2</v>
      </c>
      <c r="W9" s="67">
        <f>ramps!X20/'Baseline Price'!W9</f>
        <v>6.470829364628751E-2</v>
      </c>
      <c r="X9" s="67">
        <f>ramps!Y20/'Baseline Price'!X9</f>
        <v>6.7491109138179364E-2</v>
      </c>
      <c r="Y9" s="67">
        <f>ramps!Z20/'Baseline Price'!Y9</f>
        <v>6.9746998480418626E-2</v>
      </c>
      <c r="Z9" s="67">
        <f>ramps!AA20/'Baseline Price'!Z9</f>
        <v>7.2244713461128388E-2</v>
      </c>
      <c r="AA9" s="67">
        <f>ramps!AB20/'Baseline Price'!AA9</f>
        <v>0</v>
      </c>
      <c r="AB9" s="67">
        <f>ramps!AC20/'Baseline Price'!AB9</f>
        <v>0</v>
      </c>
      <c r="AC9" s="67">
        <f>ramps!AD20/'Baseline Price'!AC9</f>
        <v>0</v>
      </c>
      <c r="AD9" s="67">
        <f>ramps!AE20/'Baseline Price'!AD9</f>
        <v>0</v>
      </c>
      <c r="AE9" s="67">
        <f>ramps!AF20/'Baseline Price'!AE9</f>
        <v>0</v>
      </c>
      <c r="AF9" s="67">
        <f>ramps!AG20/'Baseline Price'!AF9</f>
        <v>0</v>
      </c>
      <c r="AG9" s="67">
        <f>ramps!AH20/'Baseline Price'!AG9</f>
        <v>0</v>
      </c>
      <c r="AH9" s="67">
        <f>ramps!AI20/'Baseline Price'!AH9</f>
        <v>0</v>
      </c>
      <c r="AI9" s="67">
        <f>ramps!AJ20/'Baseline Price'!AI9</f>
        <v>0</v>
      </c>
      <c r="AJ9" s="67">
        <f>ramps!AK20/'Baseline Price'!AJ9</f>
        <v>0</v>
      </c>
      <c r="AK9" s="67">
        <f>ramps!AL20/'Baseline Price'!AK9</f>
        <v>0</v>
      </c>
    </row>
    <row r="10" spans="1:37">
      <c r="A10" s="57" t="s">
        <v>26</v>
      </c>
      <c r="B10" s="67"/>
      <c r="C10" s="67"/>
      <c r="D10" s="67"/>
      <c r="E10" s="67"/>
      <c r="F10" s="67"/>
      <c r="G10" s="67"/>
      <c r="H10" s="67"/>
      <c r="I10" s="67"/>
      <c r="J10" s="67"/>
      <c r="K10" s="67">
        <f>ramps!L17/'Baseline Price'!K10</f>
        <v>0</v>
      </c>
      <c r="L10" s="67">
        <f>ramps!M17/'Baseline Price'!L10</f>
        <v>0</v>
      </c>
      <c r="M10" s="67">
        <f>ramps!N17/'Baseline Price'!M10</f>
        <v>0</v>
      </c>
      <c r="N10" s="67">
        <f>ramps!O17/'Baseline Price'!N10</f>
        <v>0</v>
      </c>
      <c r="O10" s="67">
        <f>ramps!P17/'Baseline Price'!O10</f>
        <v>0</v>
      </c>
      <c r="P10" s="67">
        <f>ramps!Q17/'Baseline Price'!P10</f>
        <v>0</v>
      </c>
      <c r="Q10" s="67">
        <f>ramps!R17/'Baseline Price'!Q10</f>
        <v>6.1424193265853376E-2</v>
      </c>
      <c r="R10" s="67">
        <f>ramps!S17/'Baseline Price'!R10</f>
        <v>7.0743800964671394E-2</v>
      </c>
      <c r="S10" s="67">
        <f>ramps!T17/'Baseline Price'!S10</f>
        <v>8.0184833896248225E-2</v>
      </c>
      <c r="T10" s="67">
        <f>ramps!U17/'Baseline Price'!T10</f>
        <v>8.8690072252015181E-2</v>
      </c>
      <c r="U10" s="67">
        <f>ramps!V17/'Baseline Price'!U10</f>
        <v>8.0159595446620172E-2</v>
      </c>
      <c r="V10" s="67">
        <f>ramps!W17/'Baseline Price'!V10</f>
        <v>8.4589168013459129E-2</v>
      </c>
      <c r="W10" s="67">
        <f>ramps!X17/'Baseline Price'!W10</f>
        <v>8.9242375894601489E-2</v>
      </c>
      <c r="X10" s="67">
        <f>ramps!Y17/'Baseline Price'!X10</f>
        <v>9.3380405172612327E-2</v>
      </c>
      <c r="Y10" s="67">
        <f>ramps!Z17/'Baseline Price'!Y10</f>
        <v>9.7393950866765874E-2</v>
      </c>
      <c r="Z10" s="67">
        <f>ramps!AA17/'Baseline Price'!Z10</f>
        <v>9.9233698938765505E-2</v>
      </c>
      <c r="AA10" s="67">
        <f>ramps!AB17/'Baseline Price'!AA10</f>
        <v>0</v>
      </c>
      <c r="AB10" s="67">
        <f>ramps!AC17/'Baseline Price'!AB10</f>
        <v>0</v>
      </c>
      <c r="AC10" s="67">
        <f>ramps!AD17/'Baseline Price'!AC10</f>
        <v>0</v>
      </c>
      <c r="AD10" s="67">
        <f>ramps!AE17/'Baseline Price'!AD10</f>
        <v>0</v>
      </c>
      <c r="AE10" s="67">
        <f>ramps!AF17/'Baseline Price'!AE10</f>
        <v>0</v>
      </c>
      <c r="AF10" s="67">
        <f>ramps!AG17/'Baseline Price'!AF10</f>
        <v>0</v>
      </c>
      <c r="AG10" s="67">
        <f>ramps!AH17/'Baseline Price'!AG10</f>
        <v>0</v>
      </c>
      <c r="AH10" s="67">
        <f>ramps!AI17/'Baseline Price'!AH10</f>
        <v>0</v>
      </c>
      <c r="AI10" s="67">
        <f>ramps!AJ17/'Baseline Price'!AI10</f>
        <v>0</v>
      </c>
      <c r="AJ10" s="67">
        <f>ramps!AK17/'Baseline Price'!AJ10</f>
        <v>0</v>
      </c>
      <c r="AK10" s="67">
        <f>ramps!AL17/'Baseline Price'!AK10</f>
        <v>0</v>
      </c>
    </row>
    <row r="11" spans="1:37">
      <c r="A11" s="57" t="s">
        <v>27</v>
      </c>
      <c r="B11" s="67"/>
      <c r="C11" s="67"/>
      <c r="D11" s="67"/>
      <c r="E11" s="67"/>
      <c r="F11" s="67"/>
      <c r="G11" s="67"/>
      <c r="H11" s="67"/>
      <c r="I11" s="67"/>
      <c r="J11" s="67"/>
      <c r="K11" s="67">
        <f>K$85</f>
        <v>0</v>
      </c>
      <c r="L11" s="67">
        <f>L86/'Baseline Price'!L11</f>
        <v>0</v>
      </c>
      <c r="M11" s="67">
        <f>M86/'Baseline Price'!M11</f>
        <v>0</v>
      </c>
      <c r="N11" s="67">
        <f>N86/'Baseline Price'!N11</f>
        <v>0</v>
      </c>
      <c r="O11" s="67">
        <f>O86/'Baseline Price'!O11</f>
        <v>0</v>
      </c>
      <c r="P11" s="67">
        <f>P86/'Baseline Price'!P11</f>
        <v>0</v>
      </c>
      <c r="Q11" s="67">
        <f>Q86/'Baseline Price'!Q11</f>
        <v>2.3365450238934982E-2</v>
      </c>
      <c r="R11" s="67">
        <f>R86/'Baseline Price'!R11</f>
        <v>2.3096370422752678E-2</v>
      </c>
      <c r="S11" s="67">
        <f>S86/'Baseline Price'!S11</f>
        <v>2.4455080597228188E-2</v>
      </c>
      <c r="T11" s="67">
        <f>T86/'Baseline Price'!T11</f>
        <v>2.3639825563257374E-2</v>
      </c>
      <c r="U11" s="67">
        <f>U86/'Baseline Price'!U11</f>
        <v>2.4566845835603934E-2</v>
      </c>
      <c r="V11" s="67">
        <f>V86/'Baseline Price'!V11</f>
        <v>2.5035715266468684E-2</v>
      </c>
      <c r="W11" s="67">
        <f>W86/'Baseline Price'!W11</f>
        <v>2.2656170500801015E-2</v>
      </c>
      <c r="X11" s="67">
        <f>X86/'Baseline Price'!X11</f>
        <v>2.315865108933348E-2</v>
      </c>
      <c r="Y11" s="67">
        <f>Y86/'Baseline Price'!Y11</f>
        <v>2.3522075011834936E-2</v>
      </c>
      <c r="Z11" s="67">
        <f>Z86/'Baseline Price'!Z11</f>
        <v>2.396009355475788E-2</v>
      </c>
      <c r="AA11" s="67">
        <f>AA86/'Baseline Price'!AA11</f>
        <v>0</v>
      </c>
      <c r="AB11" s="67">
        <f>AB86/'Baseline Price'!AB11</f>
        <v>1.1905899420557702E-16</v>
      </c>
      <c r="AC11" s="67">
        <f>AC86/'Baseline Price'!AC11</f>
        <v>0</v>
      </c>
      <c r="AD11" s="67">
        <f>AD86/'Baseline Price'!AD11</f>
        <v>0</v>
      </c>
      <c r="AE11" s="67">
        <f>AE86/'Baseline Price'!AE11</f>
        <v>0</v>
      </c>
      <c r="AF11" s="67">
        <f>AF86/'Baseline Price'!AF11</f>
        <v>0</v>
      </c>
      <c r="AG11" s="67">
        <f>AG86/'Baseline Price'!AG11</f>
        <v>0</v>
      </c>
      <c r="AH11" s="67">
        <f>AH86/'Baseline Price'!AH11</f>
        <v>0</v>
      </c>
      <c r="AI11" s="67">
        <f>AI86/'Baseline Price'!AI11</f>
        <v>0</v>
      </c>
      <c r="AJ11" s="67">
        <f>AJ86/'Baseline Price'!AJ11</f>
        <v>0</v>
      </c>
      <c r="AK11" s="67">
        <f>AK86/'Baseline Price'!AK11</f>
        <v>0</v>
      </c>
    </row>
    <row r="12" spans="1:37">
      <c r="A12" s="5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76"/>
      <c r="AH12" s="76"/>
      <c r="AI12" s="76"/>
      <c r="AJ12" s="76"/>
      <c r="AK12" s="76"/>
    </row>
    <row r="13" spans="1:37">
      <c r="A13" s="57" t="s">
        <v>29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76"/>
      <c r="AH13" s="76"/>
      <c r="AI13" s="76"/>
      <c r="AJ13" s="76"/>
      <c r="AK13" s="76"/>
    </row>
    <row r="14" spans="1:37">
      <c r="A14" s="57" t="s">
        <v>24</v>
      </c>
      <c r="B14" s="67"/>
      <c r="C14" s="67"/>
      <c r="D14" s="67"/>
      <c r="E14" s="67"/>
      <c r="F14" s="67"/>
      <c r="G14" s="67"/>
      <c r="H14" s="67"/>
      <c r="I14" s="67"/>
      <c r="J14" s="67"/>
      <c r="K14" s="67">
        <f>ramps!L22/'Baseline Price'!K14</f>
        <v>0</v>
      </c>
      <c r="L14" s="67">
        <f>ramps!M22/'Baseline Price'!L14</f>
        <v>0</v>
      </c>
      <c r="M14" s="67">
        <f>ramps!N22/'Baseline Price'!M14</f>
        <v>0</v>
      </c>
      <c r="N14" s="67">
        <f>ramps!O22/'Baseline Price'!N14</f>
        <v>0</v>
      </c>
      <c r="O14" s="67">
        <f>ramps!P22/'Baseline Price'!O14</f>
        <v>0</v>
      </c>
      <c r="P14" s="67">
        <f>ramps!Q22/'Baseline Price'!P14</f>
        <v>0</v>
      </c>
      <c r="Q14" s="67">
        <f>ramps!R22/'Baseline Price'!Q14</f>
        <v>5.2341620825055814E-2</v>
      </c>
      <c r="R14" s="67">
        <f>ramps!S22/'Baseline Price'!R14</f>
        <v>5.8101107932040166E-2</v>
      </c>
      <c r="S14" s="67">
        <f>ramps!T22/'Baseline Price'!S14</f>
        <v>6.3474575029456679E-2</v>
      </c>
      <c r="T14" s="67">
        <f>ramps!U22/'Baseline Price'!T14</f>
        <v>6.8552836449175772E-2</v>
      </c>
      <c r="U14" s="67">
        <f>ramps!V22/'Baseline Price'!U14</f>
        <v>6.671686141005273E-2</v>
      </c>
      <c r="V14" s="67">
        <f>ramps!W22/'Baseline Price'!V14</f>
        <v>7.108894067960024E-2</v>
      </c>
      <c r="W14" s="67">
        <f>ramps!X22/'Baseline Price'!W14</f>
        <v>7.5116331345659107E-2</v>
      </c>
      <c r="X14" s="67">
        <f>ramps!Y22/'Baseline Price'!X14</f>
        <v>7.8835186045009581E-2</v>
      </c>
      <c r="Y14" s="67">
        <f>ramps!Z22/'Baseline Price'!Y14</f>
        <v>8.196944202691446E-2</v>
      </c>
      <c r="Z14" s="67">
        <f>ramps!AA22/'Baseline Price'!Z14</f>
        <v>8.3835788003006506E-2</v>
      </c>
      <c r="AA14" s="67">
        <f>ramps!AB22/'Baseline Price'!AA14</f>
        <v>0</v>
      </c>
      <c r="AB14" s="67">
        <f>ramps!AC22/'Baseline Price'!AB14</f>
        <v>0</v>
      </c>
      <c r="AC14" s="67">
        <f>ramps!AD22/'Baseline Price'!AC14</f>
        <v>0</v>
      </c>
      <c r="AD14" s="67">
        <f>ramps!AE22/'Baseline Price'!AD14</f>
        <v>0</v>
      </c>
      <c r="AE14" s="67">
        <f>ramps!AF22/'Baseline Price'!AE14</f>
        <v>0</v>
      </c>
      <c r="AF14" s="67">
        <f>ramps!AG22/'Baseline Price'!AF14</f>
        <v>0</v>
      </c>
      <c r="AG14" s="67">
        <f>ramps!AH22/'Baseline Price'!AG14</f>
        <v>0</v>
      </c>
      <c r="AH14" s="67">
        <f>ramps!AI22/'Baseline Price'!AH14</f>
        <v>0</v>
      </c>
      <c r="AI14" s="67">
        <f>ramps!AJ22/'Baseline Price'!AI14</f>
        <v>0</v>
      </c>
      <c r="AJ14" s="67">
        <f>ramps!AK22/'Baseline Price'!AJ14</f>
        <v>0</v>
      </c>
      <c r="AK14" s="67">
        <f>ramps!AL22/'Baseline Price'!AK14</f>
        <v>0</v>
      </c>
    </row>
    <row r="15" spans="1:37">
      <c r="A15" s="57" t="s">
        <v>25</v>
      </c>
      <c r="B15" s="67"/>
      <c r="C15" s="67"/>
      <c r="D15" s="67"/>
      <c r="E15" s="67"/>
      <c r="F15" s="67"/>
      <c r="G15" s="67"/>
      <c r="H15" s="67"/>
      <c r="I15" s="67"/>
      <c r="J15" s="67"/>
      <c r="K15" s="67">
        <f>ramps!L20/'Baseline Price'!K15</f>
        <v>0</v>
      </c>
      <c r="L15" s="67">
        <f>ramps!M20/'Baseline Price'!L15</f>
        <v>0</v>
      </c>
      <c r="M15" s="67">
        <f>ramps!N20/'Baseline Price'!M15</f>
        <v>0</v>
      </c>
      <c r="N15" s="67">
        <f>ramps!O20/'Baseline Price'!N15</f>
        <v>0</v>
      </c>
      <c r="O15" s="67">
        <f>ramps!P20/'Baseline Price'!O15</f>
        <v>0</v>
      </c>
      <c r="P15" s="67">
        <f>ramps!Q20/'Baseline Price'!P15</f>
        <v>0</v>
      </c>
      <c r="Q15" s="67">
        <f>ramps!R20/'Baseline Price'!Q15</f>
        <v>4.8932213794273829E-2</v>
      </c>
      <c r="R15" s="67">
        <f>ramps!S20/'Baseline Price'!R15</f>
        <v>5.2132445829624008E-2</v>
      </c>
      <c r="S15" s="67">
        <f>ramps!T20/'Baseline Price'!S15</f>
        <v>5.677319609229501E-2</v>
      </c>
      <c r="T15" s="67">
        <f>ramps!U20/'Baseline Price'!T15</f>
        <v>6.1116804368800924E-2</v>
      </c>
      <c r="U15" s="67">
        <f>ramps!V20/'Baseline Price'!U15</f>
        <v>5.9904960823064464E-2</v>
      </c>
      <c r="V15" s="67">
        <f>ramps!W20/'Baseline Price'!V15</f>
        <v>6.3418619350970887E-2</v>
      </c>
      <c r="W15" s="67">
        <f>ramps!X20/'Baseline Price'!W15</f>
        <v>6.6775427013846589E-2</v>
      </c>
      <c r="X15" s="67">
        <f>ramps!Y20/'Baseline Price'!X15</f>
        <v>6.9481829774323906E-2</v>
      </c>
      <c r="Y15" s="67">
        <f>ramps!Z20/'Baseline Price'!Y15</f>
        <v>7.1710219681501153E-2</v>
      </c>
      <c r="Z15" s="67">
        <f>ramps!AA20/'Baseline Price'!Z15</f>
        <v>7.3399291119703183E-2</v>
      </c>
      <c r="AA15" s="67">
        <f>ramps!AB20/'Baseline Price'!AA15</f>
        <v>0</v>
      </c>
      <c r="AB15" s="67">
        <f>ramps!AC20/'Baseline Price'!AB15</f>
        <v>0</v>
      </c>
      <c r="AC15" s="67">
        <f>ramps!AD20/'Baseline Price'!AC15</f>
        <v>0</v>
      </c>
      <c r="AD15" s="67">
        <f>ramps!AE20/'Baseline Price'!AD15</f>
        <v>0</v>
      </c>
      <c r="AE15" s="67">
        <f>ramps!AF20/'Baseline Price'!AE15</f>
        <v>0</v>
      </c>
      <c r="AF15" s="67">
        <f>ramps!AG20/'Baseline Price'!AF15</f>
        <v>0</v>
      </c>
      <c r="AG15" s="67">
        <f>ramps!AH20/'Baseline Price'!AG15</f>
        <v>0</v>
      </c>
      <c r="AH15" s="67">
        <f>ramps!AI20/'Baseline Price'!AH15</f>
        <v>0</v>
      </c>
      <c r="AI15" s="67">
        <f>ramps!AJ20/'Baseline Price'!AI15</f>
        <v>0</v>
      </c>
      <c r="AJ15" s="67">
        <f>ramps!AK20/'Baseline Price'!AJ15</f>
        <v>0</v>
      </c>
      <c r="AK15" s="67">
        <f>ramps!AL20/'Baseline Price'!AK15</f>
        <v>0</v>
      </c>
    </row>
    <row r="16" spans="1:37">
      <c r="A16" s="57" t="s">
        <v>45</v>
      </c>
      <c r="B16" s="67"/>
      <c r="C16" s="67"/>
      <c r="D16" s="67"/>
      <c r="E16" s="67"/>
      <c r="F16" s="67"/>
      <c r="G16" s="67"/>
      <c r="H16" s="67"/>
      <c r="I16" s="67"/>
      <c r="J16" s="67"/>
      <c r="K16" s="67">
        <f>ramps!L24/'Baseline Price'!K16</f>
        <v>0</v>
      </c>
      <c r="L16" s="67">
        <f>ramps!M24/'Baseline Price'!L16</f>
        <v>0</v>
      </c>
      <c r="M16" s="67">
        <f>ramps!N24/'Baseline Price'!M16</f>
        <v>0</v>
      </c>
      <c r="N16" s="67">
        <f>ramps!O24/'Baseline Price'!N16</f>
        <v>0</v>
      </c>
      <c r="O16" s="67">
        <f>ramps!P24/'Baseline Price'!O16</f>
        <v>0</v>
      </c>
      <c r="P16" s="67">
        <f>ramps!Q24/'Baseline Price'!P16</f>
        <v>0</v>
      </c>
      <c r="Q16" s="67">
        <f>ramps!R24/'Baseline Price'!Q16</f>
        <v>0</v>
      </c>
      <c r="R16" s="67">
        <f>ramps!S24/'Baseline Price'!R16</f>
        <v>0</v>
      </c>
      <c r="S16" s="67">
        <f>ramps!T24/'Baseline Price'!S16</f>
        <v>0</v>
      </c>
      <c r="T16" s="67">
        <f>ramps!U24/'Baseline Price'!T16</f>
        <v>0</v>
      </c>
      <c r="U16" s="67">
        <f>ramps!V24/'Baseline Price'!U16</f>
        <v>0</v>
      </c>
      <c r="V16" s="67">
        <f>ramps!W24/'Baseline Price'!V16</f>
        <v>0</v>
      </c>
      <c r="W16" s="67">
        <f>ramps!X24/'Baseline Price'!W16</f>
        <v>0</v>
      </c>
      <c r="X16" s="67">
        <f>ramps!Y24/'Baseline Price'!X16</f>
        <v>0</v>
      </c>
      <c r="Y16" s="67">
        <f>ramps!Z24/'Baseline Price'!Y16</f>
        <v>0</v>
      </c>
      <c r="Z16" s="67">
        <f>ramps!AA24/'Baseline Price'!Z16</f>
        <v>0</v>
      </c>
      <c r="AA16" s="67">
        <f>ramps!AB24/'Baseline Price'!AA16</f>
        <v>0</v>
      </c>
      <c r="AB16" s="67">
        <f>ramps!AC24/'Baseline Price'!AB16</f>
        <v>0</v>
      </c>
      <c r="AC16" s="67">
        <f>ramps!AD24/'Baseline Price'!AC16</f>
        <v>0</v>
      </c>
      <c r="AD16" s="67">
        <f>ramps!AE24/'Baseline Price'!AD16</f>
        <v>0</v>
      </c>
      <c r="AE16" s="67">
        <f>ramps!AF24/'Baseline Price'!AE16</f>
        <v>0</v>
      </c>
      <c r="AF16" s="67">
        <f>ramps!AG24/'Baseline Price'!AF16</f>
        <v>0</v>
      </c>
      <c r="AG16" s="67">
        <f>ramps!AH24/'Baseline Price'!AG16</f>
        <v>0</v>
      </c>
      <c r="AH16" s="67">
        <f>ramps!AI24/'Baseline Price'!AH16</f>
        <v>0</v>
      </c>
      <c r="AI16" s="67">
        <f>ramps!AJ24/'Baseline Price'!AI16</f>
        <v>0</v>
      </c>
      <c r="AJ16" s="67">
        <f>ramps!AK24/'Baseline Price'!AJ16</f>
        <v>0</v>
      </c>
      <c r="AK16" s="67">
        <f>ramps!AL24/'Baseline Price'!AK16</f>
        <v>0</v>
      </c>
    </row>
    <row r="17" spans="1:37">
      <c r="A17" s="57" t="s">
        <v>26</v>
      </c>
      <c r="B17" s="67"/>
      <c r="C17" s="67"/>
      <c r="D17" s="67"/>
      <c r="E17" s="67"/>
      <c r="F17" s="67"/>
      <c r="G17" s="67"/>
      <c r="H17" s="67"/>
      <c r="I17" s="67"/>
      <c r="J17" s="67"/>
      <c r="K17" s="67">
        <f>ramps!L17/'Baseline Price'!K17</f>
        <v>0</v>
      </c>
      <c r="L17" s="67">
        <f>ramps!M17/'Baseline Price'!L17</f>
        <v>0</v>
      </c>
      <c r="M17" s="67">
        <f>ramps!N17/'Baseline Price'!M17</f>
        <v>0</v>
      </c>
      <c r="N17" s="67">
        <f>ramps!O17/'Baseline Price'!N17</f>
        <v>0</v>
      </c>
      <c r="O17" s="67">
        <f>ramps!P17/'Baseline Price'!O17</f>
        <v>0</v>
      </c>
      <c r="P17" s="67">
        <f>ramps!Q17/'Baseline Price'!P17</f>
        <v>0</v>
      </c>
      <c r="Q17" s="67">
        <f>ramps!R17/'Baseline Price'!Q17</f>
        <v>8.0058982345105154E-2</v>
      </c>
      <c r="R17" s="67">
        <f>ramps!S17/'Baseline Price'!R17</f>
        <v>8.943865494977199E-2</v>
      </c>
      <c r="S17" s="67">
        <f>ramps!T17/'Baseline Price'!S17</f>
        <v>9.8260779977835139E-2</v>
      </c>
      <c r="T17" s="67">
        <f>ramps!U17/'Baseline Price'!T17</f>
        <v>0.10507452687940058</v>
      </c>
      <c r="U17" s="67">
        <f>ramps!V17/'Baseline Price'!U17</f>
        <v>9.351004996315572E-2</v>
      </c>
      <c r="V17" s="67">
        <f>ramps!W17/'Baseline Price'!V17</f>
        <v>9.8721866293900395E-2</v>
      </c>
      <c r="W17" s="67">
        <f>ramps!X17/'Baseline Price'!W17</f>
        <v>0.10424227695439192</v>
      </c>
      <c r="X17" s="67">
        <f>ramps!Y17/'Baseline Price'!X17</f>
        <v>0.10907457689027739</v>
      </c>
      <c r="Y17" s="67">
        <f>ramps!Z17/'Baseline Price'!Y17</f>
        <v>0.11382742578321849</v>
      </c>
      <c r="Z17" s="67">
        <f>ramps!AA17/'Baseline Price'!Z17</f>
        <v>0.1157434929043428</v>
      </c>
      <c r="AA17" s="67">
        <f>ramps!AB17/'Baseline Price'!AA17</f>
        <v>0</v>
      </c>
      <c r="AB17" s="67">
        <f>ramps!AC17/'Baseline Price'!AB17</f>
        <v>0</v>
      </c>
      <c r="AC17" s="67">
        <f>ramps!AD17/'Baseline Price'!AC17</f>
        <v>0</v>
      </c>
      <c r="AD17" s="67">
        <f>ramps!AE17/'Baseline Price'!AD17</f>
        <v>0</v>
      </c>
      <c r="AE17" s="67">
        <f>ramps!AF17/'Baseline Price'!AE17</f>
        <v>0</v>
      </c>
      <c r="AF17" s="67">
        <f>ramps!AG17/'Baseline Price'!AF17</f>
        <v>0</v>
      </c>
      <c r="AG17" s="67">
        <f>ramps!AH17/'Baseline Price'!AG17</f>
        <v>0</v>
      </c>
      <c r="AH17" s="67">
        <f>ramps!AI17/'Baseline Price'!AH17</f>
        <v>0</v>
      </c>
      <c r="AI17" s="67">
        <f>ramps!AJ17/'Baseline Price'!AI17</f>
        <v>0</v>
      </c>
      <c r="AJ17" s="67">
        <f>ramps!AK17/'Baseline Price'!AJ17</f>
        <v>0</v>
      </c>
      <c r="AK17" s="67">
        <f>ramps!AL17/'Baseline Price'!AK17</f>
        <v>0</v>
      </c>
    </row>
    <row r="18" spans="1:37">
      <c r="A18" s="57" t="s">
        <v>27</v>
      </c>
      <c r="B18" s="67"/>
      <c r="C18" s="67"/>
      <c r="D18" s="67"/>
      <c r="E18" s="67"/>
      <c r="F18" s="67"/>
      <c r="G18" s="67"/>
      <c r="H18" s="67"/>
      <c r="I18" s="67"/>
      <c r="J18" s="67"/>
      <c r="K18" s="67">
        <f>K$85</f>
        <v>0</v>
      </c>
      <c r="L18" s="67">
        <f>L86/'Baseline Price'!L18</f>
        <v>0</v>
      </c>
      <c r="M18" s="67">
        <f>M86/'Baseline Price'!M18</f>
        <v>0</v>
      </c>
      <c r="N18" s="67">
        <f>N86/'Baseline Price'!N18</f>
        <v>0</v>
      </c>
      <c r="O18" s="67">
        <f>O86/'Baseline Price'!O18</f>
        <v>0</v>
      </c>
      <c r="P18" s="67">
        <f>P86/'Baseline Price'!P18</f>
        <v>0</v>
      </c>
      <c r="Q18" s="67">
        <f>Q86/'Baseline Price'!Q18</f>
        <v>2.753510438398131E-2</v>
      </c>
      <c r="R18" s="67">
        <f>R86/'Baseline Price'!R18</f>
        <v>2.7552961405067845E-2</v>
      </c>
      <c r="S18" s="67">
        <f>S86/'Baseline Price'!S18</f>
        <v>2.8709030608440926E-2</v>
      </c>
      <c r="T18" s="67">
        <f>T86/'Baseline Price'!T18</f>
        <v>2.8145352399657503E-2</v>
      </c>
      <c r="U18" s="67">
        <f>U86/'Baseline Price'!U18</f>
        <v>2.9506516365087842E-2</v>
      </c>
      <c r="V18" s="67">
        <f>V86/'Baseline Price'!V18</f>
        <v>2.9737292638481461E-2</v>
      </c>
      <c r="W18" s="67">
        <f>W86/'Baseline Price'!W18</f>
        <v>2.7281492229703209E-2</v>
      </c>
      <c r="X18" s="67">
        <f>X86/'Baseline Price'!X18</f>
        <v>2.8092559175975085E-2</v>
      </c>
      <c r="Y18" s="67">
        <f>Y86/'Baseline Price'!Y18</f>
        <v>2.8756651226640388E-2</v>
      </c>
      <c r="Z18" s="67">
        <f>Z86/'Baseline Price'!Z18</f>
        <v>2.9520011730633986E-2</v>
      </c>
      <c r="AA18" s="67">
        <f>AA86/'Baseline Price'!AA18</f>
        <v>0</v>
      </c>
      <c r="AB18" s="67">
        <f>AB86/'Baseline Price'!AB18</f>
        <v>1.4870325571848136E-16</v>
      </c>
      <c r="AC18" s="67">
        <f>AC86/'Baseline Price'!AC18</f>
        <v>0</v>
      </c>
      <c r="AD18" s="67">
        <f>AD86/'Baseline Price'!AD18</f>
        <v>0</v>
      </c>
      <c r="AE18" s="67">
        <f>AE86/'Baseline Price'!AE18</f>
        <v>0</v>
      </c>
      <c r="AF18" s="67">
        <f>AF86/'Baseline Price'!AF18</f>
        <v>0</v>
      </c>
      <c r="AG18" s="67">
        <f>AG86/'Baseline Price'!AG18</f>
        <v>0</v>
      </c>
      <c r="AH18" s="67">
        <f>AH86/'Baseline Price'!AH18</f>
        <v>0</v>
      </c>
      <c r="AI18" s="67">
        <f>AI86/'Baseline Price'!AI18</f>
        <v>0</v>
      </c>
      <c r="AJ18" s="67">
        <f>AJ86/'Baseline Price'!AJ18</f>
        <v>0</v>
      </c>
      <c r="AK18" s="67">
        <f>AK86/'Baseline Price'!AK18</f>
        <v>0</v>
      </c>
    </row>
    <row r="19" spans="1:37">
      <c r="A19" s="57"/>
      <c r="B19" s="67"/>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76"/>
      <c r="AH19" s="76"/>
      <c r="AI19" s="76"/>
      <c r="AJ19" s="76"/>
      <c r="AK19" s="76"/>
    </row>
    <row r="20" spans="1:37">
      <c r="A20" s="57" t="s">
        <v>46</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76"/>
      <c r="AH20" s="76"/>
      <c r="AI20" s="76"/>
      <c r="AJ20" s="76"/>
      <c r="AK20" s="76"/>
    </row>
    <row r="21" spans="1:37">
      <c r="A21" s="57" t="s">
        <v>24</v>
      </c>
      <c r="B21" s="67"/>
      <c r="C21" s="67"/>
      <c r="D21" s="67"/>
      <c r="E21" s="67"/>
      <c r="F21" s="67"/>
      <c r="G21" s="67"/>
      <c r="H21" s="67"/>
      <c r="I21" s="67"/>
      <c r="J21" s="67"/>
      <c r="K21" s="67">
        <f>ramps!L22/'Baseline Price'!K21</f>
        <v>0</v>
      </c>
      <c r="L21" s="67">
        <f>ramps!M22/'Baseline Price'!L21</f>
        <v>0</v>
      </c>
      <c r="M21" s="67">
        <f>ramps!N22/'Baseline Price'!M21</f>
        <v>0</v>
      </c>
      <c r="N21" s="67">
        <f>ramps!O22/'Baseline Price'!N21</f>
        <v>0</v>
      </c>
      <c r="O21" s="67">
        <f>ramps!P22/'Baseline Price'!O21</f>
        <v>0</v>
      </c>
      <c r="P21" s="67">
        <f>ramps!Q22/'Baseline Price'!P21</f>
        <v>0</v>
      </c>
      <c r="Q21" s="67">
        <f>ramps!R22/'Baseline Price'!Q21</f>
        <v>7.0032621952235447E-2</v>
      </c>
      <c r="R21" s="67">
        <f>ramps!S22/'Baseline Price'!R21</f>
        <v>7.7116284326343876E-2</v>
      </c>
      <c r="S21" s="67">
        <f>ramps!T22/'Baseline Price'!S21</f>
        <v>8.3665135420698825E-2</v>
      </c>
      <c r="T21" s="67">
        <f>ramps!U22/'Baseline Price'!T21</f>
        <v>8.9826280344060483E-2</v>
      </c>
      <c r="U21" s="67">
        <f>ramps!V22/'Baseline Price'!U21</f>
        <v>9.600150738561132E-2</v>
      </c>
      <c r="V21" s="67">
        <f>ramps!W22/'Baseline Price'!V21</f>
        <v>0.10209652351199973</v>
      </c>
      <c r="W21" s="67">
        <f>ramps!X22/'Baseline Price'!W21</f>
        <v>0.1077008331534352</v>
      </c>
      <c r="X21" s="67">
        <f>ramps!Y22/'Baseline Price'!X21</f>
        <v>0.11289732150393032</v>
      </c>
      <c r="Y21" s="67">
        <f>ramps!Z22/'Baseline Price'!Y21</f>
        <v>0.11708713341301112</v>
      </c>
      <c r="Z21" s="67">
        <f>ramps!AA22/'Baseline Price'!Z21</f>
        <v>0.12047406316726988</v>
      </c>
      <c r="AA21" s="67">
        <f>ramps!AB22/'Baseline Price'!AA21</f>
        <v>0</v>
      </c>
      <c r="AB21" s="67">
        <f>ramps!AC22/'Baseline Price'!AB21</f>
        <v>0</v>
      </c>
      <c r="AC21" s="67">
        <f>ramps!AD22/'Baseline Price'!AC21</f>
        <v>0</v>
      </c>
      <c r="AD21" s="67">
        <f>ramps!AE22/'Baseline Price'!AD21</f>
        <v>0</v>
      </c>
      <c r="AE21" s="67">
        <f>ramps!AF22/'Baseline Price'!AE21</f>
        <v>0</v>
      </c>
      <c r="AF21" s="67">
        <f>ramps!AG22/'Baseline Price'!AF21</f>
        <v>0</v>
      </c>
      <c r="AG21" s="67">
        <f>ramps!AH22/'Baseline Price'!AG21</f>
        <v>0</v>
      </c>
      <c r="AH21" s="67">
        <f>ramps!AI22/'Baseline Price'!AH21</f>
        <v>0</v>
      </c>
      <c r="AI21" s="67">
        <f>ramps!AJ22/'Baseline Price'!AI21</f>
        <v>0</v>
      </c>
      <c r="AJ21" s="67">
        <f>ramps!AK22/'Baseline Price'!AJ21</f>
        <v>0</v>
      </c>
      <c r="AK21" s="67">
        <f>ramps!AL22/'Baseline Price'!AK21</f>
        <v>0</v>
      </c>
    </row>
    <row r="22" spans="1:37">
      <c r="A22" s="57" t="s">
        <v>25</v>
      </c>
      <c r="B22" s="67"/>
      <c r="C22" s="67"/>
      <c r="D22" s="67"/>
      <c r="E22" s="67"/>
      <c r="F22" s="67"/>
      <c r="G22" s="67"/>
      <c r="H22" s="67"/>
      <c r="I22" s="67"/>
      <c r="J22" s="67"/>
      <c r="K22" s="67">
        <f>ramps!L20/'Baseline Price'!K22</f>
        <v>0</v>
      </c>
      <c r="L22" s="67">
        <f>ramps!M20/'Baseline Price'!L22</f>
        <v>0</v>
      </c>
      <c r="M22" s="67">
        <f>ramps!N20/'Baseline Price'!M22</f>
        <v>0</v>
      </c>
      <c r="N22" s="67">
        <f>ramps!O20/'Baseline Price'!N22</f>
        <v>0</v>
      </c>
      <c r="O22" s="67">
        <f>ramps!P20/'Baseline Price'!O22</f>
        <v>0</v>
      </c>
      <c r="P22" s="67">
        <f>ramps!Q20/'Baseline Price'!P22</f>
        <v>0</v>
      </c>
      <c r="Q22" s="67">
        <f>ramps!R20/'Baseline Price'!Q22</f>
        <v>4.9793934989993016E-2</v>
      </c>
      <c r="R22" s="67">
        <f>ramps!S20/'Baseline Price'!R22</f>
        <v>5.2744770747531332E-2</v>
      </c>
      <c r="S22" s="67">
        <f>ramps!T20/'Baseline Price'!S22</f>
        <v>5.7122907710140329E-2</v>
      </c>
      <c r="T22" s="67">
        <f>ramps!U20/'Baseline Price'!T22</f>
        <v>6.112664921873337E-2</v>
      </c>
      <c r="U22" s="67">
        <f>ramps!V20/'Baseline Price'!U22</f>
        <v>6.5037784993610001E-2</v>
      </c>
      <c r="V22" s="67">
        <f>ramps!W20/'Baseline Price'!V22</f>
        <v>6.8734826974889016E-2</v>
      </c>
      <c r="W22" s="67">
        <f>ramps!X20/'Baseline Price'!W22</f>
        <v>7.2335017483202507E-2</v>
      </c>
      <c r="X22" s="67">
        <f>ramps!Y20/'Baseline Price'!X22</f>
        <v>7.5173247339571661E-2</v>
      </c>
      <c r="Y22" s="67">
        <f>ramps!Z20/'Baseline Price'!Y22</f>
        <v>7.7497919052306477E-2</v>
      </c>
      <c r="Z22" s="67">
        <f>ramps!AA20/'Baseline Price'!Z22</f>
        <v>8.0077951776442405E-2</v>
      </c>
      <c r="AA22" s="67">
        <f>ramps!AB20/'Baseline Price'!AA22</f>
        <v>0</v>
      </c>
      <c r="AB22" s="67">
        <f>ramps!AC20/'Baseline Price'!AB22</f>
        <v>0</v>
      </c>
      <c r="AC22" s="67">
        <f>ramps!AD20/'Baseline Price'!AC22</f>
        <v>0</v>
      </c>
      <c r="AD22" s="67">
        <f>ramps!AE20/'Baseline Price'!AD22</f>
        <v>0</v>
      </c>
      <c r="AE22" s="67">
        <f>ramps!AF20/'Baseline Price'!AE22</f>
        <v>0</v>
      </c>
      <c r="AF22" s="67">
        <f>ramps!AG20/'Baseline Price'!AF22</f>
        <v>0</v>
      </c>
      <c r="AG22" s="67">
        <f>ramps!AH20/'Baseline Price'!AG22</f>
        <v>0</v>
      </c>
      <c r="AH22" s="67">
        <f>ramps!AI20/'Baseline Price'!AH22</f>
        <v>0</v>
      </c>
      <c r="AI22" s="67">
        <f>ramps!AJ20/'Baseline Price'!AI22</f>
        <v>0</v>
      </c>
      <c r="AJ22" s="67">
        <f>ramps!AK20/'Baseline Price'!AJ22</f>
        <v>0</v>
      </c>
      <c r="AK22" s="67">
        <f>ramps!AL20/'Baseline Price'!AK22</f>
        <v>0</v>
      </c>
    </row>
    <row r="23" spans="1:37">
      <c r="A23" s="57" t="s">
        <v>31</v>
      </c>
      <c r="B23" s="67"/>
      <c r="C23" s="67"/>
      <c r="D23" s="67"/>
      <c r="E23" s="67"/>
      <c r="F23" s="67"/>
      <c r="G23" s="67"/>
      <c r="H23" s="67"/>
      <c r="I23" s="67"/>
      <c r="J23" s="67"/>
      <c r="K23" s="67">
        <f>ramps!L24/'Baseline Price'!K23</f>
        <v>0</v>
      </c>
      <c r="L23" s="67">
        <f>ramps!M24/'Baseline Price'!L23</f>
        <v>0</v>
      </c>
      <c r="M23" s="67">
        <f>ramps!N24/'Baseline Price'!M23</f>
        <v>0</v>
      </c>
      <c r="N23" s="67">
        <f>ramps!O24/'Baseline Price'!N23</f>
        <v>0</v>
      </c>
      <c r="O23" s="67">
        <f>ramps!P24/'Baseline Price'!O23</f>
        <v>0</v>
      </c>
      <c r="P23" s="67">
        <f>ramps!Q24/'Baseline Price'!P23</f>
        <v>0</v>
      </c>
      <c r="Q23" s="67">
        <f>ramps!R24/'Baseline Price'!Q23</f>
        <v>0</v>
      </c>
      <c r="R23" s="67">
        <f>ramps!S24/'Baseline Price'!R23</f>
        <v>0</v>
      </c>
      <c r="S23" s="67">
        <f>ramps!T24/'Baseline Price'!S23</f>
        <v>0</v>
      </c>
      <c r="T23" s="67">
        <f>ramps!U24/'Baseline Price'!T23</f>
        <v>0</v>
      </c>
      <c r="U23" s="67">
        <f>ramps!V24/'Baseline Price'!U23</f>
        <v>0</v>
      </c>
      <c r="V23" s="67">
        <f>ramps!W24/'Baseline Price'!V23</f>
        <v>0</v>
      </c>
      <c r="W23" s="67">
        <f>ramps!X24/'Baseline Price'!W23</f>
        <v>0</v>
      </c>
      <c r="X23" s="67">
        <f>ramps!Y24/'Baseline Price'!X23</f>
        <v>0</v>
      </c>
      <c r="Y23" s="67">
        <f>ramps!Z24/'Baseline Price'!Y23</f>
        <v>0</v>
      </c>
      <c r="Z23" s="67">
        <f>ramps!AA24/'Baseline Price'!Z23</f>
        <v>0</v>
      </c>
      <c r="AA23" s="67">
        <f>ramps!AB24/'Baseline Price'!AA23</f>
        <v>0</v>
      </c>
      <c r="AB23" s="67">
        <f>ramps!AC24/'Baseline Price'!AB23</f>
        <v>0</v>
      </c>
      <c r="AC23" s="67">
        <f>ramps!AD24/'Baseline Price'!AC23</f>
        <v>0</v>
      </c>
      <c r="AD23" s="67">
        <f>ramps!AE24/'Baseline Price'!AD23</f>
        <v>0</v>
      </c>
      <c r="AE23" s="67">
        <f>ramps!AF24/'Baseline Price'!AE23</f>
        <v>0</v>
      </c>
      <c r="AF23" s="67">
        <f>ramps!AG24/'Baseline Price'!AF23</f>
        <v>0</v>
      </c>
      <c r="AG23" s="67">
        <f>ramps!AH24/'Baseline Price'!AG23</f>
        <v>0</v>
      </c>
      <c r="AH23" s="67">
        <f>ramps!AI24/'Baseline Price'!AH23</f>
        <v>0</v>
      </c>
      <c r="AI23" s="67">
        <f>ramps!AJ24/'Baseline Price'!AI23</f>
        <v>0</v>
      </c>
      <c r="AJ23" s="67">
        <f>ramps!AK24/'Baseline Price'!AJ23</f>
        <v>0</v>
      </c>
      <c r="AK23" s="67">
        <f>ramps!AL24/'Baseline Price'!AK23</f>
        <v>0</v>
      </c>
    </row>
    <row r="24" spans="1:37">
      <c r="A24" s="57" t="s">
        <v>47</v>
      </c>
      <c r="B24" s="67"/>
      <c r="C24" s="67"/>
      <c r="D24" s="67"/>
      <c r="E24" s="67"/>
      <c r="F24" s="67"/>
      <c r="G24" s="67"/>
      <c r="H24" s="67"/>
      <c r="I24" s="67"/>
      <c r="J24" s="67"/>
      <c r="K24" s="67">
        <f>ramps!L17/'Baseline Price'!K24</f>
        <v>0</v>
      </c>
      <c r="L24" s="67">
        <f>ramps!M17/'Baseline Price'!L24</f>
        <v>0</v>
      </c>
      <c r="M24" s="67">
        <f>ramps!N17/'Baseline Price'!M24</f>
        <v>0</v>
      </c>
      <c r="N24" s="67">
        <f>ramps!O17/'Baseline Price'!N24</f>
        <v>0</v>
      </c>
      <c r="O24" s="67">
        <f>ramps!P17/'Baseline Price'!O24</f>
        <v>0</v>
      </c>
      <c r="P24" s="67">
        <f>ramps!Q17/'Baseline Price'!P24</f>
        <v>0</v>
      </c>
      <c r="Q24" s="67">
        <f>ramps!R17/'Baseline Price'!Q24</f>
        <v>0.1402671290232155</v>
      </c>
      <c r="R24" s="67">
        <f>ramps!S17/'Baseline Price'!R24</f>
        <v>0.15855955317718295</v>
      </c>
      <c r="S24" s="67">
        <f>ramps!T17/'Baseline Price'!S24</f>
        <v>0.17466669406688684</v>
      </c>
      <c r="T24" s="67">
        <f>ramps!U17/'Baseline Price'!T24</f>
        <v>0.18644747152376925</v>
      </c>
      <c r="U24" s="67">
        <f>ramps!V17/'Baseline Price'!U24</f>
        <v>0.19794685095521089</v>
      </c>
      <c r="V24" s="67">
        <f>ramps!W17/'Baseline Price'!V24</f>
        <v>0.20600428861117012</v>
      </c>
      <c r="W24" s="67">
        <f>ramps!X17/'Baseline Price'!W24</f>
        <v>0.21605994398993683</v>
      </c>
      <c r="X24" s="67">
        <f>ramps!Y17/'Baseline Price'!X24</f>
        <v>0.22508865224626382</v>
      </c>
      <c r="Y24" s="67">
        <f>ramps!Z17/'Baseline Price'!Y24</f>
        <v>0.23445312801163187</v>
      </c>
      <c r="Z24" s="67">
        <f>ramps!AA17/'Baseline Price'!Z24</f>
        <v>0.24352908389530648</v>
      </c>
      <c r="AA24" s="67">
        <f>ramps!AB17/'Baseline Price'!AA24</f>
        <v>0</v>
      </c>
      <c r="AB24" s="67">
        <f>ramps!AC17/'Baseline Price'!AB24</f>
        <v>0</v>
      </c>
      <c r="AC24" s="67">
        <f>ramps!AD17/'Baseline Price'!AC24</f>
        <v>0</v>
      </c>
      <c r="AD24" s="67">
        <f>ramps!AE17/'Baseline Price'!AD24</f>
        <v>0</v>
      </c>
      <c r="AE24" s="67">
        <f>ramps!AF17/'Baseline Price'!AE24</f>
        <v>0</v>
      </c>
      <c r="AF24" s="67">
        <f>ramps!AG17/'Baseline Price'!AF24</f>
        <v>0</v>
      </c>
      <c r="AG24" s="67">
        <f>ramps!AH17/'Baseline Price'!AG24</f>
        <v>0</v>
      </c>
      <c r="AH24" s="67">
        <f>ramps!AI17/'Baseline Price'!AH24</f>
        <v>0</v>
      </c>
      <c r="AI24" s="67">
        <f>ramps!AJ17/'Baseline Price'!AI24</f>
        <v>0</v>
      </c>
      <c r="AJ24" s="67">
        <f>ramps!AK17/'Baseline Price'!AJ24</f>
        <v>0</v>
      </c>
      <c r="AK24" s="67">
        <f>ramps!AL17/'Baseline Price'!AK24</f>
        <v>0</v>
      </c>
    </row>
    <row r="25" spans="1:37">
      <c r="A25" s="57" t="s">
        <v>36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row>
    <row r="26" spans="1:37">
      <c r="A26" s="57" t="s">
        <v>37</v>
      </c>
      <c r="B26" s="67"/>
      <c r="C26" s="67"/>
      <c r="D26" s="67"/>
      <c r="E26" s="67"/>
      <c r="F26" s="67"/>
      <c r="G26" s="67"/>
      <c r="H26" s="67"/>
      <c r="I26" s="67"/>
      <c r="J26" s="67"/>
      <c r="K26" s="67">
        <f>ramps!L18/'Baseline Price'!K26</f>
        <v>0</v>
      </c>
      <c r="L26" s="67">
        <f>ramps!M18/'Baseline Price'!L26</f>
        <v>0</v>
      </c>
      <c r="M26" s="67">
        <f>ramps!N18/'Baseline Price'!M26</f>
        <v>0</v>
      </c>
      <c r="N26" s="67">
        <f>ramps!O18/'Baseline Price'!N26</f>
        <v>0</v>
      </c>
      <c r="O26" s="67">
        <f>ramps!P18/'Baseline Price'!O26</f>
        <v>0</v>
      </c>
      <c r="P26" s="67">
        <f>ramps!Q18/'Baseline Price'!P26</f>
        <v>0</v>
      </c>
      <c r="Q26" s="67">
        <f>ramps!R18/'Baseline Price'!Q26</f>
        <v>0.32914123259934691</v>
      </c>
      <c r="R26" s="67">
        <f>ramps!S18/'Baseline Price'!R26</f>
        <v>0.3707537276799226</v>
      </c>
      <c r="S26" s="67">
        <f>ramps!T18/'Baseline Price'!S26</f>
        <v>0.41435571045127945</v>
      </c>
      <c r="T26" s="67">
        <f>ramps!U18/'Baseline Price'!T26</f>
        <v>0.4543253830108111</v>
      </c>
      <c r="U26" s="67">
        <f>ramps!V18/'Baseline Price'!U26</f>
        <v>0.48941383007719425</v>
      </c>
      <c r="V26" s="67">
        <f>ramps!W18/'Baseline Price'!V26</f>
        <v>0.52183295828955389</v>
      </c>
      <c r="W26" s="67">
        <f>ramps!X18/'Baseline Price'!W26</f>
        <v>0.55465650578715275</v>
      </c>
      <c r="X26" s="67">
        <f>ramps!Y18/'Baseline Price'!X26</f>
        <v>0.58475620746110624</v>
      </c>
      <c r="Y26" s="67">
        <f>ramps!Z18/'Baseline Price'!Y26</f>
        <v>0.60945835043419339</v>
      </c>
      <c r="Z26" s="67">
        <f>ramps!AA18/'Baseline Price'!Z26</f>
        <v>0.64064061562553798</v>
      </c>
      <c r="AA26" s="67">
        <f>ramps!AB18/'Baseline Price'!AA26</f>
        <v>0</v>
      </c>
      <c r="AB26" s="67">
        <f>ramps!AC18/'Baseline Price'!AB26</f>
        <v>0</v>
      </c>
      <c r="AC26" s="67">
        <f>ramps!AD18/'Baseline Price'!AC26</f>
        <v>0</v>
      </c>
      <c r="AD26" s="67">
        <f>ramps!AE18/'Baseline Price'!AD26</f>
        <v>0</v>
      </c>
      <c r="AE26" s="67">
        <f>ramps!AF18/'Baseline Price'!AE26</f>
        <v>0</v>
      </c>
      <c r="AF26" s="67">
        <f>ramps!AG18/'Baseline Price'!AF26</f>
        <v>0</v>
      </c>
      <c r="AG26" s="67">
        <f>ramps!AH18/'Baseline Price'!AG26</f>
        <v>0</v>
      </c>
      <c r="AH26" s="67">
        <f>ramps!AI18/'Baseline Price'!AH26</f>
        <v>0</v>
      </c>
      <c r="AI26" s="67">
        <f>ramps!AJ18/'Baseline Price'!AI26</f>
        <v>0</v>
      </c>
      <c r="AJ26" s="67">
        <f>ramps!AK18/'Baseline Price'!AJ26</f>
        <v>0</v>
      </c>
      <c r="AK26" s="67">
        <f>ramps!AL18/'Baseline Price'!AK26</f>
        <v>0</v>
      </c>
    </row>
    <row r="27" spans="1:37">
      <c r="A27" s="57" t="s">
        <v>48</v>
      </c>
      <c r="B27" s="67"/>
      <c r="C27" s="67"/>
      <c r="D27" s="67"/>
      <c r="E27" s="67"/>
      <c r="F27" s="67"/>
      <c r="G27" s="67"/>
      <c r="H27" s="92"/>
      <c r="I27" s="92"/>
      <c r="J27" s="92"/>
      <c r="K27" s="92"/>
      <c r="L27" s="92"/>
      <c r="M27" s="92"/>
      <c r="N27" s="92"/>
      <c r="O27" s="92"/>
      <c r="P27" s="92"/>
      <c r="Q27" s="92"/>
      <c r="R27" s="92"/>
      <c r="S27" s="92"/>
      <c r="T27" s="92"/>
      <c r="U27" s="92"/>
      <c r="V27" s="92"/>
      <c r="W27" s="92"/>
      <c r="X27" s="92"/>
      <c r="Y27" s="92"/>
      <c r="Z27" s="92"/>
      <c r="AA27" s="92"/>
      <c r="AB27" s="92"/>
      <c r="AC27" s="92"/>
      <c r="AD27" s="67"/>
      <c r="AE27" s="67"/>
      <c r="AF27" s="67"/>
      <c r="AG27" s="67"/>
      <c r="AH27" s="67"/>
      <c r="AI27" s="67"/>
      <c r="AJ27" s="67"/>
      <c r="AK27" s="67"/>
    </row>
    <row r="28" spans="1:37">
      <c r="A28" s="57" t="s">
        <v>27</v>
      </c>
      <c r="B28" s="67"/>
      <c r="C28" s="67"/>
      <c r="D28" s="67"/>
      <c r="E28" s="67"/>
      <c r="F28" s="67"/>
      <c r="G28" s="67"/>
      <c r="H28" s="67"/>
      <c r="I28" s="67"/>
      <c r="J28" s="67"/>
      <c r="K28" s="67">
        <f>K$85</f>
        <v>0</v>
      </c>
      <c r="L28" s="67">
        <f>L86/'Baseline Price'!L28</f>
        <v>0</v>
      </c>
      <c r="M28" s="67">
        <f>M86/'Baseline Price'!M28</f>
        <v>0</v>
      </c>
      <c r="N28" s="67">
        <f>N86/'Baseline Price'!N28</f>
        <v>0</v>
      </c>
      <c r="O28" s="67">
        <f>O86/'Baseline Price'!O28</f>
        <v>0</v>
      </c>
      <c r="P28" s="67">
        <f>P86/'Baseline Price'!P28</f>
        <v>0</v>
      </c>
      <c r="Q28" s="67">
        <f>Q86/'Baseline Price'!Q28</f>
        <v>4.9179594423602313E-2</v>
      </c>
      <c r="R28" s="67">
        <f>R86/'Baseline Price'!R28</f>
        <v>4.9690778306447136E-2</v>
      </c>
      <c r="S28" s="67">
        <f>S86/'Baseline Price'!S28</f>
        <v>5.0620120645477801E-2</v>
      </c>
      <c r="T28" s="67">
        <f>T86/'Baseline Price'!T28</f>
        <v>5.0063267845298159E-2</v>
      </c>
      <c r="U28" s="67">
        <f>U86/'Baseline Price'!U28</f>
        <v>5.2526623012195489E-2</v>
      </c>
      <c r="V28" s="67">
        <f>V86/'Baseline Price'!V28</f>
        <v>5.218772744897162E-2</v>
      </c>
      <c r="W28" s="67">
        <f>W86/'Baseline Price'!W28</f>
        <v>4.8257504702089414E-2</v>
      </c>
      <c r="X28" s="67">
        <f>X86/'Baseline Price'!X28</f>
        <v>4.9761097109419047E-2</v>
      </c>
      <c r="Y28" s="67">
        <f>Y86/'Baseline Price'!Y28</f>
        <v>5.0984737758112658E-2</v>
      </c>
      <c r="Z28" s="67">
        <f>Z86/'Baseline Price'!Z28</f>
        <v>5.2339859997893687E-2</v>
      </c>
      <c r="AA28" s="67">
        <f>AA86/'Baseline Price'!AA28</f>
        <v>0</v>
      </c>
      <c r="AB28" s="67">
        <f>AB86/'Baseline Price'!AB28</f>
        <v>2.6339118155532276E-16</v>
      </c>
      <c r="AC28" s="67">
        <f>AC86/'Baseline Price'!AC28</f>
        <v>0</v>
      </c>
      <c r="AD28" s="67">
        <f>AD86/'Baseline Price'!AD28</f>
        <v>0</v>
      </c>
      <c r="AE28" s="67">
        <f>AE86/'Baseline Price'!AE28</f>
        <v>0</v>
      </c>
      <c r="AF28" s="67">
        <f>AF86/'Baseline Price'!AF28</f>
        <v>0</v>
      </c>
      <c r="AG28" s="67">
        <f>AG86/'Baseline Price'!AG28</f>
        <v>0</v>
      </c>
      <c r="AH28" s="67">
        <f>AH86/'Baseline Price'!AH28</f>
        <v>0</v>
      </c>
      <c r="AI28" s="67">
        <f>AI86/'Baseline Price'!AI28</f>
        <v>0</v>
      </c>
      <c r="AJ28" s="67">
        <f>AJ86/'Baseline Price'!AJ28</f>
        <v>0</v>
      </c>
      <c r="AK28" s="67">
        <f>AK86/'Baseline Price'!AK28</f>
        <v>0</v>
      </c>
    </row>
    <row r="29" spans="1:37">
      <c r="A29" s="57"/>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76"/>
      <c r="AH29" s="76"/>
      <c r="AI29" s="76"/>
      <c r="AJ29" s="76"/>
      <c r="AK29" s="76"/>
    </row>
    <row r="30" spans="1:37">
      <c r="A30" s="57" t="s">
        <v>38</v>
      </c>
      <c r="B30" s="67"/>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76"/>
      <c r="AH30" s="76"/>
      <c r="AI30" s="76"/>
      <c r="AJ30" s="76"/>
      <c r="AK30" s="76"/>
    </row>
    <row r="31" spans="1:37">
      <c r="A31" s="57" t="s">
        <v>49</v>
      </c>
      <c r="B31" s="67"/>
      <c r="C31" s="67"/>
      <c r="D31" s="67"/>
      <c r="E31" s="67"/>
      <c r="F31" s="67"/>
      <c r="G31" s="67"/>
      <c r="H31" s="67"/>
      <c r="I31" s="67"/>
      <c r="J31" s="67"/>
      <c r="K31" s="67">
        <f>ramps!L22/'Baseline Price'!K31</f>
        <v>0</v>
      </c>
      <c r="L31" s="67">
        <f>ramps!M22/'Baseline Price'!L31</f>
        <v>0</v>
      </c>
      <c r="M31" s="67">
        <f>ramps!N22/'Baseline Price'!M31</f>
        <v>0</v>
      </c>
      <c r="N31" s="67">
        <f>ramps!O22/'Baseline Price'!N31</f>
        <v>0</v>
      </c>
      <c r="O31" s="67">
        <f>ramps!P22/'Baseline Price'!O31</f>
        <v>0</v>
      </c>
      <c r="P31" s="67">
        <f>ramps!Q22/'Baseline Price'!P31</f>
        <v>0</v>
      </c>
      <c r="Q31" s="67">
        <f>ramps!R22/'Baseline Price'!Q31</f>
        <v>4.6011413852670741E-2</v>
      </c>
      <c r="R31" s="67">
        <f>ramps!S22/'Baseline Price'!R31</f>
        <v>5.1119724370671908E-2</v>
      </c>
      <c r="S31" s="67">
        <f>ramps!T22/'Baseline Price'!S31</f>
        <v>5.589318074310743E-2</v>
      </c>
      <c r="T31" s="67">
        <f>ramps!U22/'Baseline Price'!T31</f>
        <v>6.0382146625204636E-2</v>
      </c>
      <c r="U31" s="67">
        <f>ramps!V22/'Baseline Price'!U31</f>
        <v>5.8427380563941485E-2</v>
      </c>
      <c r="V31" s="67">
        <f>ramps!W22/'Baseline Price'!V31</f>
        <v>6.2260788241105633E-2</v>
      </c>
      <c r="W31" s="67">
        <f>ramps!X22/'Baseline Price'!W31</f>
        <v>6.579303761411226E-2</v>
      </c>
      <c r="X31" s="67">
        <f>ramps!Y22/'Baseline Price'!X31</f>
        <v>6.9052993087063919E-2</v>
      </c>
      <c r="Y31" s="67">
        <f>ramps!Z22/'Baseline Price'!Y31</f>
        <v>7.1806312068845857E-2</v>
      </c>
      <c r="Z31" s="67">
        <f>ramps!AA22/'Baseline Price'!Z31</f>
        <v>7.3405767846048464E-2</v>
      </c>
      <c r="AA31" s="67">
        <f>ramps!AB22/'Baseline Price'!AA31</f>
        <v>0</v>
      </c>
      <c r="AB31" s="67">
        <f>ramps!AC22/'Baseline Price'!AB31</f>
        <v>0</v>
      </c>
      <c r="AC31" s="67">
        <f>ramps!AD22/'Baseline Price'!AC31</f>
        <v>0</v>
      </c>
      <c r="AD31" s="67">
        <f>ramps!AE22/'Baseline Price'!AD31</f>
        <v>0</v>
      </c>
      <c r="AE31" s="67">
        <f>ramps!AF22/'Baseline Price'!AE31</f>
        <v>0</v>
      </c>
      <c r="AF31" s="67">
        <f>ramps!AG22/'Baseline Price'!AF31</f>
        <v>0</v>
      </c>
      <c r="AG31" s="67">
        <f>ramps!AH22/'Baseline Price'!AG31</f>
        <v>0</v>
      </c>
      <c r="AH31" s="67">
        <f>ramps!AI22/'Baseline Price'!AH31</f>
        <v>0</v>
      </c>
      <c r="AI31" s="67">
        <f>ramps!AJ22/'Baseline Price'!AI31</f>
        <v>0</v>
      </c>
      <c r="AJ31" s="67">
        <f>ramps!AK22/'Baseline Price'!AJ31</f>
        <v>0</v>
      </c>
      <c r="AK31" s="67">
        <f>ramps!AL22/'Baseline Price'!AK31</f>
        <v>0</v>
      </c>
    </row>
    <row r="32" spans="1:37">
      <c r="A32" s="57" t="s">
        <v>50</v>
      </c>
      <c r="B32" s="67"/>
      <c r="C32" s="67"/>
      <c r="D32" s="67"/>
      <c r="E32" s="67"/>
      <c r="F32" s="67"/>
      <c r="G32" s="67"/>
      <c r="H32" s="67"/>
      <c r="I32" s="67"/>
      <c r="J32" s="67"/>
      <c r="K32" s="67">
        <f>ramps!L23/'Baseline Price'!K32</f>
        <v>0</v>
      </c>
      <c r="L32" s="67">
        <f>ramps!M23/'Baseline Price'!L32</f>
        <v>0</v>
      </c>
      <c r="M32" s="67">
        <f>ramps!N23/'Baseline Price'!M32</f>
        <v>0</v>
      </c>
      <c r="N32" s="67">
        <f>ramps!O23/'Baseline Price'!N32</f>
        <v>0</v>
      </c>
      <c r="O32" s="67">
        <f>ramps!P23/'Baseline Price'!O32</f>
        <v>0</v>
      </c>
      <c r="P32" s="67">
        <f>ramps!Q23/'Baseline Price'!P32</f>
        <v>0</v>
      </c>
      <c r="Q32" s="67">
        <f>ramps!R23/'Baseline Price'!Q32</f>
        <v>6.1211780307021931E-3</v>
      </c>
      <c r="R32" s="67">
        <f>ramps!S23/'Baseline Price'!R32</f>
        <v>6.7397418794816677E-3</v>
      </c>
      <c r="S32" s="67">
        <f>ramps!T23/'Baseline Price'!S32</f>
        <v>7.692999614630297E-3</v>
      </c>
      <c r="T32" s="67">
        <f>ramps!U23/'Baseline Price'!T32</f>
        <v>9.0433382901435339E-3</v>
      </c>
      <c r="U32" s="67">
        <f>ramps!V23/'Baseline Price'!U32</f>
        <v>9.8298707545702163E-3</v>
      </c>
      <c r="V32" s="67">
        <f>ramps!W23/'Baseline Price'!V32</f>
        <v>1.1292373884894038E-2</v>
      </c>
      <c r="W32" s="67">
        <f>ramps!X23/'Baseline Price'!W32</f>
        <v>1.2207346224583127E-2</v>
      </c>
      <c r="X32" s="67">
        <f>ramps!Y23/'Baseline Price'!X32</f>
        <v>1.3218618193705347E-2</v>
      </c>
      <c r="Y32" s="67">
        <f>ramps!Z23/'Baseline Price'!Y32</f>
        <v>1.3911290355984127E-2</v>
      </c>
      <c r="Z32" s="67">
        <f>ramps!AA23/'Baseline Price'!Z32</f>
        <v>1.4475640844538774E-2</v>
      </c>
      <c r="AA32" s="67">
        <f>ramps!AB23/'Baseline Price'!AA32</f>
        <v>0</v>
      </c>
      <c r="AB32" s="67">
        <f>ramps!AC23/'Baseline Price'!AB32</f>
        <v>0</v>
      </c>
      <c r="AC32" s="67">
        <f>ramps!AD23/'Baseline Price'!AC32</f>
        <v>0</v>
      </c>
      <c r="AD32" s="67">
        <f>ramps!AE23/'Baseline Price'!AD32</f>
        <v>0</v>
      </c>
      <c r="AE32" s="67">
        <f>ramps!AF23/'Baseline Price'!AE32</f>
        <v>0</v>
      </c>
      <c r="AF32" s="67">
        <f>ramps!AG23/'Baseline Price'!AF32</f>
        <v>0</v>
      </c>
      <c r="AG32" s="67">
        <f>ramps!AH23/'Baseline Price'!AG32</f>
        <v>0</v>
      </c>
      <c r="AH32" s="67">
        <f>ramps!AI23/'Baseline Price'!AH32</f>
        <v>0</v>
      </c>
      <c r="AI32" s="67">
        <f>ramps!AJ23/'Baseline Price'!AI32</f>
        <v>0</v>
      </c>
      <c r="AJ32" s="67">
        <f>ramps!AK23/'Baseline Price'!AJ32</f>
        <v>0</v>
      </c>
      <c r="AK32" s="67">
        <f>ramps!AL23/'Baseline Price'!AK32</f>
        <v>0</v>
      </c>
    </row>
    <row r="33" spans="1:37">
      <c r="A33" s="57" t="s">
        <v>51</v>
      </c>
      <c r="B33" s="67"/>
      <c r="C33" s="67"/>
      <c r="D33" s="67"/>
      <c r="E33" s="67"/>
      <c r="F33" s="67"/>
      <c r="G33" s="67"/>
      <c r="H33" s="67"/>
      <c r="I33" s="67"/>
      <c r="J33" s="67"/>
      <c r="K33" s="67">
        <f>ramps!L16/'Baseline Price'!K33</f>
        <v>0</v>
      </c>
      <c r="L33" s="67">
        <f>ramps!M16/'Baseline Price'!L33</f>
        <v>0</v>
      </c>
      <c r="M33" s="67">
        <f>ramps!N16/'Baseline Price'!M33</f>
        <v>0</v>
      </c>
      <c r="N33" s="67">
        <f>ramps!O16/'Baseline Price'!N33</f>
        <v>0</v>
      </c>
      <c r="O33" s="67">
        <f>ramps!P16/'Baseline Price'!O33</f>
        <v>0</v>
      </c>
      <c r="P33" s="67">
        <f>ramps!Q16/'Baseline Price'!P33</f>
        <v>0</v>
      </c>
      <c r="Q33" s="67">
        <f>ramps!R16/'Baseline Price'!Q33</f>
        <v>3.9370962743748524E-2</v>
      </c>
      <c r="R33" s="67">
        <f>ramps!S16/'Baseline Price'!R33</f>
        <v>4.2118129515198548E-2</v>
      </c>
      <c r="S33" s="67">
        <f>ramps!T16/'Baseline Price'!S33</f>
        <v>4.5690572678263729E-2</v>
      </c>
      <c r="T33" s="67">
        <f>ramps!U16/'Baseline Price'!T33</f>
        <v>4.9095803552386137E-2</v>
      </c>
      <c r="U33" s="67">
        <f>ramps!V16/'Baseline Price'!U33</f>
        <v>4.787165399416534E-2</v>
      </c>
      <c r="V33" s="67">
        <f>ramps!W16/'Baseline Price'!V33</f>
        <v>5.106228581182156E-2</v>
      </c>
      <c r="W33" s="67">
        <f>ramps!X16/'Baseline Price'!W33</f>
        <v>5.3934705993720918E-2</v>
      </c>
      <c r="X33" s="67">
        <f>ramps!Y16/'Baseline Price'!X33</f>
        <v>5.6419104779208619E-2</v>
      </c>
      <c r="Y33" s="67">
        <f>ramps!Z16/'Baseline Price'!Y33</f>
        <v>5.8373497767912612E-2</v>
      </c>
      <c r="Z33" s="67">
        <f>ramps!AA16/'Baseline Price'!Z33</f>
        <v>5.992423092172354E-2</v>
      </c>
      <c r="AA33" s="67">
        <f>ramps!AB16/'Baseline Price'!AA33</f>
        <v>0</v>
      </c>
      <c r="AB33" s="67">
        <f>ramps!AC16/'Baseline Price'!AB33</f>
        <v>0</v>
      </c>
      <c r="AC33" s="67">
        <f>ramps!AD16/'Baseline Price'!AC33</f>
        <v>0</v>
      </c>
      <c r="AD33" s="67">
        <f>ramps!AE16/'Baseline Price'!AD33</f>
        <v>0</v>
      </c>
      <c r="AE33" s="67">
        <f>ramps!AF16/'Baseline Price'!AE33</f>
        <v>0</v>
      </c>
      <c r="AF33" s="67">
        <f>ramps!AG16/'Baseline Price'!AF33</f>
        <v>0</v>
      </c>
      <c r="AG33" s="67">
        <f>ramps!AH16/'Baseline Price'!AG33</f>
        <v>0</v>
      </c>
      <c r="AH33" s="67">
        <f>ramps!AI16/'Baseline Price'!AH33</f>
        <v>0</v>
      </c>
      <c r="AI33" s="67">
        <f>ramps!AJ16/'Baseline Price'!AI33</f>
        <v>0</v>
      </c>
      <c r="AJ33" s="67">
        <f>ramps!AK16/'Baseline Price'!AJ33</f>
        <v>0</v>
      </c>
      <c r="AK33" s="67">
        <f>ramps!AL16/'Baseline Price'!AK33</f>
        <v>0</v>
      </c>
    </row>
    <row r="34" spans="1:37">
      <c r="A34" s="57" t="s">
        <v>52</v>
      </c>
      <c r="B34" s="67"/>
      <c r="C34" s="67"/>
      <c r="D34" s="67"/>
      <c r="E34" s="67"/>
      <c r="F34" s="67"/>
      <c r="G34" s="67"/>
      <c r="H34" s="67"/>
      <c r="I34" s="93"/>
      <c r="J34" s="93"/>
      <c r="K34" s="93">
        <f>ramps!L21/'Baseline Price'!K34</f>
        <v>0</v>
      </c>
      <c r="L34" s="93">
        <f>ramps!M21/'Baseline Price'!L34</f>
        <v>0</v>
      </c>
      <c r="M34" s="93">
        <f>ramps!N21/'Baseline Price'!M34</f>
        <v>0</v>
      </c>
      <c r="N34" s="93">
        <f>ramps!O21/'Baseline Price'!N34</f>
        <v>0</v>
      </c>
      <c r="O34" s="93">
        <f>ramps!P21/'Baseline Price'!O34</f>
        <v>0</v>
      </c>
      <c r="P34" s="93">
        <f>ramps!Q21/'Baseline Price'!P34</f>
        <v>0</v>
      </c>
      <c r="Q34" s="93">
        <f>ramps!R21/'Baseline Price'!Q34</f>
        <v>0</v>
      </c>
      <c r="R34" s="93">
        <f>ramps!S21/'Baseline Price'!R34</f>
        <v>0</v>
      </c>
      <c r="S34" s="93">
        <f>ramps!T21/'Baseline Price'!S34</f>
        <v>0</v>
      </c>
      <c r="T34" s="93">
        <f>ramps!U21/'Baseline Price'!T34</f>
        <v>0</v>
      </c>
      <c r="U34" s="93">
        <f>ramps!V21/'Baseline Price'!U34</f>
        <v>0</v>
      </c>
      <c r="V34" s="93">
        <f>ramps!W21/'Baseline Price'!V34</f>
        <v>0</v>
      </c>
      <c r="W34" s="93">
        <f>ramps!X21/'Baseline Price'!W34</f>
        <v>0</v>
      </c>
      <c r="X34" s="93">
        <f>ramps!Y21/'Baseline Price'!X34</f>
        <v>0</v>
      </c>
      <c r="Y34" s="93">
        <f>ramps!Z21/'Baseline Price'!Y34</f>
        <v>0</v>
      </c>
      <c r="Z34" s="93">
        <f>ramps!AA21/'Baseline Price'!Z34</f>
        <v>0</v>
      </c>
      <c r="AA34" s="93">
        <f>ramps!AB21/'Baseline Price'!AA34</f>
        <v>0</v>
      </c>
      <c r="AB34" s="93">
        <f>ramps!AC21/'Baseline Price'!AB34</f>
        <v>0</v>
      </c>
      <c r="AC34" s="93">
        <f>ramps!AD21/'Baseline Price'!AC34</f>
        <v>0</v>
      </c>
      <c r="AD34" s="93">
        <f>ramps!AE21/'Baseline Price'!AD34</f>
        <v>0</v>
      </c>
      <c r="AE34" s="93">
        <f>ramps!AF21/'Baseline Price'!AE34</f>
        <v>0</v>
      </c>
      <c r="AF34" s="93">
        <f>ramps!AG21/'Baseline Price'!AF34</f>
        <v>0</v>
      </c>
      <c r="AG34" s="93">
        <f>ramps!AH21/'Baseline Price'!AG34</f>
        <v>0</v>
      </c>
      <c r="AH34" s="93">
        <f>ramps!AI21/'Baseline Price'!AH34</f>
        <v>0</v>
      </c>
      <c r="AI34" s="93">
        <f>ramps!AJ21/'Baseline Price'!AI34</f>
        <v>0</v>
      </c>
      <c r="AJ34" s="93">
        <f>ramps!AK21/'Baseline Price'!AJ34</f>
        <v>0</v>
      </c>
      <c r="AK34" s="93">
        <f>ramps!AL21/'Baseline Price'!AK34</f>
        <v>0</v>
      </c>
    </row>
    <row r="35" spans="1:37">
      <c r="A35" s="57" t="s">
        <v>53</v>
      </c>
      <c r="B35" s="67"/>
      <c r="C35" s="67"/>
      <c r="D35" s="67"/>
      <c r="E35" s="67"/>
      <c r="F35" s="67"/>
      <c r="G35" s="67"/>
      <c r="H35" s="67"/>
      <c r="I35" s="67"/>
      <c r="J35" s="67"/>
      <c r="K35" s="67">
        <f>ramps!L19/'Baseline Price'!K35</f>
        <v>0</v>
      </c>
      <c r="L35" s="67">
        <f>ramps!M19/'Baseline Price'!L35</f>
        <v>0</v>
      </c>
      <c r="M35" s="67">
        <f>ramps!N19/'Baseline Price'!M35</f>
        <v>0</v>
      </c>
      <c r="N35" s="67">
        <f>ramps!O19/'Baseline Price'!N35</f>
        <v>0</v>
      </c>
      <c r="O35" s="67">
        <f>ramps!P19/'Baseline Price'!O35</f>
        <v>0</v>
      </c>
      <c r="P35" s="67">
        <f>ramps!Q19/'Baseline Price'!P35</f>
        <v>0</v>
      </c>
      <c r="Q35" s="67">
        <f>ramps!R19/'Baseline Price'!Q35</f>
        <v>4.3457154772554532E-2</v>
      </c>
      <c r="R35" s="67">
        <f>ramps!S19/'Baseline Price'!R35</f>
        <v>4.678401176969435E-2</v>
      </c>
      <c r="S35" s="67">
        <f>ramps!T19/'Baseline Price'!S35</f>
        <v>5.1083704291969345E-2</v>
      </c>
      <c r="T35" s="67">
        <f>ramps!U19/'Baseline Price'!T35</f>
        <v>5.4925455623582115E-2</v>
      </c>
      <c r="U35" s="67">
        <f>ramps!V19/'Baseline Price'!U35</f>
        <v>5.3134255015833395E-2</v>
      </c>
      <c r="V35" s="67">
        <f>ramps!W19/'Baseline Price'!V35</f>
        <v>5.6156966138088411E-2</v>
      </c>
      <c r="W35" s="67">
        <f>ramps!X19/'Baseline Price'!W35</f>
        <v>5.9203681083522412E-2</v>
      </c>
      <c r="X35" s="67">
        <f>ramps!Y19/'Baseline Price'!X35</f>
        <v>6.1616060779289904E-2</v>
      </c>
      <c r="Y35" s="67">
        <f>ramps!Z19/'Baseline Price'!Y35</f>
        <v>6.3625933294239573E-2</v>
      </c>
      <c r="Z35" s="67">
        <f>ramps!AA19/'Baseline Price'!Z35</f>
        <v>6.505495623803817E-2</v>
      </c>
      <c r="AA35" s="67">
        <f>ramps!AB19/'Baseline Price'!AA35</f>
        <v>0</v>
      </c>
      <c r="AB35" s="67">
        <f>ramps!AC19/'Baseline Price'!AB35</f>
        <v>0</v>
      </c>
      <c r="AC35" s="67">
        <f>ramps!AD19/'Baseline Price'!AC35</f>
        <v>0</v>
      </c>
      <c r="AD35" s="67">
        <f>ramps!AE19/'Baseline Price'!AD35</f>
        <v>0</v>
      </c>
      <c r="AE35" s="67">
        <f>ramps!AF19/'Baseline Price'!AE35</f>
        <v>0</v>
      </c>
      <c r="AF35" s="67">
        <f>ramps!AG19/'Baseline Price'!AF35</f>
        <v>0</v>
      </c>
      <c r="AG35" s="67">
        <f>ramps!AH19/'Baseline Price'!AG35</f>
        <v>0</v>
      </c>
      <c r="AH35" s="67">
        <f>ramps!AI19/'Baseline Price'!AH35</f>
        <v>0</v>
      </c>
      <c r="AI35" s="67">
        <f>ramps!AJ19/'Baseline Price'!AI35</f>
        <v>0</v>
      </c>
      <c r="AJ35" s="67">
        <f>ramps!AK19/'Baseline Price'!AJ35</f>
        <v>0</v>
      </c>
      <c r="AK35" s="67">
        <f>ramps!AL19/'Baseline Price'!AK35</f>
        <v>0</v>
      </c>
    </row>
    <row r="36" spans="1:37">
      <c r="A36" s="57" t="s">
        <v>31</v>
      </c>
      <c r="B36" s="67"/>
      <c r="C36" s="67"/>
      <c r="D36" s="67"/>
      <c r="E36" s="67"/>
      <c r="F36" s="67"/>
      <c r="G36" s="67"/>
      <c r="H36" s="67"/>
      <c r="I36" s="67"/>
      <c r="J36" s="67"/>
      <c r="K36" s="67">
        <f>ramps!L24/'Baseline Price'!K36</f>
        <v>0</v>
      </c>
      <c r="L36" s="67">
        <f>ramps!M24/'Baseline Price'!L36</f>
        <v>0</v>
      </c>
      <c r="M36" s="67">
        <f>ramps!N24/'Baseline Price'!M36</f>
        <v>0</v>
      </c>
      <c r="N36" s="67">
        <f>ramps!O24/'Baseline Price'!N36</f>
        <v>0</v>
      </c>
      <c r="O36" s="67">
        <f>ramps!P24/'Baseline Price'!O36</f>
        <v>0</v>
      </c>
      <c r="P36" s="67">
        <f>ramps!Q24/'Baseline Price'!P36</f>
        <v>0</v>
      </c>
      <c r="Q36" s="67">
        <f>ramps!R24/'Baseline Price'!Q36</f>
        <v>0</v>
      </c>
      <c r="R36" s="67">
        <f>ramps!S24/'Baseline Price'!R36</f>
        <v>0</v>
      </c>
      <c r="S36" s="67">
        <f>ramps!T24/'Baseline Price'!S36</f>
        <v>0</v>
      </c>
      <c r="T36" s="67">
        <f>ramps!U24/'Baseline Price'!T36</f>
        <v>0</v>
      </c>
      <c r="U36" s="67">
        <f>ramps!V24/'Baseline Price'!U36</f>
        <v>0</v>
      </c>
      <c r="V36" s="67">
        <f>ramps!W24/'Baseline Price'!V36</f>
        <v>0</v>
      </c>
      <c r="W36" s="67">
        <f>ramps!X24/'Baseline Price'!W36</f>
        <v>0</v>
      </c>
      <c r="X36" s="67">
        <f>ramps!Y24/'Baseline Price'!X36</f>
        <v>0</v>
      </c>
      <c r="Y36" s="67">
        <f>ramps!Z24/'Baseline Price'!Y36</f>
        <v>0</v>
      </c>
      <c r="Z36" s="67">
        <f>ramps!AA24/'Baseline Price'!Z36</f>
        <v>0</v>
      </c>
      <c r="AA36" s="67">
        <f>ramps!AB24/'Baseline Price'!AA36</f>
        <v>0</v>
      </c>
      <c r="AB36" s="67">
        <f>ramps!AC24/'Baseline Price'!AB36</f>
        <v>0</v>
      </c>
      <c r="AC36" s="67">
        <f>ramps!AD24/'Baseline Price'!AC36</f>
        <v>0</v>
      </c>
      <c r="AD36" s="67">
        <f>ramps!AE24/'Baseline Price'!AD36</f>
        <v>0</v>
      </c>
      <c r="AE36" s="67">
        <f>ramps!AF24/'Baseline Price'!AE36</f>
        <v>0</v>
      </c>
      <c r="AF36" s="67">
        <f>ramps!AG24/'Baseline Price'!AF36</f>
        <v>0</v>
      </c>
      <c r="AG36" s="67">
        <f>ramps!AH24/'Baseline Price'!AG36</f>
        <v>0</v>
      </c>
      <c r="AH36" s="67">
        <f>ramps!AI24/'Baseline Price'!AH36</f>
        <v>0</v>
      </c>
      <c r="AI36" s="67">
        <f>ramps!AJ24/'Baseline Price'!AI36</f>
        <v>0</v>
      </c>
      <c r="AJ36" s="67">
        <f>ramps!AK24/'Baseline Price'!AJ36</f>
        <v>0</v>
      </c>
      <c r="AK36" s="67">
        <f>ramps!AL24/'Baseline Price'!AK36</f>
        <v>0</v>
      </c>
    </row>
    <row r="37" spans="1:37">
      <c r="A37" s="57" t="s">
        <v>54</v>
      </c>
      <c r="B37" s="67"/>
      <c r="C37" s="67"/>
      <c r="D37" s="67"/>
      <c r="E37" s="67"/>
      <c r="F37" s="67"/>
      <c r="G37" s="67"/>
      <c r="H37" s="67"/>
      <c r="I37" s="67"/>
      <c r="J37" s="67"/>
      <c r="K37" s="67">
        <f>ramps!L17/'Baseline Price'!K37</f>
        <v>0</v>
      </c>
      <c r="L37" s="67">
        <f>ramps!M17/'Baseline Price'!L37</f>
        <v>0</v>
      </c>
      <c r="M37" s="67">
        <f>ramps!N17/'Baseline Price'!M37</f>
        <v>0</v>
      </c>
      <c r="N37" s="67">
        <f>ramps!O17/'Baseline Price'!N37</f>
        <v>0</v>
      </c>
      <c r="O37" s="67">
        <f>ramps!P17/'Baseline Price'!O37</f>
        <v>0</v>
      </c>
      <c r="P37" s="67">
        <f>ramps!Q17/'Baseline Price'!P37</f>
        <v>0</v>
      </c>
      <c r="Q37" s="67">
        <f>ramps!R17/'Baseline Price'!Q37</f>
        <v>4.7785787957960929E-2</v>
      </c>
      <c r="R37" s="67">
        <f>ramps!S17/'Baseline Price'!R37</f>
        <v>5.7163512485169383E-2</v>
      </c>
      <c r="S37" s="67">
        <f>ramps!T17/'Baseline Price'!S37</f>
        <v>6.4059159941540836E-2</v>
      </c>
      <c r="T37" s="67">
        <f>ramps!U17/'Baseline Price'!T37</f>
        <v>6.9833981234415712E-2</v>
      </c>
      <c r="U37" s="67">
        <f>ramps!V17/'Baseline Price'!U37</f>
        <v>6.3268535816063912E-2</v>
      </c>
      <c r="V37" s="67">
        <f>ramps!W17/'Baseline Price'!V37</f>
        <v>6.7308234833533653E-2</v>
      </c>
      <c r="W37" s="67">
        <f>ramps!X17/'Baseline Price'!W37</f>
        <v>7.1557018694450344E-2</v>
      </c>
      <c r="X37" s="67">
        <f>ramps!Y17/'Baseline Price'!X37</f>
        <v>7.5414924930503349E-2</v>
      </c>
      <c r="Y37" s="67">
        <f>ramps!Z17/'Baseline Price'!Y37</f>
        <v>7.9150449131286313E-2</v>
      </c>
      <c r="Z37" s="67">
        <f>ramps!AA17/'Baseline Price'!Z37</f>
        <v>8.1225761262298385E-2</v>
      </c>
      <c r="AA37" s="67">
        <f>ramps!AB17/'Baseline Price'!AA37</f>
        <v>0</v>
      </c>
      <c r="AB37" s="67">
        <f>ramps!AC17/'Baseline Price'!AB37</f>
        <v>0</v>
      </c>
      <c r="AC37" s="67">
        <f>ramps!AD17/'Baseline Price'!AC37</f>
        <v>0</v>
      </c>
      <c r="AD37" s="67">
        <f>ramps!AE17/'Baseline Price'!AD37</f>
        <v>0</v>
      </c>
      <c r="AE37" s="67">
        <f>ramps!AF17/'Baseline Price'!AE37</f>
        <v>0</v>
      </c>
      <c r="AF37" s="67">
        <f>ramps!AG17/'Baseline Price'!AF37</f>
        <v>0</v>
      </c>
      <c r="AG37" s="67">
        <f>ramps!AH17/'Baseline Price'!AG37</f>
        <v>0</v>
      </c>
      <c r="AH37" s="67">
        <f>ramps!AI17/'Baseline Price'!AH37</f>
        <v>0</v>
      </c>
      <c r="AI37" s="67">
        <f>ramps!AJ17/'Baseline Price'!AI37</f>
        <v>0</v>
      </c>
      <c r="AJ37" s="67">
        <f>ramps!AK17/'Baseline Price'!AJ37</f>
        <v>0</v>
      </c>
      <c r="AK37" s="67">
        <f>ramps!AL17/'Baseline Price'!AK37</f>
        <v>0</v>
      </c>
    </row>
    <row r="38" spans="1:37">
      <c r="A38" s="57" t="s">
        <v>27</v>
      </c>
      <c r="B38" s="67"/>
      <c r="C38" s="67"/>
      <c r="D38" s="67"/>
      <c r="E38" s="67"/>
      <c r="F38" s="67"/>
      <c r="G38" s="67"/>
      <c r="H38" s="67"/>
      <c r="I38" s="67"/>
      <c r="J38" s="67"/>
      <c r="K38" s="67">
        <f>K$85</f>
        <v>0</v>
      </c>
      <c r="L38" s="67">
        <f>L86/'Baseline Price'!L38</f>
        <v>0</v>
      </c>
      <c r="M38" s="67">
        <f>M86/'Baseline Price'!M38</f>
        <v>0</v>
      </c>
      <c r="N38" s="67">
        <f>N86/'Baseline Price'!N38</f>
        <v>0</v>
      </c>
      <c r="O38" s="67">
        <f>O86/'Baseline Price'!O38</f>
        <v>0</v>
      </c>
      <c r="P38" s="67">
        <f>P86/'Baseline Price'!P38</f>
        <v>0</v>
      </c>
      <c r="Q38" s="67">
        <f>Q86/'Baseline Price'!Q38</f>
        <v>2.1264449477697765E-2</v>
      </c>
      <c r="R38" s="67">
        <f>R86/'Baseline Price'!R38</f>
        <v>2.031117485131308E-2</v>
      </c>
      <c r="S38" s="67">
        <f>S86/'Baseline Price'!S38</f>
        <v>2.1018639456271093E-2</v>
      </c>
      <c r="T38" s="67">
        <f>T86/'Baseline Price'!T38</f>
        <v>2.0072429503434436E-2</v>
      </c>
      <c r="U38" s="67">
        <f>U86/'Baseline Price'!U38</f>
        <v>2.0835005993630373E-2</v>
      </c>
      <c r="V38" s="67">
        <f>V86/'Baseline Price'!V38</f>
        <v>2.1139763746656111E-2</v>
      </c>
      <c r="W38" s="67">
        <f>W86/'Baseline Price'!W38</f>
        <v>1.9216802699567742E-2</v>
      </c>
      <c r="X38" s="67">
        <f>X86/'Baseline Price'!X38</f>
        <v>1.9706005314677845E-2</v>
      </c>
      <c r="Y38" s="67">
        <f>Y86/'Baseline Price'!Y38</f>
        <v>2.0112211212227199E-2</v>
      </c>
      <c r="Z38" s="67">
        <f>Z86/'Baseline Price'!Z38</f>
        <v>2.0610781989740281E-2</v>
      </c>
      <c r="AA38" s="67">
        <f>AA86/'Baseline Price'!AA38</f>
        <v>0</v>
      </c>
      <c r="AB38" s="67">
        <f>AB86/'Baseline Price'!AB38</f>
        <v>1.0405205388762108E-16</v>
      </c>
      <c r="AC38" s="67">
        <f>AC86/'Baseline Price'!AC38</f>
        <v>0</v>
      </c>
      <c r="AD38" s="67">
        <f>AD86/'Baseline Price'!AD38</f>
        <v>0</v>
      </c>
      <c r="AE38" s="67">
        <f>AE86/'Baseline Price'!AE38</f>
        <v>0</v>
      </c>
      <c r="AF38" s="67">
        <f>AF86/'Baseline Price'!AF38</f>
        <v>0</v>
      </c>
      <c r="AG38" s="67">
        <f>AG86/'Baseline Price'!AG38</f>
        <v>0</v>
      </c>
      <c r="AH38" s="67">
        <f>AH86/'Baseline Price'!AH38</f>
        <v>0</v>
      </c>
      <c r="AI38" s="67">
        <f>AI86/'Baseline Price'!AI38</f>
        <v>0</v>
      </c>
      <c r="AJ38" s="67">
        <f>AJ86/'Baseline Price'!AJ38</f>
        <v>0</v>
      </c>
      <c r="AK38" s="67">
        <f>AK86/'Baseline Price'!AK38</f>
        <v>0</v>
      </c>
    </row>
    <row r="39" spans="1:37">
      <c r="A39" s="57"/>
      <c r="B39" s="67"/>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row>
    <row r="40" spans="1:37">
      <c r="A40" s="57" t="s">
        <v>1308</v>
      </c>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76"/>
      <c r="AH40" s="76"/>
      <c r="AI40" s="76"/>
      <c r="AJ40" s="76"/>
      <c r="AK40" s="76"/>
    </row>
    <row r="41" spans="1:37">
      <c r="A41" s="77" t="s">
        <v>2</v>
      </c>
      <c r="B41" s="67"/>
      <c r="C41" s="67"/>
      <c r="D41" s="67"/>
      <c r="E41" s="67"/>
      <c r="F41" s="67"/>
      <c r="G41" s="67"/>
      <c r="H41" s="67"/>
      <c r="I41" s="67"/>
      <c r="J41" s="67"/>
      <c r="K41" s="67">
        <f>ramps!L18/'Baseline Price'!K44</f>
        <v>0</v>
      </c>
      <c r="L41" s="67">
        <f>ramps!M18/'Baseline Price'!L44</f>
        <v>0</v>
      </c>
      <c r="M41" s="67">
        <f>ramps!N18/'Baseline Price'!M44</f>
        <v>0</v>
      </c>
      <c r="N41" s="67">
        <f>ramps!O18/'Baseline Price'!N44</f>
        <v>0</v>
      </c>
      <c r="O41" s="67">
        <f>ramps!P18/'Baseline Price'!O44</f>
        <v>0</v>
      </c>
      <c r="P41" s="67">
        <f>ramps!Q18/'Baseline Price'!P44</f>
        <v>0</v>
      </c>
      <c r="Q41" s="67">
        <f>ramps!R18/'Baseline Price'!Q44</f>
        <v>0.63249299248815571</v>
      </c>
      <c r="R41" s="67">
        <f>ramps!S18/'Baseline Price'!R44</f>
        <v>0.70406799913018259</v>
      </c>
      <c r="S41" s="67">
        <f>ramps!T18/'Baseline Price'!S44</f>
        <v>0.77315850250017648</v>
      </c>
      <c r="T41" s="67">
        <f>ramps!U18/'Baseline Price'!T44</f>
        <v>0.84084731373513777</v>
      </c>
      <c r="U41" s="67">
        <f>ramps!V18/'Baseline Price'!U44</f>
        <v>0.89572510599533561</v>
      </c>
      <c r="V41" s="67">
        <f>ramps!W18/'Baseline Price'!V44</f>
        <v>0.94272811543608648</v>
      </c>
      <c r="W41" s="67">
        <f>ramps!X18/'Baseline Price'!W44</f>
        <v>0.99278822871278982</v>
      </c>
      <c r="X41" s="67">
        <f>ramps!Y18/'Baseline Price'!X44</f>
        <v>1.0365623449046004</v>
      </c>
      <c r="Y41" s="67">
        <f>ramps!Z18/'Baseline Price'!Y44</f>
        <v>1.0756218733100593</v>
      </c>
      <c r="Z41" s="67">
        <f>ramps!AA18/'Baseline Price'!Z44</f>
        <v>1.1202208241564289</v>
      </c>
      <c r="AA41" s="67">
        <f>ramps!AB18/'Baseline Price'!AA44</f>
        <v>0</v>
      </c>
      <c r="AB41" s="67">
        <f>ramps!AC18/'Baseline Price'!AB44</f>
        <v>0</v>
      </c>
      <c r="AC41" s="67">
        <f>ramps!AD18/'Baseline Price'!AC44</f>
        <v>0</v>
      </c>
      <c r="AD41" s="67">
        <f>ramps!AE18/'Baseline Price'!AD44</f>
        <v>0</v>
      </c>
      <c r="AE41" s="67">
        <f>ramps!AF18/'Baseline Price'!AE44</f>
        <v>0</v>
      </c>
      <c r="AF41" s="67">
        <f>ramps!AG18/'Baseline Price'!AF44</f>
        <v>0</v>
      </c>
      <c r="AG41" s="67">
        <f>ramps!AH18/'Baseline Price'!AG44</f>
        <v>0</v>
      </c>
      <c r="AH41" s="67">
        <f>ramps!AI18/'Baseline Price'!AH44</f>
        <v>0</v>
      </c>
      <c r="AI41" s="67">
        <f>ramps!AJ18/'Baseline Price'!AI44</f>
        <v>0</v>
      </c>
      <c r="AJ41" s="67">
        <f>ramps!AK18/'Baseline Price'!AJ44</f>
        <v>0</v>
      </c>
      <c r="AK41" s="67">
        <f>ramps!AL18/'Baseline Price'!AK44</f>
        <v>0</v>
      </c>
    </row>
    <row r="42" spans="1:37">
      <c r="A42" s="57" t="s">
        <v>26</v>
      </c>
      <c r="B42" s="67"/>
      <c r="C42" s="67"/>
      <c r="D42" s="67"/>
      <c r="E42" s="67"/>
      <c r="F42" s="67"/>
      <c r="G42" s="67"/>
      <c r="H42" s="67"/>
      <c r="I42" s="67"/>
      <c r="J42" s="67"/>
      <c r="K42" s="67">
        <f>ramps!L17/'Baseline Price'!K43</f>
        <v>0</v>
      </c>
      <c r="L42" s="67">
        <f>ramps!M17/'Baseline Price'!L43</f>
        <v>0</v>
      </c>
      <c r="M42" s="67">
        <f>ramps!N17/'Baseline Price'!M43</f>
        <v>0</v>
      </c>
      <c r="N42" s="67">
        <f>ramps!O17/'Baseline Price'!N43</f>
        <v>0</v>
      </c>
      <c r="O42" s="67">
        <f>ramps!P17/'Baseline Price'!O43</f>
        <v>0</v>
      </c>
      <c r="P42" s="67">
        <f>ramps!Q17/'Baseline Price'!P43</f>
        <v>0</v>
      </c>
      <c r="Q42" s="67">
        <f>ramps!R17/'Baseline Price'!Q43</f>
        <v>0.18044825874701617</v>
      </c>
      <c r="R42" s="67">
        <f>ramps!S17/'Baseline Price'!R43</f>
        <v>0.20444536554024786</v>
      </c>
      <c r="S42" s="67">
        <f>ramps!T17/'Baseline Price'!S43</f>
        <v>0.22667519904606057</v>
      </c>
      <c r="T42" s="67">
        <f>ramps!U17/'Baseline Price'!T43</f>
        <v>0.24164317196321539</v>
      </c>
      <c r="U42" s="67">
        <f>ramps!V17/'Baseline Price'!U43</f>
        <v>0.25397620925186293</v>
      </c>
      <c r="V42" s="67">
        <f>ramps!W17/'Baseline Price'!V43</f>
        <v>0.2597952578593738</v>
      </c>
      <c r="W42" s="67">
        <f>ramps!X17/'Baseline Price'!W43</f>
        <v>0.27069958151780188</v>
      </c>
      <c r="X42" s="67">
        <f>ramps!Y17/'Baseline Price'!X43</f>
        <v>0.28160983713990034</v>
      </c>
      <c r="Y42" s="67">
        <f>ramps!Z17/'Baseline Price'!Y43</f>
        <v>0.29397871007510867</v>
      </c>
      <c r="Z42" s="67">
        <f>ramps!AA17/'Baseline Price'!Z43</f>
        <v>0.30489562968868977</v>
      </c>
      <c r="AA42" s="67">
        <f>ramps!AB17/'Baseline Price'!AA43</f>
        <v>0</v>
      </c>
      <c r="AB42" s="67">
        <f>ramps!AC17/'Baseline Price'!AB43</f>
        <v>0</v>
      </c>
      <c r="AC42" s="67">
        <f>ramps!AD17/'Baseline Price'!AC43</f>
        <v>0</v>
      </c>
      <c r="AD42" s="67">
        <f>ramps!AE17/'Baseline Price'!AD43</f>
        <v>0</v>
      </c>
      <c r="AE42" s="67">
        <f>ramps!AF17/'Baseline Price'!AE43</f>
        <v>0</v>
      </c>
      <c r="AF42" s="67">
        <f>ramps!AG17/'Baseline Price'!AF43</f>
        <v>0</v>
      </c>
      <c r="AG42" s="67">
        <f>ramps!AH17/'Baseline Price'!AG43</f>
        <v>0</v>
      </c>
      <c r="AH42" s="67">
        <f>ramps!AI17/'Baseline Price'!AH43</f>
        <v>0</v>
      </c>
      <c r="AI42" s="67">
        <f>ramps!AJ17/'Baseline Price'!AI43</f>
        <v>0</v>
      </c>
      <c r="AJ42" s="67">
        <f>ramps!AK17/'Baseline Price'!AJ43</f>
        <v>0</v>
      </c>
      <c r="AK42" s="67">
        <f>ramps!AL17/'Baseline Price'!AK43</f>
        <v>0</v>
      </c>
    </row>
    <row r="43" spans="1:37">
      <c r="A43" s="77" t="s">
        <v>435</v>
      </c>
      <c r="B43" s="67"/>
      <c r="C43" s="67"/>
      <c r="D43" s="67"/>
      <c r="E43" s="67"/>
      <c r="F43" s="67"/>
      <c r="G43" s="67"/>
      <c r="H43" s="67"/>
      <c r="I43" s="67"/>
      <c r="J43" s="67"/>
      <c r="K43" s="67">
        <f>ramps!L17/'Baseline Price'!K43</f>
        <v>0</v>
      </c>
      <c r="L43" s="67">
        <f>ramps!M17/'Baseline Price'!L43</f>
        <v>0</v>
      </c>
      <c r="M43" s="67">
        <f>ramps!N17/'Baseline Price'!M43</f>
        <v>0</v>
      </c>
      <c r="N43" s="67">
        <f>ramps!O17/'Baseline Price'!N43</f>
        <v>0</v>
      </c>
      <c r="O43" s="67">
        <f>ramps!P17/'Baseline Price'!O43</f>
        <v>0</v>
      </c>
      <c r="P43" s="67">
        <f>ramps!Q17/'Baseline Price'!P43</f>
        <v>0</v>
      </c>
      <c r="Q43" s="67">
        <f>ramps!R17/'Baseline Price'!Q43</f>
        <v>0.18044825874701617</v>
      </c>
      <c r="R43" s="67">
        <f>ramps!S17/'Baseline Price'!R43</f>
        <v>0.20444536554024786</v>
      </c>
      <c r="S43" s="67">
        <f>ramps!T17/'Baseline Price'!S43</f>
        <v>0.22667519904606057</v>
      </c>
      <c r="T43" s="67">
        <f>ramps!U17/'Baseline Price'!T43</f>
        <v>0.24164317196321539</v>
      </c>
      <c r="U43" s="67">
        <f>ramps!V17/'Baseline Price'!U43</f>
        <v>0.25397620925186293</v>
      </c>
      <c r="V43" s="67">
        <f>ramps!W17/'Baseline Price'!V43</f>
        <v>0.2597952578593738</v>
      </c>
      <c r="W43" s="67">
        <f>ramps!X17/'Baseline Price'!W43</f>
        <v>0.27069958151780188</v>
      </c>
      <c r="X43" s="67">
        <f>ramps!Y17/'Baseline Price'!X43</f>
        <v>0.28160983713990034</v>
      </c>
      <c r="Y43" s="67">
        <f>ramps!Z17/'Baseline Price'!Y43</f>
        <v>0.29397871007510867</v>
      </c>
      <c r="Z43" s="67">
        <f>ramps!AA17/'Baseline Price'!Z43</f>
        <v>0.30489562968868977</v>
      </c>
      <c r="AA43" s="67">
        <f>ramps!AB17/'Baseline Price'!AA43</f>
        <v>0</v>
      </c>
      <c r="AB43" s="67">
        <f>ramps!AC17/'Baseline Price'!AB43</f>
        <v>0</v>
      </c>
      <c r="AC43" s="67">
        <f>ramps!AD17/'Baseline Price'!AC43</f>
        <v>0</v>
      </c>
      <c r="AD43" s="67">
        <f>ramps!AE17/'Baseline Price'!AD43</f>
        <v>0</v>
      </c>
      <c r="AE43" s="67">
        <f>ramps!AF17/'Baseline Price'!AE43</f>
        <v>0</v>
      </c>
      <c r="AF43" s="67">
        <f>ramps!AG17/'Baseline Price'!AF43</f>
        <v>0</v>
      </c>
      <c r="AG43" s="67">
        <f>ramps!AH17/'Baseline Price'!AG43</f>
        <v>0</v>
      </c>
      <c r="AH43" s="67">
        <f>ramps!AI17/'Baseline Price'!AH43</f>
        <v>0</v>
      </c>
      <c r="AI43" s="67">
        <f>ramps!AJ17/'Baseline Price'!AI43</f>
        <v>0</v>
      </c>
      <c r="AJ43" s="67">
        <f>ramps!AK17/'Baseline Price'!AJ43</f>
        <v>0</v>
      </c>
      <c r="AK43" s="67">
        <f>ramps!AL17/'Baseline Price'!AK43</f>
        <v>0</v>
      </c>
    </row>
    <row r="44" spans="1:37">
      <c r="A44" s="77" t="s">
        <v>253</v>
      </c>
      <c r="B44" s="67"/>
      <c r="C44" s="67"/>
      <c r="D44" s="67"/>
      <c r="E44" s="67"/>
      <c r="F44" s="67"/>
      <c r="G44" s="67"/>
      <c r="H44" s="67"/>
      <c r="I44" s="67"/>
      <c r="J44" s="67"/>
      <c r="K44" s="67">
        <f>ramps!L20/'Baseline Price'!K41</f>
        <v>0</v>
      </c>
      <c r="L44" s="67">
        <f>ramps!M20/'Baseline Price'!L41</f>
        <v>0</v>
      </c>
      <c r="M44" s="67">
        <f>ramps!N20/'Baseline Price'!M41</f>
        <v>0</v>
      </c>
      <c r="N44" s="67">
        <f>ramps!O20/'Baseline Price'!N41</f>
        <v>0</v>
      </c>
      <c r="O44" s="67">
        <f>ramps!P20/'Baseline Price'!O41</f>
        <v>0</v>
      </c>
      <c r="P44" s="67">
        <f>ramps!Q20/'Baseline Price'!P41</f>
        <v>0</v>
      </c>
      <c r="Q44" s="67">
        <f>ramps!R20/'Baseline Price'!Q41</f>
        <v>5.3293205319544089E-2</v>
      </c>
      <c r="R44" s="67">
        <f>ramps!S20/'Baseline Price'!R41</f>
        <v>5.5870295955938953E-2</v>
      </c>
      <c r="S44" s="67">
        <f>ramps!T20/'Baseline Price'!S41</f>
        <v>6.0364216123452379E-2</v>
      </c>
      <c r="T44" s="67">
        <f>ramps!U20/'Baseline Price'!T41</f>
        <v>6.4783889259098698E-2</v>
      </c>
      <c r="U44" s="67">
        <f>ramps!V20/'Baseline Price'!U41</f>
        <v>6.9335473280842358E-2</v>
      </c>
      <c r="V44" s="67">
        <f>ramps!W20/'Baseline Price'!V41</f>
        <v>7.3726013649703784E-2</v>
      </c>
      <c r="W44" s="67">
        <f>ramps!X20/'Baseline Price'!W41</f>
        <v>7.755340622591525E-2</v>
      </c>
      <c r="X44" s="67">
        <f>ramps!Y20/'Baseline Price'!X41</f>
        <v>8.075884431874164E-2</v>
      </c>
      <c r="Y44" s="67">
        <f>ramps!Z20/'Baseline Price'!Y41</f>
        <v>8.3292693404568713E-2</v>
      </c>
      <c r="Z44" s="67">
        <f>ramps!AA20/'Baseline Price'!Z41</f>
        <v>8.6163685610863058E-2</v>
      </c>
      <c r="AA44" s="67">
        <f>ramps!AB20/'Baseline Price'!AA41</f>
        <v>0</v>
      </c>
      <c r="AB44" s="67">
        <f>ramps!AC20/'Baseline Price'!AB41</f>
        <v>0</v>
      </c>
      <c r="AC44" s="67">
        <f>ramps!AD20/'Baseline Price'!AC41</f>
        <v>0</v>
      </c>
      <c r="AD44" s="67">
        <f>ramps!AE20/'Baseline Price'!AD41</f>
        <v>0</v>
      </c>
      <c r="AE44" s="67">
        <f>ramps!AF20/'Baseline Price'!AE41</f>
        <v>0</v>
      </c>
      <c r="AF44" s="67">
        <f>ramps!AG20/'Baseline Price'!AF41</f>
        <v>0</v>
      </c>
      <c r="AG44" s="67">
        <f>ramps!AH20/'Baseline Price'!AG41</f>
        <v>0</v>
      </c>
      <c r="AH44" s="67">
        <f>ramps!AI20/'Baseline Price'!AH41</f>
        <v>0</v>
      </c>
      <c r="AI44" s="67">
        <f>ramps!AJ20/'Baseline Price'!AI41</f>
        <v>0</v>
      </c>
      <c r="AJ44" s="67">
        <f>ramps!AK20/'Baseline Price'!AJ41</f>
        <v>0</v>
      </c>
      <c r="AK44" s="67">
        <f>ramps!AL20/'Baseline Price'!AK41</f>
        <v>0</v>
      </c>
    </row>
    <row r="45" spans="1:37">
      <c r="A45" s="7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row>
    <row r="46" spans="1:37" s="57" customFormat="1">
      <c r="A46" s="57" t="s">
        <v>308</v>
      </c>
    </row>
    <row r="47" spans="1:37" s="57" customFormat="1">
      <c r="A47" s="91" t="s">
        <v>372</v>
      </c>
      <c r="B47" s="48"/>
      <c r="C47" s="48"/>
      <c r="D47" s="48"/>
      <c r="E47" s="48"/>
      <c r="F47" s="48"/>
      <c r="G47" s="48"/>
      <c r="H47" s="48"/>
      <c r="I47" s="48"/>
      <c r="J47" s="48"/>
      <c r="K47" s="68">
        <f>'Baseline Consumption'!K66*parameters!$C95</f>
        <v>15.114212068858443</v>
      </c>
      <c r="L47" s="68">
        <f>'Baseline Consumption'!L66*parameters!$C95</f>
        <v>16.112307949199842</v>
      </c>
      <c r="M47" s="68">
        <f>'Baseline Consumption'!M66*parameters!$C95</f>
        <v>14.475251860430637</v>
      </c>
      <c r="N47" s="68">
        <f>'Baseline Consumption'!N66*parameters!$C95</f>
        <v>12.902939184086019</v>
      </c>
      <c r="O47" s="68">
        <f>'Baseline Consumption'!O66*parameters!$C95</f>
        <v>12.386791944153574</v>
      </c>
      <c r="P47" s="68">
        <f>'Baseline Consumption'!P66*parameters!$C95</f>
        <v>11.870644704221128</v>
      </c>
      <c r="Q47" s="68">
        <f>'Baseline Consumption'!Q66*parameters!$C95</f>
        <v>11.35449746428864</v>
      </c>
      <c r="R47" s="68">
        <f>'Baseline Consumption'!R66*parameters!$C95</f>
        <v>9.0692795681925542</v>
      </c>
      <c r="S47" s="68">
        <f>'Baseline Consumption'!S66*parameters!$C95</f>
        <v>8.8659510261302898</v>
      </c>
      <c r="T47" s="68">
        <f>'Baseline Consumption'!T66*parameters!$C95</f>
        <v>7.4372659723851147</v>
      </c>
      <c r="U47" s="68">
        <f>'Baseline Consumption'!U66*parameters!$C95</f>
        <v>7.2235561972231013</v>
      </c>
      <c r="V47" s="68">
        <f>'Baseline Consumption'!V66*parameters!$C95</f>
        <v>7.0127298015541903</v>
      </c>
      <c r="W47" s="68">
        <f>'Baseline Consumption'!W66*parameters!$C95</f>
        <v>4.623103326425908</v>
      </c>
      <c r="X47" s="68">
        <f>'Baseline Consumption'!X66*parameters!$C95</f>
        <v>4.5918788026005988</v>
      </c>
      <c r="Y47" s="68">
        <f>'Baseline Consumption'!Y66*parameters!$C95</f>
        <v>4.5708854278222866</v>
      </c>
      <c r="Z47" s="68">
        <f>'Baseline Consumption'!Z66*parameters!$C95</f>
        <v>4.5799342703915675</v>
      </c>
      <c r="AA47" s="68">
        <f>'Baseline Consumption'!AA66*parameters!$C95</f>
        <v>4.624042238280599</v>
      </c>
      <c r="AB47" s="68">
        <f>'Baseline Consumption'!AB66*parameters!$C95</f>
        <v>4.6611824735985881</v>
      </c>
      <c r="AC47" s="68">
        <f>'Baseline Consumption'!AC66*parameters!$C95</f>
        <v>4.7185992837843571</v>
      </c>
      <c r="AD47" s="68">
        <f>'Baseline Consumption'!AD66*parameters!$C95</f>
        <v>4.7776954802622855</v>
      </c>
      <c r="AE47" s="68">
        <f>'Baseline Consumption'!AE66*parameters!$C95</f>
        <v>4.8382287989925459</v>
      </c>
      <c r="AF47" s="68">
        <f>'Baseline Consumption'!AF66*parameters!$C95</f>
        <v>4.9007741820912001</v>
      </c>
      <c r="AG47" s="68">
        <f>'Baseline Consumption'!AG66*parameters!$C95</f>
        <v>4.9545883810270999</v>
      </c>
      <c r="AH47" s="68">
        <f>'Baseline Consumption'!AH66*parameters!$C95</f>
        <v>5.010140444786682</v>
      </c>
      <c r="AI47" s="68">
        <f>'Baseline Consumption'!AI66*parameters!$C95</f>
        <v>5.0645359501835419</v>
      </c>
      <c r="AJ47" s="68">
        <f>'Baseline Consumption'!AJ66*parameters!$C95</f>
        <v>5.1178106433179833</v>
      </c>
      <c r="AK47" s="68">
        <f>'Baseline Consumption'!AK66*parameters!$C95</f>
        <v>5.1699988122245264</v>
      </c>
    </row>
    <row r="48" spans="1:37" s="57" customFormat="1">
      <c r="A48" s="91" t="s">
        <v>422</v>
      </c>
      <c r="B48" s="48"/>
      <c r="C48" s="48"/>
      <c r="D48" s="48"/>
      <c r="E48" s="48"/>
      <c r="F48" s="48"/>
      <c r="G48" s="48"/>
      <c r="H48" s="48"/>
      <c r="I48" s="48"/>
      <c r="J48" s="48"/>
      <c r="K48" s="68">
        <f>'Baseline Consumption'!K67*parameters!$C96</f>
        <v>6.0616091978173054</v>
      </c>
      <c r="L48" s="68">
        <f>'Baseline Consumption'!L67*parameters!$C96</f>
        <v>7.2482775355121278</v>
      </c>
      <c r="M48" s="68">
        <f>'Baseline Consumption'!M67*parameters!$C96</f>
        <v>6.0726321193736466</v>
      </c>
      <c r="N48" s="68">
        <f>'Baseline Consumption'!N67*parameters!$C96</f>
        <v>6.0152885496992017</v>
      </c>
      <c r="O48" s="68">
        <f>'Baseline Consumption'!O67*parameters!$C96</f>
        <v>6.0468845396642807</v>
      </c>
      <c r="P48" s="68">
        <f>'Baseline Consumption'!P67*parameters!$C96</f>
        <v>6.078480529629358</v>
      </c>
      <c r="Q48" s="68">
        <f>'Baseline Consumption'!Q67*parameters!$C96</f>
        <v>6.1100765195944104</v>
      </c>
      <c r="R48" s="68">
        <f>'Baseline Consumption'!R67*parameters!$C96</f>
        <v>7.0831292430011672</v>
      </c>
      <c r="S48" s="68">
        <f>'Baseline Consumption'!S67*parameters!$C96</f>
        <v>7.3160481980779926</v>
      </c>
      <c r="T48" s="68">
        <f>'Baseline Consumption'!T67*parameters!$C96</f>
        <v>7.9845944024042579</v>
      </c>
      <c r="U48" s="68">
        <f>'Baseline Consumption'!U67*parameters!$C96</f>
        <v>8.2212039960633252</v>
      </c>
      <c r="V48" s="68">
        <f>'Baseline Consumption'!V67*parameters!$C96</f>
        <v>8.4567885177003959</v>
      </c>
      <c r="W48" s="68">
        <f>'Baseline Consumption'!W67*parameters!$C96</f>
        <v>9.4669595994365032</v>
      </c>
      <c r="X48" s="68">
        <f>'Baseline Consumption'!X67*parameters!$C96</f>
        <v>9.4780602491604462</v>
      </c>
      <c r="Y48" s="68">
        <f>'Baseline Consumption'!Y67*parameters!$C96</f>
        <v>9.4855236167762769</v>
      </c>
      <c r="Z48" s="68">
        <f>'Baseline Consumption'!Z67*parameters!$C96</f>
        <v>9.4823066571732824</v>
      </c>
      <c r="AA48" s="68">
        <f>'Baseline Consumption'!AA67*parameters!$C96</f>
        <v>9.4666258063039361</v>
      </c>
      <c r="AB48" s="68">
        <f>'Baseline Consumption'!AB67*parameters!$C96</f>
        <v>9.4534220583385107</v>
      </c>
      <c r="AC48" s="68">
        <f>'Baseline Consumption'!AC67*parameters!$C96</f>
        <v>9.4330097727355646</v>
      </c>
      <c r="AD48" s="68">
        <f>'Baseline Consumption'!AD67*parameters!$C96</f>
        <v>9.4120004474760695</v>
      </c>
      <c r="AE48" s="68">
        <f>'Baseline Consumption'!AE67*parameters!$C96</f>
        <v>9.3904802099982536</v>
      </c>
      <c r="AF48" s="68">
        <f>'Baseline Consumption'!AF67*parameters!$C96</f>
        <v>9.3682446622758189</v>
      </c>
      <c r="AG48" s="68">
        <f>'Baseline Consumption'!AG67*parameters!$C96</f>
        <v>9.3491131432203485</v>
      </c>
      <c r="AH48" s="68">
        <f>'Baseline Consumption'!AH67*parameters!$C96</f>
        <v>9.3293637947695185</v>
      </c>
      <c r="AI48" s="68">
        <f>'Baseline Consumption'!AI67*parameters!$C96</f>
        <v>9.3100256150955687</v>
      </c>
      <c r="AJ48" s="68">
        <f>'Baseline Consumption'!AJ67*parameters!$C96</f>
        <v>9.2910858960803324</v>
      </c>
      <c r="AK48" s="68">
        <f>'Baseline Consumption'!AK67*parameters!$C96</f>
        <v>9.2725324479635063</v>
      </c>
    </row>
    <row r="49" spans="1:37" s="57" customFormat="1">
      <c r="A49" s="91" t="s">
        <v>423</v>
      </c>
      <c r="B49" s="48"/>
      <c r="C49" s="48"/>
      <c r="D49" s="48"/>
      <c r="E49" s="48"/>
      <c r="F49" s="48"/>
      <c r="G49" s="48"/>
      <c r="H49" s="48"/>
      <c r="I49" s="48"/>
      <c r="J49" s="48"/>
      <c r="K49" s="68">
        <f>'Baseline Consumption'!K68*parameters!$C97</f>
        <v>0.605538726232564</v>
      </c>
      <c r="L49" s="68">
        <f>'Baseline Consumption'!L68*parameters!$C97</f>
        <v>0.58600000000000008</v>
      </c>
      <c r="M49" s="68">
        <f>'Baseline Consumption'!M68*parameters!$C97</f>
        <v>0.58600000000000008</v>
      </c>
      <c r="N49" s="68">
        <f>'Baseline Consumption'!N68*parameters!$C97</f>
        <v>0.70320000000000005</v>
      </c>
      <c r="O49" s="68">
        <f>'Baseline Consumption'!O68*parameters!$C97</f>
        <v>0.70320000000000005</v>
      </c>
      <c r="P49" s="68">
        <f>'Baseline Consumption'!P68*parameters!$C97</f>
        <v>0.70320000000000016</v>
      </c>
      <c r="Q49" s="68">
        <f>'Baseline Consumption'!Q68*parameters!$C97</f>
        <v>0.70320000000000005</v>
      </c>
      <c r="R49" s="68">
        <f>'Baseline Consumption'!R68*parameters!$C97</f>
        <v>0.70320000000000016</v>
      </c>
      <c r="S49" s="68">
        <f>'Baseline Consumption'!S68*parameters!$C97</f>
        <v>0.70320000000000005</v>
      </c>
      <c r="T49" s="68">
        <f>'Baseline Consumption'!T68*parameters!$C97</f>
        <v>0.70320000000000016</v>
      </c>
      <c r="U49" s="68">
        <f>'Baseline Consumption'!U68*parameters!$C97</f>
        <v>0.70320000000000005</v>
      </c>
      <c r="V49" s="68">
        <f>'Baseline Consumption'!V68*parameters!$C97</f>
        <v>0.70320000000000005</v>
      </c>
      <c r="W49" s="68">
        <f>'Baseline Consumption'!W68*parameters!$C97</f>
        <v>0.70320000000000005</v>
      </c>
      <c r="X49" s="68">
        <f>'Baseline Consumption'!X68*parameters!$C97</f>
        <v>0.70320000000000005</v>
      </c>
      <c r="Y49" s="68">
        <f>'Baseline Consumption'!Y68*parameters!$C97</f>
        <v>0.70320000000000005</v>
      </c>
      <c r="Z49" s="68">
        <f>'Baseline Consumption'!Z68*parameters!$C97</f>
        <v>0.70320000000000005</v>
      </c>
      <c r="AA49" s="68">
        <f>'Baseline Consumption'!AA68*parameters!$C97</f>
        <v>0.70320000000000005</v>
      </c>
      <c r="AB49" s="68">
        <f>'Baseline Consumption'!AB68*parameters!$C97</f>
        <v>0.70320000000000005</v>
      </c>
      <c r="AC49" s="68">
        <f>'Baseline Consumption'!AC68*parameters!$C97</f>
        <v>0.70320000000000005</v>
      </c>
      <c r="AD49" s="68">
        <f>'Baseline Consumption'!AD68*parameters!$C97</f>
        <v>0.70320000000000005</v>
      </c>
      <c r="AE49" s="68">
        <f>'Baseline Consumption'!AE68*parameters!$C97</f>
        <v>0.70320000000000005</v>
      </c>
      <c r="AF49" s="68">
        <f>'Baseline Consumption'!AF68*parameters!$C97</f>
        <v>0.70320000000000005</v>
      </c>
      <c r="AG49" s="68">
        <f>'Baseline Consumption'!AG68*parameters!$C97</f>
        <v>0.70320000000000016</v>
      </c>
      <c r="AH49" s="68">
        <f>'Baseline Consumption'!AH68*parameters!$C97</f>
        <v>0.70320000000000005</v>
      </c>
      <c r="AI49" s="68">
        <f>'Baseline Consumption'!AI68*parameters!$C97</f>
        <v>0.70320000000000005</v>
      </c>
      <c r="AJ49" s="68">
        <f>'Baseline Consumption'!AJ68*parameters!$C97</f>
        <v>0.70320000000000005</v>
      </c>
      <c r="AK49" s="68">
        <f>'Baseline Consumption'!AK68*parameters!$C97</f>
        <v>0.70320000000000005</v>
      </c>
    </row>
    <row r="50" spans="1:37" s="57" customFormat="1">
      <c r="A50" s="91" t="s">
        <v>424</v>
      </c>
      <c r="B50" s="48"/>
      <c r="C50" s="48"/>
      <c r="D50" s="48"/>
      <c r="E50" s="48"/>
      <c r="F50" s="48"/>
      <c r="G50" s="48"/>
      <c r="H50" s="48"/>
      <c r="I50" s="48"/>
      <c r="J50" s="48"/>
      <c r="K50" s="68">
        <f>'Baseline Consumption'!K69*parameters!$C98</f>
        <v>6.4301352364664319E-2</v>
      </c>
      <c r="L50" s="68">
        <f>'Baseline Consumption'!L69*parameters!$C98</f>
        <v>5.2749945939295842E-2</v>
      </c>
      <c r="M50" s="68">
        <f>'Baseline Consumption'!M69*parameters!$C98</f>
        <v>6.9989034745930129E-2</v>
      </c>
      <c r="N50" s="68">
        <f>'Baseline Consumption'!N69*parameters!$C98</f>
        <v>5.3616162904440282E-2</v>
      </c>
      <c r="O50" s="68">
        <f>'Baseline Consumption'!O69*parameters!$C98</f>
        <v>4.9845116060814612E-2</v>
      </c>
      <c r="P50" s="68">
        <f>'Baseline Consumption'!P69*parameters!$C98</f>
        <v>4.6074069217188936E-2</v>
      </c>
      <c r="Q50" s="68">
        <f>'Baseline Consumption'!Q69*parameters!$C98</f>
        <v>4.2303022373563266E-2</v>
      </c>
      <c r="R50" s="68">
        <f>'Baseline Consumption'!R69*parameters!$C98</f>
        <v>3.8531975529937597E-2</v>
      </c>
      <c r="S50" s="68">
        <f>'Baseline Consumption'!S69*parameters!$C98</f>
        <v>3.4760928686311927E-2</v>
      </c>
      <c r="T50" s="68">
        <f>'Baseline Consumption'!T69*parameters!$C98</f>
        <v>3.0989881842686254E-2</v>
      </c>
      <c r="U50" s="68">
        <f>'Baseline Consumption'!U69*parameters!$C98</f>
        <v>2.7218834999059211E-2</v>
      </c>
      <c r="V50" s="68">
        <f>'Baseline Consumption'!V69*parameters!$C98</f>
        <v>2.3447788155433538E-2</v>
      </c>
      <c r="W50" s="68">
        <f>'Baseline Consumption'!W69*parameters!$C98</f>
        <v>1.9676741311807869E-2</v>
      </c>
      <c r="X50" s="68">
        <f>'Baseline Consumption'!X69*parameters!$C98</f>
        <v>1.9676741311807869E-2</v>
      </c>
      <c r="Y50" s="68">
        <f>'Baseline Consumption'!Y69*parameters!$C98</f>
        <v>1.9676741311807869E-2</v>
      </c>
      <c r="Z50" s="68">
        <f>'Baseline Consumption'!Z69*parameters!$C98</f>
        <v>1.9676741311807865E-2</v>
      </c>
      <c r="AA50" s="68">
        <f>'Baseline Consumption'!AA69*parameters!$C98</f>
        <v>1.9676741311807865E-2</v>
      </c>
      <c r="AB50" s="68">
        <f>'Baseline Consumption'!AB69*parameters!$C98</f>
        <v>1.9676741311807869E-2</v>
      </c>
      <c r="AC50" s="68">
        <f>'Baseline Consumption'!AC69*parameters!$C98</f>
        <v>1.9676741311807869E-2</v>
      </c>
      <c r="AD50" s="68">
        <f>'Baseline Consumption'!AD69*parameters!$C98</f>
        <v>1.9676741311807872E-2</v>
      </c>
      <c r="AE50" s="68">
        <f>'Baseline Consumption'!AE69*parameters!$C98</f>
        <v>1.9676741311807869E-2</v>
      </c>
      <c r="AF50" s="68">
        <f>'Baseline Consumption'!AF69*parameters!$C98</f>
        <v>1.9676741311807869E-2</v>
      </c>
      <c r="AG50" s="68">
        <f>'Baseline Consumption'!AG69*parameters!$C98</f>
        <v>1.9676741311807865E-2</v>
      </c>
      <c r="AH50" s="68">
        <f>'Baseline Consumption'!AH69*parameters!$C98</f>
        <v>1.9676741311807869E-2</v>
      </c>
      <c r="AI50" s="68">
        <f>'Baseline Consumption'!AI69*parameters!$C98</f>
        <v>1.9676741311807869E-2</v>
      </c>
      <c r="AJ50" s="68">
        <f>'Baseline Consumption'!AJ69*parameters!$C98</f>
        <v>1.9676741311807872E-2</v>
      </c>
      <c r="AK50" s="68">
        <f>'Baseline Consumption'!AK69*parameters!$C98</f>
        <v>1.9676741311807872E-2</v>
      </c>
    </row>
    <row r="51" spans="1:37" s="57" customFormat="1">
      <c r="A51" s="91" t="s">
        <v>425</v>
      </c>
      <c r="B51" s="48"/>
      <c r="C51" s="48"/>
      <c r="D51" s="48"/>
      <c r="E51" s="48"/>
      <c r="F51" s="48"/>
      <c r="G51" s="48"/>
      <c r="H51" s="48"/>
      <c r="I51" s="48"/>
      <c r="J51" s="48"/>
      <c r="K51" s="68">
        <f>'Baseline Consumption'!K70*parameters!$C99</f>
        <v>5.4533654171305797</v>
      </c>
      <c r="L51" s="68">
        <f>'Baseline Consumption'!L70*parameters!$C99</f>
        <v>4.9362545863285332</v>
      </c>
      <c r="M51" s="68">
        <f>'Baseline Consumption'!M70*parameters!$C99</f>
        <v>5.340691118601594</v>
      </c>
      <c r="N51" s="68">
        <f>'Baseline Consumption'!N70*parameters!$C99</f>
        <v>4.9269081863319624</v>
      </c>
      <c r="O51" s="68">
        <f>'Baseline Consumption'!O70*parameters!$C99</f>
        <v>4.8903522460810613</v>
      </c>
      <c r="P51" s="68">
        <f>'Baseline Consumption'!P70*parameters!$C99</f>
        <v>4.8537963058301603</v>
      </c>
      <c r="Q51" s="68">
        <f>'Baseline Consumption'!Q70*parameters!$C99</f>
        <v>4.8172403655792584</v>
      </c>
      <c r="R51" s="68">
        <f>'Baseline Consumption'!R70*parameters!$C99</f>
        <v>4.7806844253283458</v>
      </c>
      <c r="S51" s="68">
        <f>'Baseline Consumption'!S70*parameters!$C99</f>
        <v>4.7441284850774448</v>
      </c>
      <c r="T51" s="68">
        <f>'Baseline Consumption'!T70*parameters!$C99</f>
        <v>4.7075725448265437</v>
      </c>
      <c r="U51" s="68">
        <f>'Baseline Consumption'!U70*parameters!$C99</f>
        <v>4.6710166045756303</v>
      </c>
      <c r="V51" s="68">
        <f>'Baseline Consumption'!V70*parameters!$C99</f>
        <v>4.6344606643247293</v>
      </c>
      <c r="W51" s="68">
        <f>'Baseline Consumption'!W70*parameters!$C99</f>
        <v>4.5979047240738282</v>
      </c>
      <c r="X51" s="68">
        <f>'Baseline Consumption'!X70*parameters!$C99</f>
        <v>4.5979047240738282</v>
      </c>
      <c r="Y51" s="68">
        <f>'Baseline Consumption'!Y70*parameters!$C99</f>
        <v>4.5979047240738282</v>
      </c>
      <c r="Z51" s="68">
        <f>'Baseline Consumption'!Z70*parameters!$C99</f>
        <v>4.5979047240738282</v>
      </c>
      <c r="AA51" s="68">
        <f>'Baseline Consumption'!AA70*parameters!$C99</f>
        <v>4.5979047240738282</v>
      </c>
      <c r="AB51" s="68">
        <f>'Baseline Consumption'!AB70*parameters!$C99</f>
        <v>4.5979047240738282</v>
      </c>
      <c r="AC51" s="68">
        <f>'Baseline Consumption'!AC70*parameters!$C99</f>
        <v>4.5979047240738282</v>
      </c>
      <c r="AD51" s="68">
        <f>'Baseline Consumption'!AD70*parameters!$C99</f>
        <v>4.5979047240738282</v>
      </c>
      <c r="AE51" s="68">
        <f>'Baseline Consumption'!AE70*parameters!$C99</f>
        <v>4.5979047240738282</v>
      </c>
      <c r="AF51" s="68">
        <f>'Baseline Consumption'!AF70*parameters!$C99</f>
        <v>4.5979047240738282</v>
      </c>
      <c r="AG51" s="68">
        <f>'Baseline Consumption'!AG70*parameters!$C99</f>
        <v>4.5979047240738282</v>
      </c>
      <c r="AH51" s="68">
        <f>'Baseline Consumption'!AH70*parameters!$C99</f>
        <v>4.5979047240738282</v>
      </c>
      <c r="AI51" s="68">
        <f>'Baseline Consumption'!AI70*parameters!$C99</f>
        <v>4.5979047240738282</v>
      </c>
      <c r="AJ51" s="68">
        <f>'Baseline Consumption'!AJ70*parameters!$C99</f>
        <v>4.5979047240738282</v>
      </c>
      <c r="AK51" s="68">
        <f>'Baseline Consumption'!AK70*parameters!$C99</f>
        <v>4.5979047240738282</v>
      </c>
    </row>
    <row r="52" spans="1:37" s="57" customFormat="1">
      <c r="A52" s="91" t="s">
        <v>249</v>
      </c>
      <c r="B52" s="48"/>
      <c r="C52" s="48"/>
      <c r="D52" s="48"/>
      <c r="E52" s="48"/>
      <c r="F52" s="48"/>
      <c r="G52" s="48"/>
      <c r="H52" s="48"/>
      <c r="I52" s="48"/>
      <c r="J52" s="48"/>
      <c r="K52" s="68">
        <f>'Baseline Consumption'!K71*parameters!$C100</f>
        <v>58.758930789997763</v>
      </c>
      <c r="L52" s="68">
        <f>'Baseline Consumption'!L71*parameters!$C100</f>
        <v>56.545468386028226</v>
      </c>
      <c r="M52" s="68">
        <f>'Baseline Consumption'!M71*parameters!$C100</f>
        <v>57.51127883879316</v>
      </c>
      <c r="N52" s="68">
        <f>'Baseline Consumption'!N71*parameters!$C100</f>
        <v>56.780224044826369</v>
      </c>
      <c r="O52" s="68">
        <f>'Baseline Consumption'!O71*parameters!$C100</f>
        <v>56.313265504069186</v>
      </c>
      <c r="P52" s="68">
        <f>'Baseline Consumption'!P71*parameters!$C100</f>
        <v>55.846306963312024</v>
      </c>
      <c r="Q52" s="68">
        <f>'Baseline Consumption'!Q71*parameters!$C100</f>
        <v>55.379348422554884</v>
      </c>
      <c r="R52" s="68">
        <f>'Baseline Consumption'!R71*parameters!$C100</f>
        <v>55.788261409355528</v>
      </c>
      <c r="S52" s="68">
        <f>'Baseline Consumption'!S71*parameters!$C100</f>
        <v>55.626917747007852</v>
      </c>
      <c r="T52" s="68">
        <f>'Baseline Consumption'!T71*parameters!$C100</f>
        <v>55.801215216121108</v>
      </c>
      <c r="U52" s="68">
        <f>'Baseline Consumption'!U71*parameters!$C100</f>
        <v>55.642715108926865</v>
      </c>
      <c r="V52" s="1">
        <f>'Baseline Consumption'!V71*parameters!$C100</f>
        <v>55.483425206480113</v>
      </c>
      <c r="W52" s="68">
        <f>'Baseline Consumption'!W71*parameters!$C100</f>
        <v>55.920937064928715</v>
      </c>
      <c r="X52" s="68">
        <f>'Baseline Consumption'!X71*parameters!$C100</f>
        <v>55.929489869280872</v>
      </c>
      <c r="Y52" s="68">
        <f>'Baseline Consumption'!Y71*parameters!$C100</f>
        <v>55.935240228459278</v>
      </c>
      <c r="Z52" s="68">
        <f>'Baseline Consumption'!Z71*parameters!$C100</f>
        <v>55.932761632451168</v>
      </c>
      <c r="AA52" s="68">
        <f>'Baseline Consumption'!AA71*parameters!$C100</f>
        <v>55.920679884725047</v>
      </c>
      <c r="AB52" s="68">
        <f>'Baseline Consumption'!AB71*parameters!$C100</f>
        <v>55.910506689833596</v>
      </c>
      <c r="AC52" s="68">
        <f>'Baseline Consumption'!AC71*parameters!$C100</f>
        <v>55.894779476608797</v>
      </c>
      <c r="AD52" s="68">
        <f>'Baseline Consumption'!AD71*parameters!$C100</f>
        <v>55.87859225757353</v>
      </c>
      <c r="AE52" s="68">
        <f>'Baseline Consumption'!AE71*parameters!$C100</f>
        <v>55.862011392008299</v>
      </c>
      <c r="AF52" s="68">
        <f>'Baseline Consumption'!AF71*parameters!$C100</f>
        <v>55.844879395768224</v>
      </c>
      <c r="AG52" s="68">
        <f>'Baseline Consumption'!AG71*parameters!$C100</f>
        <v>55.830138984755344</v>
      </c>
      <c r="AH52" s="68">
        <f>'Baseline Consumption'!AH71*parameters!$C100</f>
        <v>55.814922549899464</v>
      </c>
      <c r="AI52" s="68">
        <f>'Baseline Consumption'!AI71*parameters!$C100</f>
        <v>55.800022911464666</v>
      </c>
      <c r="AJ52" s="68">
        <f>'Baseline Consumption'!AJ71*parameters!$C100</f>
        <v>55.785430278127848</v>
      </c>
      <c r="AK52" s="68">
        <f>'Baseline Consumption'!AK71*parameters!$C100</f>
        <v>55.771135257949098</v>
      </c>
    </row>
    <row r="53" spans="1:37" s="57" customFormat="1">
      <c r="A53" s="91" t="s">
        <v>426</v>
      </c>
      <c r="B53" s="48"/>
      <c r="C53" s="48"/>
      <c r="D53" s="48"/>
      <c r="E53" s="48"/>
      <c r="F53" s="48"/>
      <c r="G53" s="48"/>
      <c r="H53" s="48"/>
      <c r="I53" s="48"/>
      <c r="J53" s="48"/>
      <c r="K53" s="68">
        <f>'Baseline Consumption'!K72*parameters!$C101</f>
        <v>0.31978367440049793</v>
      </c>
      <c r="L53" s="68">
        <f>'Baseline Consumption'!L72*parameters!$C101</f>
        <v>0.44402932003052603</v>
      </c>
      <c r="M53" s="68">
        <f>'Baseline Consumption'!M72*parameters!$C101</f>
        <v>0.75481924825976021</v>
      </c>
      <c r="N53" s="68">
        <f>'Baseline Consumption'!N72*parameters!$C101</f>
        <v>0.47240197210961293</v>
      </c>
      <c r="O53" s="68">
        <f>'Baseline Consumption'!O72*parameters!$C101</f>
        <v>0.47448436921986226</v>
      </c>
      <c r="P53" s="68">
        <f>'Baseline Consumption'!P72*parameters!$C101</f>
        <v>0.4765667663301108</v>
      </c>
      <c r="Q53" s="68">
        <f>'Baseline Consumption'!Q72*parameters!$C101</f>
        <v>0.47864916344036007</v>
      </c>
      <c r="R53" s="68">
        <f>'Baseline Consumption'!R72*parameters!$C101</f>
        <v>0.48073156055060867</v>
      </c>
      <c r="S53" s="68">
        <f>'Baseline Consumption'!S72*parameters!$C101</f>
        <v>0.48281395766085794</v>
      </c>
      <c r="T53" s="68">
        <f>'Baseline Consumption'!T72*parameters!$C101</f>
        <v>0.48489635477110654</v>
      </c>
      <c r="U53" s="68">
        <f>'Baseline Consumption'!U72*parameters!$C101</f>
        <v>0.48697875188135581</v>
      </c>
      <c r="V53" s="68">
        <f>'Baseline Consumption'!V72*parameters!$C101</f>
        <v>0.48906114899160441</v>
      </c>
      <c r="W53" s="68">
        <f>'Baseline Consumption'!W72*parameters!$C101</f>
        <v>0.49114354610185368</v>
      </c>
      <c r="X53" s="68">
        <f>'Baseline Consumption'!X72*parameters!$C101</f>
        <v>0.49114354610185368</v>
      </c>
      <c r="Y53" s="68">
        <f>'Baseline Consumption'!Y72*parameters!$C101</f>
        <v>0.49114354610185368</v>
      </c>
      <c r="Z53" s="68">
        <f>'Baseline Consumption'!Z72*parameters!$C101</f>
        <v>0.49114354610185368</v>
      </c>
      <c r="AA53" s="68">
        <f>'Baseline Consumption'!AA72*parameters!$C101</f>
        <v>0.49114354610185368</v>
      </c>
      <c r="AB53" s="68">
        <f>'Baseline Consumption'!AB72*parameters!$C101</f>
        <v>0.49114354610185368</v>
      </c>
      <c r="AC53" s="68">
        <f>'Baseline Consumption'!AC72*parameters!$C101</f>
        <v>0.49114354610185368</v>
      </c>
      <c r="AD53" s="68">
        <f>'Baseline Consumption'!AD72*parameters!$C101</f>
        <v>0.49114354610185368</v>
      </c>
      <c r="AE53" s="68">
        <f>'Baseline Consumption'!AE72*parameters!$C101</f>
        <v>0.49114354610185368</v>
      </c>
      <c r="AF53" s="68">
        <f>'Baseline Consumption'!AF72*parameters!$C101</f>
        <v>0.49114354610185368</v>
      </c>
      <c r="AG53" s="68">
        <f>'Baseline Consumption'!AG72*parameters!$C101</f>
        <v>0.49114354610185368</v>
      </c>
      <c r="AH53" s="68">
        <f>'Baseline Consumption'!AH72*parameters!$C101</f>
        <v>0.49114354610185368</v>
      </c>
      <c r="AI53" s="68">
        <f>'Baseline Consumption'!AI72*parameters!$C101</f>
        <v>0.49114354610185368</v>
      </c>
      <c r="AJ53" s="68">
        <f>'Baseline Consumption'!AJ72*parameters!$C101</f>
        <v>0.49114354610185368</v>
      </c>
      <c r="AK53" s="68">
        <f>'Baseline Consumption'!AK72*parameters!$C101</f>
        <v>0.49114354610185368</v>
      </c>
    </row>
    <row r="54" spans="1:37" s="57" customFormat="1">
      <c r="A54" s="91" t="s">
        <v>427</v>
      </c>
      <c r="B54" s="48"/>
      <c r="C54" s="48"/>
      <c r="D54" s="48"/>
      <c r="E54" s="48"/>
      <c r="F54" s="48"/>
      <c r="G54" s="48"/>
      <c r="H54" s="48"/>
      <c r="I54" s="48"/>
      <c r="J54" s="48"/>
      <c r="K54" s="68">
        <f>'Baseline Consumption'!K73*parameters!$C102</f>
        <v>1.7485035119774946E-2</v>
      </c>
      <c r="L54" s="68">
        <f>'Baseline Consumption'!L73*parameters!$C102</f>
        <v>1.6317744765067563E-2</v>
      </c>
      <c r="M54" s="68">
        <f>'Baseline Consumption'!M73*parameters!$C102</f>
        <v>0</v>
      </c>
      <c r="N54" s="68">
        <f>'Baseline Consumption'!N73*parameters!$C102</f>
        <v>1.0874496452782399E-2</v>
      </c>
      <c r="O54" s="68">
        <f>'Baseline Consumption'!O73*parameters!$C102</f>
        <v>1.0133061929792752E-2</v>
      </c>
      <c r="P54" s="68">
        <f>'Baseline Consumption'!P73*parameters!$C102</f>
        <v>9.3916274068031047E-3</v>
      </c>
      <c r="Q54" s="68">
        <f>'Baseline Consumption'!Q73*parameters!$C102</f>
        <v>8.6501928838134557E-3</v>
      </c>
      <c r="R54" s="68">
        <f>'Baseline Consumption'!R73*parameters!$C102</f>
        <v>7.9087583608234979E-3</v>
      </c>
      <c r="S54" s="68">
        <f>'Baseline Consumption'!S73*parameters!$C102</f>
        <v>7.1673238378338498E-3</v>
      </c>
      <c r="T54" s="68">
        <f>'Baseline Consumption'!T73*parameters!$C102</f>
        <v>6.4258893148442017E-3</v>
      </c>
      <c r="U54" s="68">
        <f>'Baseline Consumption'!U73*parameters!$C102</f>
        <v>5.6844547918545535E-3</v>
      </c>
      <c r="V54" s="68">
        <f>'Baseline Consumption'!V73*parameters!$C102</f>
        <v>4.9430202688649054E-3</v>
      </c>
      <c r="W54" s="68">
        <f>'Baseline Consumption'!W73*parameters!$C102</f>
        <v>4.2015857458752581E-3</v>
      </c>
      <c r="X54" s="68">
        <f>'Baseline Consumption'!X73*parameters!$C102</f>
        <v>4.2015857458752581E-3</v>
      </c>
      <c r="Y54" s="68">
        <f>'Baseline Consumption'!Y73*parameters!$C102</f>
        <v>4.2015857458752581E-3</v>
      </c>
      <c r="Z54" s="68">
        <f>'Baseline Consumption'!Z73*parameters!$C102</f>
        <v>4.2015857458752581E-3</v>
      </c>
      <c r="AA54" s="68">
        <f>'Baseline Consumption'!AA73*parameters!$C102</f>
        <v>4.2015857458752581E-3</v>
      </c>
      <c r="AB54" s="68">
        <f>'Baseline Consumption'!AB73*parameters!$C102</f>
        <v>4.2015857458752581E-3</v>
      </c>
      <c r="AC54" s="68">
        <f>'Baseline Consumption'!AC73*parameters!$C102</f>
        <v>4.2015857458752581E-3</v>
      </c>
      <c r="AD54" s="68">
        <f>'Baseline Consumption'!AD73*parameters!$C102</f>
        <v>4.2015857458752581E-3</v>
      </c>
      <c r="AE54" s="68">
        <f>'Baseline Consumption'!AE73*parameters!$C102</f>
        <v>4.2015857458752581E-3</v>
      </c>
      <c r="AF54" s="68">
        <f>'Baseline Consumption'!AF73*parameters!$C102</f>
        <v>4.2015857458752581E-3</v>
      </c>
      <c r="AG54" s="68">
        <f>'Baseline Consumption'!AG73*parameters!$C102</f>
        <v>4.2015857458752581E-3</v>
      </c>
      <c r="AH54" s="68">
        <f>'Baseline Consumption'!AH73*parameters!$C102</f>
        <v>4.2015857458752581E-3</v>
      </c>
      <c r="AI54" s="68">
        <f>'Baseline Consumption'!AI73*parameters!$C102</f>
        <v>4.2015857458752581E-3</v>
      </c>
      <c r="AJ54" s="68">
        <f>'Baseline Consumption'!AJ73*parameters!$C102</f>
        <v>4.2015857458752581E-3</v>
      </c>
      <c r="AK54" s="68">
        <f>'Baseline Consumption'!AK73*parameters!$C102</f>
        <v>4.2015857458752581E-3</v>
      </c>
    </row>
    <row r="55" spans="1:37" s="57" customFormat="1">
      <c r="A55" s="91" t="s">
        <v>428</v>
      </c>
      <c r="B55" s="48"/>
      <c r="C55" s="48"/>
      <c r="D55" s="48"/>
      <c r="E55" s="48"/>
      <c r="F55" s="48"/>
      <c r="G55" s="48"/>
      <c r="H55" s="48"/>
      <c r="I55" s="48"/>
      <c r="J55" s="48"/>
      <c r="K55" s="68">
        <f>'Baseline Consumption'!K74*parameters!$C103</f>
        <v>1.3494292639386134</v>
      </c>
      <c r="L55" s="68">
        <f>'Baseline Consumption'!L74*parameters!$C103</f>
        <v>1.2819000256210207</v>
      </c>
      <c r="M55" s="68">
        <f>'Baseline Consumption'!M74*parameters!$C103</f>
        <v>2.3361077192420185</v>
      </c>
      <c r="N55" s="68">
        <f>'Baseline Consumption'!N74*parameters!$C103</f>
        <v>3.9060000000000001</v>
      </c>
      <c r="O55" s="68">
        <f>'Baseline Consumption'!O74*parameters!$C103</f>
        <v>4.4639999999999995</v>
      </c>
      <c r="P55" s="68">
        <f>'Baseline Consumption'!P74*parameters!$C103</f>
        <v>5.0219999999999994</v>
      </c>
      <c r="Q55" s="68">
        <f>'Baseline Consumption'!Q74*parameters!$C103</f>
        <v>5.58</v>
      </c>
      <c r="R55" s="68">
        <f>'Baseline Consumption'!R74*parameters!$C103</f>
        <v>5.6392060377219053</v>
      </c>
      <c r="S55" s="68">
        <f>'Baseline Consumption'!S74*parameters!$C103</f>
        <v>5.6396813242026154</v>
      </c>
      <c r="T55" s="68">
        <f>'Baseline Consumption'!T74*parameters!$C103</f>
        <v>5.6747243019633586</v>
      </c>
      <c r="U55" s="68">
        <f>'Baseline Consumption'!U74*parameters!$C103</f>
        <v>5.6754924462837861</v>
      </c>
      <c r="V55" s="68">
        <f>'Baseline Consumption'!V74*parameters!$C103</f>
        <v>5.6761792495649273</v>
      </c>
      <c r="W55" s="68">
        <f>'Baseline Consumption'!W74*parameters!$C103</f>
        <v>5.7383306860279841</v>
      </c>
      <c r="X55" s="68">
        <f>'Baseline Consumption'!X74*parameters!$C103</f>
        <v>5.7392115396323575</v>
      </c>
      <c r="Y55" s="68">
        <f>'Baseline Consumption'!Y74*parameters!$C103</f>
        <v>5.7398037693151833</v>
      </c>
      <c r="Z55" s="68">
        <f>'Baseline Consumption'!Z74*parameters!$C103</f>
        <v>5.7395484986299641</v>
      </c>
      <c r="AA55" s="68">
        <f>'Baseline Consumption'!AA74*parameters!$C103</f>
        <v>5.7383041990302628</v>
      </c>
      <c r="AB55" s="68">
        <f>'Baseline Consumption'!AB74*parameters!$C103</f>
        <v>5.7372564613504116</v>
      </c>
      <c r="AC55" s="68">
        <f>'Baseline Consumption'!AC74*parameters!$C103</f>
        <v>5.7356367151378924</v>
      </c>
      <c r="AD55" s="68">
        <f>'Baseline Consumption'!AD74*parameters!$C103</f>
        <v>5.7339695929116683</v>
      </c>
      <c r="AE55" s="68">
        <f>'Baseline Consumption'!AE74*parameters!$C103</f>
        <v>5.7322619290162447</v>
      </c>
      <c r="AF55" s="68">
        <f>'Baseline Consumption'!AF74*parameters!$C103</f>
        <v>5.7304975041543109</v>
      </c>
      <c r="AG55" s="68">
        <f>'Baseline Consumption'!AG74*parameters!$C103</f>
        <v>5.7289793887343805</v>
      </c>
      <c r="AH55" s="68">
        <f>'Baseline Consumption'!AH74*parameters!$C103</f>
        <v>5.727412247603044</v>
      </c>
      <c r="AI55" s="68">
        <f>'Baseline Consumption'!AI74*parameters!$C103</f>
        <v>5.725877733345639</v>
      </c>
      <c r="AJ55" s="68">
        <f>'Baseline Consumption'!AJ74*parameters!$C103</f>
        <v>5.7243748375534746</v>
      </c>
      <c r="AK55" s="68">
        <f>'Baseline Consumption'!AK74*parameters!$C103</f>
        <v>5.7229025929503479</v>
      </c>
    </row>
    <row r="56" spans="1:37" s="57" customFormat="1">
      <c r="A56" s="91" t="s">
        <v>255</v>
      </c>
      <c r="B56" s="48"/>
      <c r="C56" s="48"/>
      <c r="D56" s="48"/>
      <c r="E56" s="48"/>
      <c r="F56" s="48"/>
      <c r="G56" s="48"/>
      <c r="H56" s="48"/>
      <c r="I56" s="48"/>
      <c r="J56" s="48"/>
      <c r="K56" s="68">
        <f>'Baseline Consumption'!K75*parameters!$C104</f>
        <v>5.3141390756421278E-3</v>
      </c>
      <c r="L56" s="68">
        <f>'Baseline Consumption'!L75*parameters!$C104</f>
        <v>7.3489711947109359E-3</v>
      </c>
      <c r="M56" s="68">
        <f>'Baseline Consumption'!M75*parameters!$C104</f>
        <v>2.9420130918460267E-3</v>
      </c>
      <c r="N56" s="68">
        <f>'Baseline Consumption'!N75*parameters!$C104</f>
        <v>5.4747824524374036E-3</v>
      </c>
      <c r="O56" s="68">
        <f>'Baseline Consumption'!O75*parameters!$C104</f>
        <v>6.1402048050501305E-3</v>
      </c>
      <c r="P56" s="68">
        <f>'Baseline Consumption'!P75*parameters!$C104</f>
        <v>6.8056271576628575E-3</v>
      </c>
      <c r="Q56" s="68">
        <f>'Baseline Consumption'!Q75*parameters!$C104</f>
        <v>7.4710495102758394E-3</v>
      </c>
      <c r="R56" s="68">
        <f>'Baseline Consumption'!R75*parameters!$C104</f>
        <v>8.6335127420315724E-2</v>
      </c>
      <c r="S56" s="68">
        <f>'Baseline Consumption'!S75*parameters!$C104</f>
        <v>8.7628302705335656E-2</v>
      </c>
      <c r="T56" s="68">
        <f>'Baseline Consumption'!T75*parameters!$C104</f>
        <v>0.13457808815771122</v>
      </c>
      <c r="U56" s="68">
        <f>'Baseline Consumption'!U75*parameters!$C104</f>
        <v>0.13625806671848897</v>
      </c>
      <c r="V56" s="68">
        <f>'Baseline Consumption'!V75*parameters!$C104</f>
        <v>0.13783061096751736</v>
      </c>
      <c r="W56" s="68">
        <f>'Baseline Consumption'!W75*parameters!$C104</f>
        <v>0.22058493775251853</v>
      </c>
      <c r="X56" s="68">
        <f>'Baseline Consumption'!X75*parameters!$C104</f>
        <v>0.22174835909019569</v>
      </c>
      <c r="Y56" s="68">
        <f>'Baseline Consumption'!Y75*parameters!$C104</f>
        <v>0.22253056926267378</v>
      </c>
      <c r="Z56" s="68">
        <f>'Baseline Consumption'!Z75*parameters!$C104</f>
        <v>0.22219341066947054</v>
      </c>
      <c r="AA56" s="68">
        <f>'Baseline Consumption'!AA75*parameters!$C104</f>
        <v>0.22054995402972252</v>
      </c>
      <c r="AB56" s="68">
        <f>'Baseline Consumption'!AB75*parameters!$C104</f>
        <v>0.21916611411923925</v>
      </c>
      <c r="AC56" s="68">
        <f>'Baseline Consumption'!AC75*parameters!$C104</f>
        <v>0.21702677189947633</v>
      </c>
      <c r="AD56" s="68">
        <f>'Baseline Consumption'!AD75*parameters!$C104</f>
        <v>0.21482485598419659</v>
      </c>
      <c r="AE56" s="68">
        <f>'Baseline Consumption'!AE75*parameters!$C104</f>
        <v>0.21256939309722983</v>
      </c>
      <c r="AF56" s="68">
        <f>'Baseline Consumption'!AF75*parameters!$C104</f>
        <v>0.21023896097671876</v>
      </c>
      <c r="AG56" s="68">
        <f>'Baseline Consumption'!AG75*parameters!$C104</f>
        <v>0.20823385154215066</v>
      </c>
      <c r="AH56" s="68">
        <f>'Baseline Consumption'!AH75*parameters!$C104</f>
        <v>0.20616398951025922</v>
      </c>
      <c r="AI56" s="68">
        <f>'Baseline Consumption'!AI75*parameters!$C104</f>
        <v>0.20413722067924378</v>
      </c>
      <c r="AJ56" s="68">
        <f>'Baseline Consumption'!AJ75*parameters!$C104</f>
        <v>0.20215221315446708</v>
      </c>
      <c r="AK56" s="68">
        <f>'Baseline Consumption'!AK75*parameters!$C104</f>
        <v>0.20020768936861658</v>
      </c>
    </row>
    <row r="57" spans="1:37" s="57" customFormat="1">
      <c r="A57" s="91" t="s">
        <v>374</v>
      </c>
      <c r="B57" s="48"/>
      <c r="C57" s="48"/>
      <c r="D57" s="48"/>
      <c r="E57" s="48"/>
      <c r="F57" s="48"/>
      <c r="G57" s="48"/>
      <c r="H57" s="48"/>
      <c r="I57" s="48"/>
      <c r="J57" s="48"/>
      <c r="K57" s="68">
        <f>'Baseline Consumption'!K76*parameters!$C105</f>
        <v>6.66754135601791E-2</v>
      </c>
      <c r="L57" s="68">
        <f>'Baseline Consumption'!L76*parameters!$C105</f>
        <v>8.8330590396783218E-2</v>
      </c>
      <c r="M57" s="68">
        <f>'Baseline Consumption'!M76*parameters!$C105</f>
        <v>9.929003827696288E-2</v>
      </c>
      <c r="N57" s="68">
        <f>'Baseline Consumption'!N76*parameters!$C105</f>
        <v>9.4823585004695468E-2</v>
      </c>
      <c r="O57" s="68">
        <f>'Baseline Consumption'!O76*parameters!$C105</f>
        <v>0.10388747904418454</v>
      </c>
      <c r="P57" s="68">
        <f>'Baseline Consumption'!P76*parameters!$C105</f>
        <v>0.11295137308367359</v>
      </c>
      <c r="Q57" s="68">
        <f>'Baseline Consumption'!Q76*parameters!$C105</f>
        <v>0.12201526712316266</v>
      </c>
      <c r="R57" s="68">
        <f>'Baseline Consumption'!R76*parameters!$C105</f>
        <v>0.13107916116265173</v>
      </c>
      <c r="S57" s="68">
        <f>'Baseline Consumption'!S76*parameters!$C105</f>
        <v>0.14014305520214079</v>
      </c>
      <c r="T57" s="68">
        <f>'Baseline Consumption'!T76*parameters!$C105</f>
        <v>0.14920694924162983</v>
      </c>
      <c r="U57" s="68">
        <f>'Baseline Consumption'!U76*parameters!$C105</f>
        <v>0.1582708432811189</v>
      </c>
      <c r="V57" s="68">
        <f>'Baseline Consumption'!V76*parameters!$C105</f>
        <v>0.16733473732060797</v>
      </c>
      <c r="W57" s="68">
        <f>'Baseline Consumption'!W76*parameters!$C105</f>
        <v>0.17639863136009704</v>
      </c>
      <c r="X57" s="68">
        <f>'Baseline Consumption'!X76*parameters!$C105</f>
        <v>0.17639863136009704</v>
      </c>
      <c r="Y57" s="68">
        <f>'Baseline Consumption'!Y76*parameters!$C105</f>
        <v>0.17639863136009704</v>
      </c>
      <c r="Z57" s="68">
        <f>'Baseline Consumption'!Z76*parameters!$C105</f>
        <v>0.17639863136009704</v>
      </c>
      <c r="AA57" s="68">
        <f>'Baseline Consumption'!AA76*parameters!$C105</f>
        <v>0.17639863136009704</v>
      </c>
      <c r="AB57" s="68">
        <f>'Baseline Consumption'!AB76*parameters!$C105</f>
        <v>0.17639863136009704</v>
      </c>
      <c r="AC57" s="68">
        <f>'Baseline Consumption'!AC76*parameters!$C105</f>
        <v>0.17639863136009704</v>
      </c>
      <c r="AD57" s="68">
        <f>'Baseline Consumption'!AD76*parameters!$C105</f>
        <v>0.17639863136009704</v>
      </c>
      <c r="AE57" s="68">
        <f>'Baseline Consumption'!AE76*parameters!$C105</f>
        <v>0.17639863136009704</v>
      </c>
      <c r="AF57" s="68">
        <f>'Baseline Consumption'!AF76*parameters!$C105</f>
        <v>0.17639863136009704</v>
      </c>
      <c r="AG57" s="68">
        <f>'Baseline Consumption'!AG76*parameters!$C105</f>
        <v>0.17639863136009704</v>
      </c>
      <c r="AH57" s="68">
        <f>'Baseline Consumption'!AH76*parameters!$C105</f>
        <v>0.17639863136009704</v>
      </c>
      <c r="AI57" s="68">
        <f>'Baseline Consumption'!AI76*parameters!$C105</f>
        <v>0.17639863136009704</v>
      </c>
      <c r="AJ57" s="68">
        <f>'Baseline Consumption'!AJ76*parameters!$C105</f>
        <v>0.17639863136009701</v>
      </c>
      <c r="AK57" s="68">
        <f>'Baseline Consumption'!AK76*parameters!$C105</f>
        <v>0.17639863136009701</v>
      </c>
    </row>
    <row r="58" spans="1:37" s="57" customFormat="1">
      <c r="A58" s="91" t="s">
        <v>373</v>
      </c>
      <c r="B58" s="48"/>
      <c r="C58" s="48"/>
      <c r="D58" s="48"/>
      <c r="E58" s="48"/>
      <c r="F58" s="48"/>
      <c r="G58" s="48"/>
      <c r="H58" s="48"/>
      <c r="I58" s="48"/>
      <c r="J58" s="48"/>
      <c r="K58" s="68">
        <f>'Baseline Consumption'!K77*parameters!$C106</f>
        <v>0.21977584590101107</v>
      </c>
      <c r="L58" s="68">
        <f>'Baseline Consumption'!L77*parameters!$C106</f>
        <v>0.12397715387112629</v>
      </c>
      <c r="M58" s="68">
        <f>'Baseline Consumption'!M77*parameters!$C106</f>
        <v>0.12518931226311597</v>
      </c>
      <c r="N58" s="68">
        <f>'Baseline Consumption'!N77*parameters!$C106</f>
        <v>0.27536181667760901</v>
      </c>
      <c r="O58" s="68">
        <f>'Baseline Consumption'!O77*parameters!$C106</f>
        <v>0.27536181667760901</v>
      </c>
      <c r="P58" s="68">
        <f>'Baseline Consumption'!P77*parameters!$C106</f>
        <v>0.27536181667760901</v>
      </c>
      <c r="Q58" s="68">
        <f>'Baseline Consumption'!Q77*parameters!$C106</f>
        <v>0.27536181667760901</v>
      </c>
      <c r="R58" s="68">
        <f>'Baseline Consumption'!R77*parameters!$C106</f>
        <v>0.27536181667760901</v>
      </c>
      <c r="S58" s="68">
        <f>'Baseline Consumption'!S77*parameters!$C106</f>
        <v>0.27536181667760901</v>
      </c>
      <c r="T58" s="68">
        <f>'Baseline Consumption'!T77*parameters!$C106</f>
        <v>0.27536181667760901</v>
      </c>
      <c r="U58" s="68">
        <f>'Baseline Consumption'!U77*parameters!$C106</f>
        <v>0.27536181667760901</v>
      </c>
      <c r="V58" s="68">
        <f>'Baseline Consumption'!V77*parameters!$C106</f>
        <v>0.27536181667760901</v>
      </c>
      <c r="W58" s="68">
        <f>'Baseline Consumption'!W77*parameters!$C106</f>
        <v>0.27536181667760901</v>
      </c>
      <c r="X58" s="68">
        <f>'Baseline Consumption'!X77*parameters!$C106</f>
        <v>0.27536181667760901</v>
      </c>
      <c r="Y58" s="68">
        <f>'Baseline Consumption'!Y77*parameters!$C106</f>
        <v>0.27536181667760901</v>
      </c>
      <c r="Z58" s="68">
        <f>'Baseline Consumption'!Z77*parameters!$C106</f>
        <v>0.27536181667760901</v>
      </c>
      <c r="AA58" s="68">
        <f>'Baseline Consumption'!AA77*parameters!$C106</f>
        <v>0.27536181667760901</v>
      </c>
      <c r="AB58" s="68">
        <f>'Baseline Consumption'!AB77*parameters!$C106</f>
        <v>0.27536181667760901</v>
      </c>
      <c r="AC58" s="68">
        <f>'Baseline Consumption'!AC77*parameters!$C106</f>
        <v>0.27536181667760901</v>
      </c>
      <c r="AD58" s="68">
        <f>'Baseline Consumption'!AD77*parameters!$C106</f>
        <v>0.27536181667760901</v>
      </c>
      <c r="AE58" s="68">
        <f>'Baseline Consumption'!AE77*parameters!$C106</f>
        <v>0.27536181667760901</v>
      </c>
      <c r="AF58" s="68">
        <f>'Baseline Consumption'!AF77*parameters!$C106</f>
        <v>0.27536181667760901</v>
      </c>
      <c r="AG58" s="68">
        <f>'Baseline Consumption'!AG77*parameters!$C106</f>
        <v>0.27536181667760901</v>
      </c>
      <c r="AH58" s="68">
        <f>'Baseline Consumption'!AH77*parameters!$C106</f>
        <v>0.27536181667760901</v>
      </c>
      <c r="AI58" s="68">
        <f>'Baseline Consumption'!AI77*parameters!$C106</f>
        <v>0.27536181667760901</v>
      </c>
      <c r="AJ58" s="68">
        <f>'Baseline Consumption'!AJ77*parameters!$C106</f>
        <v>0.27536181667760901</v>
      </c>
      <c r="AK58" s="68">
        <f>'Baseline Consumption'!AK77*parameters!$C106</f>
        <v>0.27536181667760901</v>
      </c>
    </row>
    <row r="59" spans="1:37" s="57" customFormat="1">
      <c r="A59" s="91" t="s">
        <v>375</v>
      </c>
      <c r="B59" s="48"/>
      <c r="C59" s="48"/>
      <c r="D59" s="48"/>
      <c r="E59" s="48"/>
      <c r="F59" s="48"/>
      <c r="G59" s="48"/>
      <c r="H59" s="48"/>
      <c r="I59" s="48"/>
      <c r="J59" s="48"/>
      <c r="K59" s="68">
        <f>'Baseline Consumption'!K78*parameters!$C107</f>
        <v>6.46138400843706E-2</v>
      </c>
      <c r="L59" s="68">
        <f>'Baseline Consumption'!L78*parameters!$C107</f>
        <v>5.6075651540036874E-2</v>
      </c>
      <c r="M59" s="68">
        <f>'Baseline Consumption'!M78*parameters!$C107</f>
        <v>5.439055432564488E-2</v>
      </c>
      <c r="N59" s="68">
        <f>'Baseline Consumption'!N78*parameters!$C107</f>
        <v>6.5624659151284792E-2</v>
      </c>
      <c r="O59" s="68">
        <f>'Baseline Consumption'!O78*parameters!$C107</f>
        <v>7.0521207485766638E-2</v>
      </c>
      <c r="P59" s="68">
        <f>'Baseline Consumption'!P78*parameters!$C107</f>
        <v>7.5417755820249857E-2</v>
      </c>
      <c r="Q59" s="68">
        <f>'Baseline Consumption'!Q78*parameters!$C107</f>
        <v>8.0314304154731689E-2</v>
      </c>
      <c r="R59" s="68">
        <f>'Baseline Consumption'!R78*parameters!$C107</f>
        <v>8.5210852489214908E-2</v>
      </c>
      <c r="S59" s="68">
        <f>'Baseline Consumption'!S78*parameters!$C107</f>
        <v>9.0107400823696754E-2</v>
      </c>
      <c r="T59" s="68">
        <f>'Baseline Consumption'!T78*parameters!$C107</f>
        <v>9.5003949158179973E-2</v>
      </c>
      <c r="U59" s="68">
        <f>'Baseline Consumption'!U78*parameters!$C107</f>
        <v>9.9900497492661819E-2</v>
      </c>
      <c r="V59" s="68">
        <f>'Baseline Consumption'!V78*parameters!$C107</f>
        <v>0.10479704582714502</v>
      </c>
      <c r="W59" s="68">
        <f>'Baseline Consumption'!W78*parameters!$C107</f>
        <v>0.10969359416162687</v>
      </c>
      <c r="X59" s="68">
        <f>'Baseline Consumption'!X78*parameters!$C107</f>
        <v>0.10969359416162687</v>
      </c>
      <c r="Y59" s="68">
        <f>'Baseline Consumption'!Y78*parameters!$C107</f>
        <v>0.10969359416162687</v>
      </c>
      <c r="Z59" s="68">
        <f>'Baseline Consumption'!Z78*parameters!$C107</f>
        <v>0.10969359416162687</v>
      </c>
      <c r="AA59" s="68">
        <f>'Baseline Consumption'!AA78*parameters!$C107</f>
        <v>0.10969359416162687</v>
      </c>
      <c r="AB59" s="68">
        <f>'Baseline Consumption'!AB78*parameters!$C107</f>
        <v>0.10969359416162687</v>
      </c>
      <c r="AC59" s="68">
        <f>'Baseline Consumption'!AC78*parameters!$C107</f>
        <v>0.10969359416162687</v>
      </c>
      <c r="AD59" s="68">
        <f>'Baseline Consumption'!AD78*parameters!$C107</f>
        <v>0.10969359416162687</v>
      </c>
      <c r="AE59" s="68">
        <f>'Baseline Consumption'!AE78*parameters!$C107</f>
        <v>0.10969359416162687</v>
      </c>
      <c r="AF59" s="68">
        <f>'Baseline Consumption'!AF78*parameters!$C107</f>
        <v>0.10969359416162687</v>
      </c>
      <c r="AG59" s="68">
        <f>'Baseline Consumption'!AG78*parameters!$C107</f>
        <v>0.10969359416162687</v>
      </c>
      <c r="AH59" s="68">
        <f>'Baseline Consumption'!AH78*parameters!$C107</f>
        <v>0.10969359416162687</v>
      </c>
      <c r="AI59" s="68">
        <f>'Baseline Consumption'!AI78*parameters!$C107</f>
        <v>0.10969359416162687</v>
      </c>
      <c r="AJ59" s="68">
        <f>'Baseline Consumption'!AJ78*parameters!$C107</f>
        <v>0.10969359416162687</v>
      </c>
      <c r="AK59" s="68">
        <f>'Baseline Consumption'!AK78*parameters!$C107</f>
        <v>0.10969359416162687</v>
      </c>
    </row>
    <row r="60" spans="1:37" s="57" customFormat="1">
      <c r="A60" s="77" t="s">
        <v>436</v>
      </c>
      <c r="B60" s="48"/>
      <c r="C60" s="48"/>
      <c r="D60" s="48"/>
      <c r="E60" s="48"/>
      <c r="F60" s="48"/>
      <c r="G60" s="48"/>
      <c r="H60" s="48"/>
      <c r="I60" s="48"/>
      <c r="J60" s="48"/>
      <c r="K60" s="68">
        <f t="shared" ref="K60:AK60" si="0">SUM(K47:K59)</f>
        <v>88.101034764481412</v>
      </c>
      <c r="L60" s="68">
        <f t="shared" si="0"/>
        <v>87.499037860427293</v>
      </c>
      <c r="M60" s="68">
        <f t="shared" si="0"/>
        <v>87.428581857404325</v>
      </c>
      <c r="N60" s="68">
        <f t="shared" si="0"/>
        <v>86.212737439696411</v>
      </c>
      <c r="O60" s="68">
        <f t="shared" si="0"/>
        <v>85.794867489191176</v>
      </c>
      <c r="P60" s="68">
        <f t="shared" si="0"/>
        <v>85.376997538685956</v>
      </c>
      <c r="Q60" s="68">
        <f t="shared" si="0"/>
        <v>84.959127588180706</v>
      </c>
      <c r="R60" s="68">
        <f t="shared" si="0"/>
        <v>84.168919935790655</v>
      </c>
      <c r="S60" s="68">
        <f t="shared" si="0"/>
        <v>84.013909566089964</v>
      </c>
      <c r="T60" s="68">
        <f t="shared" si="0"/>
        <v>83.485035366864139</v>
      </c>
      <c r="U60" s="68">
        <f t="shared" si="0"/>
        <v>83.326857618914829</v>
      </c>
      <c r="V60" s="68">
        <f t="shared" si="0"/>
        <v>83.169559607833122</v>
      </c>
      <c r="W60" s="68">
        <f t="shared" si="0"/>
        <v>82.347496254004326</v>
      </c>
      <c r="X60" s="68">
        <f t="shared" si="0"/>
        <v>82.337969459197168</v>
      </c>
      <c r="Y60" s="68">
        <f t="shared" si="0"/>
        <v>82.3315642510684</v>
      </c>
      <c r="Z60" s="68">
        <f t="shared" si="0"/>
        <v>82.334325108748146</v>
      </c>
      <c r="AA60" s="68">
        <f t="shared" si="0"/>
        <v>82.347782721802261</v>
      </c>
      <c r="AB60" s="68">
        <f t="shared" si="0"/>
        <v>82.359114436673025</v>
      </c>
      <c r="AC60" s="68">
        <f t="shared" si="0"/>
        <v>82.376632659598769</v>
      </c>
      <c r="AD60" s="68">
        <f t="shared" si="0"/>
        <v>82.394663273640433</v>
      </c>
      <c r="AE60" s="68">
        <f t="shared" si="0"/>
        <v>82.413132362545255</v>
      </c>
      <c r="AF60" s="68">
        <f t="shared" si="0"/>
        <v>82.432215344698974</v>
      </c>
      <c r="AG60" s="68">
        <f t="shared" si="0"/>
        <v>82.448634388712023</v>
      </c>
      <c r="AH60" s="68">
        <f t="shared" si="0"/>
        <v>82.465583666001663</v>
      </c>
      <c r="AI60" s="68">
        <f t="shared" si="0"/>
        <v>82.482180070201352</v>
      </c>
      <c r="AJ60" s="68">
        <f t="shared" si="0"/>
        <v>82.498434507666786</v>
      </c>
      <c r="AK60" s="68">
        <f t="shared" si="0"/>
        <v>82.514357439888784</v>
      </c>
    </row>
    <row r="61" spans="1:37">
      <c r="A61" s="5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row>
    <row r="62" spans="1:37">
      <c r="A62" s="439" t="s">
        <v>1152</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row>
    <row r="63" spans="1:37">
      <c r="A63" s="91" t="s">
        <v>372</v>
      </c>
      <c r="B63" s="67"/>
      <c r="C63" s="67"/>
      <c r="D63" s="67"/>
      <c r="E63" s="67"/>
      <c r="F63" s="67"/>
      <c r="G63" s="67"/>
      <c r="H63" s="67"/>
      <c r="I63" s="67"/>
      <c r="J63" s="67"/>
      <c r="K63" s="68"/>
      <c r="L63" s="68">
        <f>parameters!$C95+'Adjusted price'!L41-'Baseline Price'!L50</f>
        <v>98.9</v>
      </c>
      <c r="M63" s="68">
        <f>parameters!$C95+'Adjusted price'!M41-'Baseline Price'!M50</f>
        <v>98.9</v>
      </c>
      <c r="N63" s="68">
        <f>parameters!$C95+'Adjusted price'!N41-'Baseline Price'!N50</f>
        <v>98.9</v>
      </c>
      <c r="O63" s="68">
        <f>parameters!$C95+'Adjusted price'!O41-'Baseline Price'!O50</f>
        <v>98.9</v>
      </c>
      <c r="P63" s="68">
        <f>parameters!$C95+'Adjusted price'!P41-'Baseline Price'!P50</f>
        <v>98.9</v>
      </c>
      <c r="Q63" s="68">
        <f>parameters!$C95+'Adjusted price'!Q41-'Baseline Price'!Q50</f>
        <v>112.76681031987712</v>
      </c>
      <c r="R63" s="68">
        <f>parameters!$C95+'Adjusted price'!R41-'Baseline Price'!R50</f>
        <v>114.5459271894704</v>
      </c>
      <c r="S63" s="68">
        <f>parameters!$C95+'Adjusted price'!S41-'Baseline Price'!S50</f>
        <v>116.25583219421665</v>
      </c>
      <c r="T63" s="68">
        <f>parameters!$C95+'Adjusted price'!T41-'Baseline Price'!T50</f>
        <v>117.87805263687264</v>
      </c>
      <c r="U63" s="68">
        <f>parameters!$C95+'Adjusted price'!U41-'Baseline Price'!U50</f>
        <v>119.39988708573154</v>
      </c>
      <c r="V63" s="68">
        <f>parameters!$C95+'Adjusted price'!V41-'Baseline Price'!V50</f>
        <v>120.80743119921459</v>
      </c>
      <c r="W63" s="68">
        <f>parameters!$C95+'Adjusted price'!W41-'Baseline Price'!W50</f>
        <v>122.11158584670659</v>
      </c>
      <c r="X63" s="68">
        <f>parameters!$C95+'Adjusted price'!X41-'Baseline Price'!X50</f>
        <v>123.31411995894108</v>
      </c>
      <c r="Y63" s="68">
        <f>parameters!$C95+'Adjusted price'!Y41-'Baseline Price'!Y50</f>
        <v>124.39048831142162</v>
      </c>
      <c r="Z63" s="68">
        <f>parameters!$C95+'Adjusted price'!Z41-'Baseline Price'!Z50</f>
        <v>125.59334982784263</v>
      </c>
      <c r="AA63" s="68">
        <f>parameters!$C95+'Adjusted price'!AA41-'Baseline Price'!AA50</f>
        <v>98.9</v>
      </c>
      <c r="AB63" s="68">
        <f>parameters!$C95+'Adjusted price'!AB41-'Baseline Price'!AB50</f>
        <v>98.9</v>
      </c>
      <c r="AC63" s="68">
        <f>parameters!$C95+'Adjusted price'!AC41-'Baseline Price'!AC50</f>
        <v>98.9</v>
      </c>
      <c r="AD63" s="68">
        <f>parameters!$C95+'Adjusted price'!AD41-'Baseline Price'!AD50</f>
        <v>98.9</v>
      </c>
      <c r="AE63" s="68">
        <f>parameters!$C95+'Adjusted price'!AE41-'Baseline Price'!AE50</f>
        <v>98.9</v>
      </c>
      <c r="AF63" s="68">
        <f>parameters!$C95+'Adjusted price'!AF41-'Baseline Price'!AF50</f>
        <v>98.9</v>
      </c>
      <c r="AG63" s="68">
        <f>parameters!$C95+'Adjusted price'!AG41-'Baseline Price'!AG50</f>
        <v>98.9</v>
      </c>
      <c r="AH63" s="68">
        <f>parameters!$C95+'Adjusted price'!AH41-'Baseline Price'!AH50</f>
        <v>98.9</v>
      </c>
      <c r="AI63" s="68">
        <f>parameters!$C95+'Adjusted price'!AI41-'Baseline Price'!AI50</f>
        <v>98.9</v>
      </c>
      <c r="AJ63" s="68">
        <f>parameters!$C95+'Adjusted price'!AJ41-'Baseline Price'!AJ50</f>
        <v>98.9</v>
      </c>
      <c r="AK63" s="68">
        <f>parameters!$C95+'Adjusted price'!AK41-'Baseline Price'!AK50</f>
        <v>98.9</v>
      </c>
    </row>
    <row r="64" spans="1:37">
      <c r="A64" s="91" t="s">
        <v>422</v>
      </c>
      <c r="B64" s="67"/>
      <c r="C64" s="67"/>
      <c r="D64" s="67"/>
      <c r="E64" s="67"/>
      <c r="F64" s="67"/>
      <c r="G64" s="67"/>
      <c r="H64" s="67"/>
      <c r="I64" s="67"/>
      <c r="J64" s="67"/>
      <c r="K64" s="68"/>
      <c r="L64" s="68">
        <f>parameters!$C96+'Adjusted price'!L42-'Baseline Price'!L51</f>
        <v>58.600000000000009</v>
      </c>
      <c r="M64" s="68">
        <f>parameters!$C96+'Adjusted price'!M42-'Baseline Price'!M51</f>
        <v>58.599999999999994</v>
      </c>
      <c r="N64" s="68">
        <f>parameters!$C96+'Adjusted price'!N42-'Baseline Price'!N51</f>
        <v>58.599999999999994</v>
      </c>
      <c r="O64" s="68">
        <f>parameters!$C96+'Adjusted price'!O42-'Baseline Price'!O51</f>
        <v>58.6</v>
      </c>
      <c r="P64" s="68">
        <f>parameters!$C96+'Adjusted price'!P42-'Baseline Price'!P51</f>
        <v>58.600000000000009</v>
      </c>
      <c r="Q64" s="68">
        <f>parameters!$C96+'Adjusted price'!Q42-'Baseline Price'!Q51</f>
        <v>64.396343349360208</v>
      </c>
      <c r="R64" s="68">
        <f>parameters!$C96+'Adjusted price'!R42-'Baseline Price'!R51</f>
        <v>65.131366578038964</v>
      </c>
      <c r="S64" s="68">
        <f>parameters!$C96+'Adjusted price'!S42-'Baseline Price'!S51</f>
        <v>65.829897925699328</v>
      </c>
      <c r="T64" s="68">
        <f>parameters!$C96+'Adjusted price'!T42-'Baseline Price'!T51</f>
        <v>66.48716152367615</v>
      </c>
      <c r="U64" s="68">
        <f>parameters!$C96+'Adjusted price'!U42-'Baseline Price'!U51</f>
        <v>67.10033167065815</v>
      </c>
      <c r="V64" s="68">
        <f>parameters!$C96+'Adjusted price'!V42-'Baseline Price'!V51</f>
        <v>67.666832806059332</v>
      </c>
      <c r="W64" s="68">
        <f>parameters!$C96+'Adjusted price'!W42-'Baseline Price'!W51</f>
        <v>68.187049465983591</v>
      </c>
      <c r="X64" s="68">
        <f>parameters!$C96+'Adjusted price'!X42-'Baseline Price'!X51</f>
        <v>68.660798843022448</v>
      </c>
      <c r="Y64" s="68">
        <f>parameters!$C96+'Adjusted price'!Y42-'Baseline Price'!Y51</f>
        <v>69.082249134241735</v>
      </c>
      <c r="Z64" s="68">
        <f>parameters!$C96+'Adjusted price'!Z42-'Baseline Price'!Z51</f>
        <v>69.554384780893713</v>
      </c>
      <c r="AA64" s="68">
        <f>parameters!$C96+'Adjusted price'!AA42-'Baseline Price'!AA51</f>
        <v>58.6</v>
      </c>
      <c r="AB64" s="68">
        <f>parameters!$C96+'Adjusted price'!AB42-'Baseline Price'!AB51</f>
        <v>58.600000000000009</v>
      </c>
      <c r="AC64" s="68">
        <f>parameters!$C96+'Adjusted price'!AC42-'Baseline Price'!AC51</f>
        <v>58.599999999999994</v>
      </c>
      <c r="AD64" s="68">
        <f>parameters!$C96+'Adjusted price'!AD42-'Baseline Price'!AD51</f>
        <v>58.6</v>
      </c>
      <c r="AE64" s="68">
        <f>parameters!$C96+'Adjusted price'!AE42-'Baseline Price'!AE51</f>
        <v>58.6</v>
      </c>
      <c r="AF64" s="68">
        <f>parameters!$C96+'Adjusted price'!AF42-'Baseline Price'!AF51</f>
        <v>58.599999999999994</v>
      </c>
      <c r="AG64" s="68">
        <f>parameters!$C96+'Adjusted price'!AG42-'Baseline Price'!AG51</f>
        <v>58.6</v>
      </c>
      <c r="AH64" s="68">
        <f>parameters!$C96+'Adjusted price'!AH42-'Baseline Price'!AH51</f>
        <v>58.599999999999994</v>
      </c>
      <c r="AI64" s="68">
        <f>parameters!$C96+'Adjusted price'!AI42-'Baseline Price'!AI51</f>
        <v>58.6</v>
      </c>
      <c r="AJ64" s="68">
        <f>parameters!$C96+'Adjusted price'!AJ42-'Baseline Price'!AJ51</f>
        <v>58.6</v>
      </c>
      <c r="AK64" s="68">
        <f>parameters!$C96+'Adjusted price'!AK42-'Baseline Price'!AK51</f>
        <v>58.600000000000009</v>
      </c>
    </row>
    <row r="65" spans="1:37">
      <c r="A65" s="91" t="s">
        <v>423</v>
      </c>
      <c r="B65" s="67"/>
      <c r="C65" s="67"/>
      <c r="D65" s="67"/>
      <c r="E65" s="67"/>
      <c r="F65" s="67"/>
      <c r="G65" s="67"/>
      <c r="H65" s="67"/>
      <c r="I65" s="67"/>
      <c r="J65" s="67"/>
      <c r="K65" s="68"/>
      <c r="L65" s="68">
        <f>parameters!$C97+'Adjusted price'!L43-'Baseline Price'!L52</f>
        <v>58.600000000000009</v>
      </c>
      <c r="M65" s="68">
        <f>parameters!$C97+'Adjusted price'!M43-'Baseline Price'!M52</f>
        <v>58.599999999999994</v>
      </c>
      <c r="N65" s="68">
        <f>parameters!$C97+'Adjusted price'!N43-'Baseline Price'!N52</f>
        <v>58.599999999999994</v>
      </c>
      <c r="O65" s="68">
        <f>parameters!$C97+'Adjusted price'!O43-'Baseline Price'!O52</f>
        <v>58.6</v>
      </c>
      <c r="P65" s="68">
        <f>parameters!$C97+'Adjusted price'!P43-'Baseline Price'!P52</f>
        <v>58.600000000000009</v>
      </c>
      <c r="Q65" s="68">
        <f>parameters!$C97+'Adjusted price'!Q43-'Baseline Price'!Q52</f>
        <v>64.396343349360208</v>
      </c>
      <c r="R65" s="68">
        <f>parameters!$C97+'Adjusted price'!R43-'Baseline Price'!R52</f>
        <v>65.131366578038964</v>
      </c>
      <c r="S65" s="68">
        <f>parameters!$C97+'Adjusted price'!S43-'Baseline Price'!S52</f>
        <v>65.829897925699328</v>
      </c>
      <c r="T65" s="68">
        <f>parameters!$C97+'Adjusted price'!T43-'Baseline Price'!T52</f>
        <v>66.48716152367615</v>
      </c>
      <c r="U65" s="68">
        <f>parameters!$C97+'Adjusted price'!U43-'Baseline Price'!U52</f>
        <v>67.10033167065815</v>
      </c>
      <c r="V65" s="68">
        <f>parameters!$C97+'Adjusted price'!V43-'Baseline Price'!V52</f>
        <v>67.666832806059332</v>
      </c>
      <c r="W65" s="68">
        <f>parameters!$C97+'Adjusted price'!W43-'Baseline Price'!W52</f>
        <v>68.187049465983591</v>
      </c>
      <c r="X65" s="68">
        <f>parameters!$C97+'Adjusted price'!X43-'Baseline Price'!X52</f>
        <v>68.660798843022448</v>
      </c>
      <c r="Y65" s="68">
        <f>parameters!$C97+'Adjusted price'!Y43-'Baseline Price'!Y52</f>
        <v>69.082249134241735</v>
      </c>
      <c r="Z65" s="68">
        <f>parameters!$C97+'Adjusted price'!Z43-'Baseline Price'!Z52</f>
        <v>69.554384780893713</v>
      </c>
      <c r="AA65" s="68">
        <f>parameters!$C97+'Adjusted price'!AA43-'Baseline Price'!AA52</f>
        <v>58.6</v>
      </c>
      <c r="AB65" s="68">
        <f>parameters!$C97+'Adjusted price'!AB43-'Baseline Price'!AB52</f>
        <v>58.600000000000009</v>
      </c>
      <c r="AC65" s="68">
        <f>parameters!$C97+'Adjusted price'!AC43-'Baseline Price'!AC52</f>
        <v>58.599999999999994</v>
      </c>
      <c r="AD65" s="68">
        <f>parameters!$C97+'Adjusted price'!AD43-'Baseline Price'!AD52</f>
        <v>58.6</v>
      </c>
      <c r="AE65" s="68">
        <f>parameters!$C97+'Adjusted price'!AE43-'Baseline Price'!AE52</f>
        <v>58.6</v>
      </c>
      <c r="AF65" s="68">
        <f>parameters!$C97+'Adjusted price'!AF43-'Baseline Price'!AF52</f>
        <v>58.599999999999994</v>
      </c>
      <c r="AG65" s="68">
        <f>parameters!$C97+'Adjusted price'!AG43-'Baseline Price'!AG52</f>
        <v>58.6</v>
      </c>
      <c r="AH65" s="68">
        <f>parameters!$C97+'Adjusted price'!AH43-'Baseline Price'!AH52</f>
        <v>58.599999999999994</v>
      </c>
      <c r="AI65" s="68">
        <f>parameters!$C97+'Adjusted price'!AI43-'Baseline Price'!AI52</f>
        <v>58.6</v>
      </c>
      <c r="AJ65" s="68">
        <f>parameters!$C97+'Adjusted price'!AJ43-'Baseline Price'!AJ52</f>
        <v>58.6</v>
      </c>
      <c r="AK65" s="68">
        <f>parameters!$C97+'Adjusted price'!AK43-'Baseline Price'!AK52</f>
        <v>58.600000000000009</v>
      </c>
    </row>
    <row r="66" spans="1:37">
      <c r="A66" s="91" t="s">
        <v>424</v>
      </c>
      <c r="B66" s="67"/>
      <c r="C66" s="67"/>
      <c r="D66" s="67"/>
      <c r="E66" s="67"/>
      <c r="F66" s="67"/>
      <c r="G66" s="67"/>
      <c r="H66" s="67"/>
      <c r="I66" s="67"/>
      <c r="J66" s="67"/>
      <c r="K66" s="68"/>
      <c r="L66" s="68">
        <f>parameters!$C98+'Adjusted price'!L44-'Baseline Price'!L53</f>
        <v>98.9</v>
      </c>
      <c r="M66" s="68">
        <f>parameters!$C98+'Adjusted price'!M44-'Baseline Price'!M53</f>
        <v>98.9</v>
      </c>
      <c r="N66" s="68">
        <f>parameters!$C98+'Adjusted price'!N44-'Baseline Price'!N53</f>
        <v>98.9</v>
      </c>
      <c r="O66" s="68">
        <f>parameters!$C98+'Adjusted price'!O44-'Baseline Price'!O53</f>
        <v>98.9</v>
      </c>
      <c r="P66" s="68">
        <f>parameters!$C98+'Adjusted price'!P44-'Baseline Price'!P53</f>
        <v>98.9</v>
      </c>
      <c r="Q66" s="68">
        <f>parameters!$C98+'Adjusted price'!Q44-'Baseline Price'!Q53</f>
        <v>107.44793452633655</v>
      </c>
      <c r="R66" s="68">
        <f>parameters!$C98+'Adjusted price'!R44-'Baseline Price'!R53</f>
        <v>108.25434200280205</v>
      </c>
      <c r="S66" s="68">
        <f>parameters!$C98+'Adjusted price'!S44-'Baseline Price'!S53</f>
        <v>108.99511124137578</v>
      </c>
      <c r="T66" s="68">
        <f>parameters!$C98+'Adjusted price'!T44-'Baseline Price'!T53</f>
        <v>109.63599553965295</v>
      </c>
      <c r="U66" s="68">
        <f>parameters!$C98+'Adjusted price'!U44-'Baseline Price'!U53</f>
        <v>110.41263894716005</v>
      </c>
      <c r="V66" s="68">
        <f>parameters!$C98+'Adjusted price'!V44-'Baseline Price'!V53</f>
        <v>111.09976813487773</v>
      </c>
      <c r="W66" s="68">
        <f>parameters!$C98+'Adjusted price'!W44-'Baseline Price'!W53</f>
        <v>111.87695335304639</v>
      </c>
      <c r="X66" s="68">
        <f>parameters!$C98+'Adjusted price'!X44-'Baseline Price'!X53</f>
        <v>112.53353591741788</v>
      </c>
      <c r="Y66" s="68">
        <f>parameters!$C98+'Adjusted price'!Y44-'Baseline Price'!Y53</f>
        <v>113.04354112748433</v>
      </c>
      <c r="Z66" s="68">
        <f>parameters!$C98+'Adjusted price'!Z44-'Baseline Price'!Z53</f>
        <v>113.74076948614723</v>
      </c>
      <c r="AA66" s="68">
        <f>parameters!$C98+'Adjusted price'!AA44-'Baseline Price'!AA53</f>
        <v>98.9</v>
      </c>
      <c r="AB66" s="68">
        <f>parameters!$C98+'Adjusted price'!AB44-'Baseline Price'!AB53</f>
        <v>98.900000000000034</v>
      </c>
      <c r="AC66" s="68">
        <f>parameters!$C98+'Adjusted price'!AC44-'Baseline Price'!AC53</f>
        <v>98.900000000000034</v>
      </c>
      <c r="AD66" s="68">
        <f>parameters!$C98+'Adjusted price'!AD44-'Baseline Price'!AD53</f>
        <v>98.9</v>
      </c>
      <c r="AE66" s="68">
        <f>parameters!$C98+'Adjusted price'!AE44-'Baseline Price'!AE53</f>
        <v>98.899999999999977</v>
      </c>
      <c r="AF66" s="68">
        <f>parameters!$C98+'Adjusted price'!AF44-'Baseline Price'!AF53</f>
        <v>98.899999999999977</v>
      </c>
      <c r="AG66" s="68">
        <f>parameters!$C98+'Adjusted price'!AG44-'Baseline Price'!AG53</f>
        <v>98.900000000000034</v>
      </c>
      <c r="AH66" s="68">
        <f>parameters!$C98+'Adjusted price'!AH44-'Baseline Price'!AH53</f>
        <v>98.900000000000034</v>
      </c>
      <c r="AI66" s="68">
        <f>parameters!$C98+'Adjusted price'!AI44-'Baseline Price'!AI53</f>
        <v>98.9</v>
      </c>
      <c r="AJ66" s="68">
        <f>parameters!$C98+'Adjusted price'!AJ44-'Baseline Price'!AJ53</f>
        <v>98.9</v>
      </c>
      <c r="AK66" s="68">
        <f>parameters!$C98+'Adjusted price'!AK44-'Baseline Price'!AK53</f>
        <v>98.900000000000034</v>
      </c>
    </row>
    <row r="67" spans="1:37">
      <c r="A67" s="439"/>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row>
    <row r="68" spans="1:37">
      <c r="A68" s="57" t="s">
        <v>437</v>
      </c>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row>
    <row r="69" spans="1:37">
      <c r="A69" s="91" t="s">
        <v>372</v>
      </c>
      <c r="B69" s="68"/>
      <c r="C69" s="68"/>
      <c r="D69" s="68"/>
      <c r="E69" s="68"/>
      <c r="F69" s="68"/>
      <c r="G69" s="68"/>
      <c r="H69" s="68"/>
      <c r="I69" s="68"/>
      <c r="J69" s="68"/>
      <c r="K69" s="68"/>
      <c r="L69" s="68">
        <f>'Adjusted Consumption'!L145*L63</f>
        <v>16.112307949199842</v>
      </c>
      <c r="M69" s="68">
        <f>'Adjusted Consumption'!M145*M63</f>
        <v>14.475251860430637</v>
      </c>
      <c r="N69" s="68">
        <f>'Adjusted Consumption'!N145*N63</f>
        <v>12.902939184086019</v>
      </c>
      <c r="O69" s="68">
        <f>'Adjusted Consumption'!O145*O63</f>
        <v>12.386791944153574</v>
      </c>
      <c r="P69" s="68">
        <f>'Adjusted Consumption'!P145*P63</f>
        <v>11.870644704221128</v>
      </c>
      <c r="Q69" s="68">
        <f>'Adjusted Consumption'!Q145*Q63</f>
        <v>12.831876165908115</v>
      </c>
      <c r="R69" s="68">
        <f>'Adjusted Consumption'!R145*R63</f>
        <v>10.296959220596223</v>
      </c>
      <c r="S69" s="68">
        <f>'Adjusted Consumption'!S145*S63</f>
        <v>10.083400867898311</v>
      </c>
      <c r="T69" s="68">
        <f>'Adjusted Consumption'!T145*T63</f>
        <v>8.4470102463882455</v>
      </c>
      <c r="U69" s="68">
        <f>'Adjusted Consumption'!U145*U63</f>
        <v>8.1740435342228803</v>
      </c>
      <c r="V69" s="68">
        <f>'Adjusted Consumption'!V145*V63</f>
        <v>7.8877817712600109</v>
      </c>
      <c r="W69" s="68">
        <f>'Adjusted Consumption'!W145*W63</f>
        <v>5.1527713506120714</v>
      </c>
      <c r="X69" s="68">
        <f>'Adjusted Consumption'!X145*X63</f>
        <v>5.0607225981685513</v>
      </c>
      <c r="Y69" s="68">
        <f>'Adjusted Consumption'!Y145*Y63</f>
        <v>4.9698349850468624</v>
      </c>
      <c r="Z69" s="68">
        <f>'Adjusted Consumption'!Z145*Z63</f>
        <v>4.9039301111414986</v>
      </c>
      <c r="AA69" s="68">
        <f>'Adjusted Consumption'!AA145*AA63</f>
        <v>4.624042238280599</v>
      </c>
      <c r="AB69" s="68">
        <f>'Adjusted Consumption'!AB145*AB63</f>
        <v>4.6611824735985881</v>
      </c>
      <c r="AC69" s="68">
        <f>'Adjusted Consumption'!AC145*AC63</f>
        <v>4.7185992837843571</v>
      </c>
      <c r="AD69" s="68">
        <f>'Adjusted Consumption'!AD145*AD63</f>
        <v>4.7776954802622855</v>
      </c>
      <c r="AE69" s="68">
        <f>'Adjusted Consumption'!AE145*AE63</f>
        <v>4.8382287989925459</v>
      </c>
      <c r="AF69" s="68">
        <f>'Adjusted Consumption'!AF145*AF63</f>
        <v>4.9007741820912001</v>
      </c>
      <c r="AG69" s="68">
        <f>'Adjusted Consumption'!AG145*AG63</f>
        <v>4.9545883810270999</v>
      </c>
      <c r="AH69" s="68">
        <f>'Adjusted Consumption'!AH145*AH63</f>
        <v>5.010140444786682</v>
      </c>
      <c r="AI69" s="68">
        <f>'Adjusted Consumption'!AI145*AI63</f>
        <v>5.0645359501835419</v>
      </c>
      <c r="AJ69" s="68">
        <f>'Adjusted Consumption'!AJ145*AJ63</f>
        <v>5.1178106433179833</v>
      </c>
      <c r="AK69" s="68">
        <f>'Adjusted Consumption'!AK145*AK63</f>
        <v>5.1699988122245264</v>
      </c>
    </row>
    <row r="70" spans="1:37">
      <c r="A70" s="91" t="s">
        <v>422</v>
      </c>
      <c r="B70" s="68"/>
      <c r="C70" s="68"/>
      <c r="D70" s="68"/>
      <c r="E70" s="68"/>
      <c r="F70" s="68"/>
      <c r="G70" s="68"/>
      <c r="H70" s="68"/>
      <c r="I70" s="68"/>
      <c r="J70" s="68"/>
      <c r="K70" s="68"/>
      <c r="L70" s="68">
        <f>'Adjusted Consumption'!L146*L64</f>
        <v>7.2482775355121287</v>
      </c>
      <c r="M70" s="68">
        <f>'Adjusted Consumption'!M146*M64</f>
        <v>6.0726321193736466</v>
      </c>
      <c r="N70" s="68">
        <f>'Adjusted Consumption'!N146*N64</f>
        <v>6.0152885496992008</v>
      </c>
      <c r="O70" s="68">
        <f>'Adjusted Consumption'!O146*O64</f>
        <v>6.0468845396642807</v>
      </c>
      <c r="P70" s="68">
        <f>'Adjusted Consumption'!P146*P64</f>
        <v>6.0784805296293589</v>
      </c>
      <c r="Q70" s="68">
        <f>'Adjusted Consumption'!Q146*Q64</f>
        <v>6.6962726969860187</v>
      </c>
      <c r="R70" s="68">
        <f>'Adjusted Consumption'!R146*R64</f>
        <v>7.8243064844559065</v>
      </c>
      <c r="S70" s="68">
        <f>'Adjusted Consumption'!S146*S64</f>
        <v>8.1348472897165269</v>
      </c>
      <c r="T70" s="68">
        <f>'Adjusted Consumption'!T146*T64</f>
        <v>8.9279199204573558</v>
      </c>
      <c r="U70" s="68">
        <f>'Adjusted Consumption'!U146*U64</f>
        <v>9.2344309234508</v>
      </c>
      <c r="V70" s="68">
        <f>'Adjusted Consumption'!V146*V64</f>
        <v>9.5369305035948209</v>
      </c>
      <c r="W70" s="68">
        <f>'Adjusted Consumption'!W146*W64</f>
        <v>10.702662427337907</v>
      </c>
      <c r="X70" s="68">
        <f>'Adjusted Consumption'!X146*X64</f>
        <v>10.730026621008214</v>
      </c>
      <c r="Y70" s="68">
        <f>'Adjusted Consumption'!Y146*Y64</f>
        <v>10.738482491659273</v>
      </c>
      <c r="Z70" s="68">
        <f>'Adjusted Consumption'!Z146*Z64</f>
        <v>10.740146057557332</v>
      </c>
      <c r="AA70" s="68">
        <f>'Adjusted Consumption'!AA146*AA64</f>
        <v>9.4666258063039361</v>
      </c>
      <c r="AB70" s="68">
        <f>'Adjusted Consumption'!AB146*AB64</f>
        <v>9.4534220583385125</v>
      </c>
      <c r="AC70" s="68">
        <f>'Adjusted Consumption'!AC146*AC64</f>
        <v>9.4330097727355628</v>
      </c>
      <c r="AD70" s="68">
        <f>'Adjusted Consumption'!AD146*AD64</f>
        <v>9.4120004474760695</v>
      </c>
      <c r="AE70" s="68">
        <f>'Adjusted Consumption'!AE146*AE64</f>
        <v>9.3904802099982536</v>
      </c>
      <c r="AF70" s="68">
        <f>'Adjusted Consumption'!AF146*AF64</f>
        <v>9.3682446622758189</v>
      </c>
      <c r="AG70" s="68">
        <f>'Adjusted Consumption'!AG146*AG64</f>
        <v>9.3491131432203485</v>
      </c>
      <c r="AH70" s="68">
        <f>'Adjusted Consumption'!AH146*AH64</f>
        <v>9.3293637947695167</v>
      </c>
      <c r="AI70" s="68">
        <f>'Adjusted Consumption'!AI146*AI64</f>
        <v>9.3100256150955687</v>
      </c>
      <c r="AJ70" s="68">
        <f>'Adjusted Consumption'!AJ146*AJ64</f>
        <v>9.2910858960803324</v>
      </c>
      <c r="AK70" s="68">
        <f>'Adjusted Consumption'!AK146*AK64</f>
        <v>9.2725324479635081</v>
      </c>
    </row>
    <row r="71" spans="1:37">
      <c r="A71" s="91" t="s">
        <v>423</v>
      </c>
      <c r="B71" s="68"/>
      <c r="C71" s="68"/>
      <c r="D71" s="68"/>
      <c r="E71" s="68"/>
      <c r="F71" s="68"/>
      <c r="G71" s="68"/>
      <c r="H71" s="68"/>
      <c r="I71" s="68"/>
      <c r="J71" s="68"/>
      <c r="K71" s="68"/>
      <c r="L71" s="68">
        <f>'Adjusted Consumption'!L147*L65</f>
        <v>0.58600000000000008</v>
      </c>
      <c r="M71" s="68">
        <f>'Adjusted Consumption'!M147*M65</f>
        <v>0.58599999999999997</v>
      </c>
      <c r="N71" s="68">
        <f>'Adjusted Consumption'!N147*N65</f>
        <v>0.70319999999999994</v>
      </c>
      <c r="O71" s="68">
        <f>'Adjusted Consumption'!O147*O65</f>
        <v>0.70320000000000005</v>
      </c>
      <c r="P71" s="68">
        <f>'Adjusted Consumption'!P147*P65</f>
        <v>0.70320000000000027</v>
      </c>
      <c r="Q71" s="68">
        <f>'Adjusted Consumption'!Q147*Q65</f>
        <v>0.77066448274745036</v>
      </c>
      <c r="R71" s="68">
        <f>'Adjusted Consumption'!R147*R65</f>
        <v>0.77678270875912181</v>
      </c>
      <c r="S71" s="68">
        <f>'Adjusted Consumption'!S147*S65</f>
        <v>0.78190089229202753</v>
      </c>
      <c r="T71" s="68">
        <f>'Adjusted Consumption'!T147*T65</f>
        <v>0.78627829688821749</v>
      </c>
      <c r="U71" s="68">
        <f>'Adjusted Consumption'!U147*U65</f>
        <v>0.78986628095836708</v>
      </c>
      <c r="V71" s="68">
        <f>'Adjusted Consumption'!V147*V65</f>
        <v>0.7930161096131445</v>
      </c>
      <c r="W71" s="68">
        <f>'Adjusted Consumption'!W147*W65</f>
        <v>0.79498725434003004</v>
      </c>
      <c r="X71" s="68">
        <f>'Adjusted Consumption'!X147*X65</f>
        <v>0.79608638492895556</v>
      </c>
      <c r="Y71" s="68">
        <f>'Adjusted Consumption'!Y147*Y65</f>
        <v>0.7960868786177947</v>
      </c>
      <c r="Z71" s="68">
        <f>'Adjusted Consumption'!Z147*Z65</f>
        <v>0.79648032706904048</v>
      </c>
      <c r="AA71" s="68">
        <f>'Adjusted Consumption'!AA147*AA65</f>
        <v>0.70320000000000005</v>
      </c>
      <c r="AB71" s="68">
        <f>'Adjusted Consumption'!AB147*AB65</f>
        <v>0.70320000000000016</v>
      </c>
      <c r="AC71" s="68">
        <f>'Adjusted Consumption'!AC147*AC65</f>
        <v>0.70319999999999994</v>
      </c>
      <c r="AD71" s="68">
        <f>'Adjusted Consumption'!AD147*AD65</f>
        <v>0.70320000000000005</v>
      </c>
      <c r="AE71" s="68">
        <f>'Adjusted Consumption'!AE147*AE65</f>
        <v>0.70320000000000005</v>
      </c>
      <c r="AF71" s="68">
        <f>'Adjusted Consumption'!AF147*AF65</f>
        <v>0.70319999999999994</v>
      </c>
      <c r="AG71" s="68">
        <f>'Adjusted Consumption'!AG147*AG65</f>
        <v>0.70320000000000016</v>
      </c>
      <c r="AH71" s="68">
        <f>'Adjusted Consumption'!AH147*AH65</f>
        <v>0.70319999999999994</v>
      </c>
      <c r="AI71" s="68">
        <f>'Adjusted Consumption'!AI147*AI65</f>
        <v>0.70320000000000005</v>
      </c>
      <c r="AJ71" s="68">
        <f>'Adjusted Consumption'!AJ147*AJ65</f>
        <v>0.70320000000000005</v>
      </c>
      <c r="AK71" s="68">
        <f>'Adjusted Consumption'!AK147*AK65</f>
        <v>0.70320000000000016</v>
      </c>
    </row>
    <row r="72" spans="1:37">
      <c r="A72" s="91" t="s">
        <v>424</v>
      </c>
      <c r="B72" s="68"/>
      <c r="C72" s="68"/>
      <c r="D72" s="68"/>
      <c r="E72" s="68"/>
      <c r="F72" s="68"/>
      <c r="G72" s="68"/>
      <c r="H72" s="68"/>
      <c r="I72" s="68"/>
      <c r="J72" s="68"/>
      <c r="K72" s="68"/>
      <c r="L72" s="68">
        <f>'Adjusted Consumption'!L148*L66</f>
        <v>5.2749945939295842E-2</v>
      </c>
      <c r="M72" s="68">
        <f>'Adjusted Consumption'!M148*M66</f>
        <v>6.9989034745930129E-2</v>
      </c>
      <c r="N72" s="68">
        <f>'Adjusted Consumption'!N148*N66</f>
        <v>5.3616162904440282E-2</v>
      </c>
      <c r="O72" s="68">
        <f>'Adjusted Consumption'!O148*O66</f>
        <v>4.9845116060814612E-2</v>
      </c>
      <c r="P72" s="68">
        <f>'Adjusted Consumption'!P148*P66</f>
        <v>4.6074069217188936E-2</v>
      </c>
      <c r="Q72" s="68">
        <f>'Adjusted Consumption'!Q148*Q66</f>
        <v>4.5802519520754668E-2</v>
      </c>
      <c r="R72" s="68">
        <f>'Adjusted Consumption'!R148*R66</f>
        <v>4.1874857052493095E-2</v>
      </c>
      <c r="S72" s="68">
        <f>'Adjusted Consumption'!S148*S66</f>
        <v>3.7865113214388631E-2</v>
      </c>
      <c r="T72" s="68">
        <f>'Adjusted Consumption'!T148*T66</f>
        <v>3.3784209756337162E-2</v>
      </c>
      <c r="U72" s="68">
        <f>'Adjusted Consumption'!U148*U66</f>
        <v>2.9713080672750435E-2</v>
      </c>
      <c r="V72" s="68">
        <f>'Adjusted Consumption'!V148*V66</f>
        <v>2.5594468964445064E-2</v>
      </c>
      <c r="W72" s="68">
        <f>'Adjusted Consumption'!W148*W66</f>
        <v>2.1485232548749848E-2</v>
      </c>
      <c r="X72" s="68">
        <f>'Adjusted Consumption'!X148*X66</f>
        <v>2.1463453053766669E-2</v>
      </c>
      <c r="Y72" s="68">
        <f>'Adjusted Consumption'!Y148*Y66</f>
        <v>2.1411656374065547E-2</v>
      </c>
      <c r="Z72" s="68">
        <f>'Adjusted Consumption'!Z148*Z66</f>
        <v>2.1381507556399341E-2</v>
      </c>
      <c r="AA72" s="68">
        <f>'Adjusted Consumption'!AA148*AA66</f>
        <v>1.9676741311807865E-2</v>
      </c>
      <c r="AB72" s="68">
        <f>'Adjusted Consumption'!AB148*AB66</f>
        <v>1.9676741311807876E-2</v>
      </c>
      <c r="AC72" s="68">
        <f>'Adjusted Consumption'!AC148*AC66</f>
        <v>1.9676741311807876E-2</v>
      </c>
      <c r="AD72" s="68">
        <f>'Adjusted Consumption'!AD148*AD66</f>
        <v>1.9676741311807872E-2</v>
      </c>
      <c r="AE72" s="68">
        <f>'Adjusted Consumption'!AE148*AE66</f>
        <v>1.9676741311807862E-2</v>
      </c>
      <c r="AF72" s="68">
        <f>'Adjusted Consumption'!AF148*AF66</f>
        <v>1.9676741311807862E-2</v>
      </c>
      <c r="AG72" s="68">
        <f>'Adjusted Consumption'!AG148*AG66</f>
        <v>1.9676741311807872E-2</v>
      </c>
      <c r="AH72" s="68">
        <f>'Adjusted Consumption'!AH148*AH66</f>
        <v>1.9676741311807876E-2</v>
      </c>
      <c r="AI72" s="68">
        <f>'Adjusted Consumption'!AI148*AI66</f>
        <v>1.9676741311807869E-2</v>
      </c>
      <c r="AJ72" s="68">
        <f>'Adjusted Consumption'!AJ148*AJ66</f>
        <v>1.9676741311807872E-2</v>
      </c>
      <c r="AK72" s="68">
        <f>'Adjusted Consumption'!AK148*AK66</f>
        <v>1.9676741311807876E-2</v>
      </c>
    </row>
    <row r="73" spans="1:37">
      <c r="A73" s="91" t="s">
        <v>425</v>
      </c>
      <c r="B73" s="68"/>
      <c r="C73" s="68"/>
      <c r="D73" s="68"/>
      <c r="E73" s="68"/>
      <c r="F73" s="68"/>
      <c r="G73" s="68"/>
      <c r="H73" s="68"/>
      <c r="I73" s="68"/>
      <c r="J73" s="68"/>
      <c r="K73" s="68"/>
      <c r="L73" s="68">
        <f>'Adjusted Consumption'!L149*parameters!$C99</f>
        <v>4.9362545863285332</v>
      </c>
      <c r="M73" s="68">
        <f>'Adjusted Consumption'!M149*parameters!$C99</f>
        <v>5.340691118601594</v>
      </c>
      <c r="N73" s="68">
        <f>'Adjusted Consumption'!N149*parameters!$C99</f>
        <v>4.9269081863319624</v>
      </c>
      <c r="O73" s="68">
        <f>'Adjusted Consumption'!O149*parameters!$C99</f>
        <v>4.8903522460810613</v>
      </c>
      <c r="P73" s="68">
        <f>'Adjusted Consumption'!P149*parameters!$C99</f>
        <v>4.8537963058301603</v>
      </c>
      <c r="Q73" s="68">
        <f>'Adjusted Consumption'!Q149*parameters!$C99</f>
        <v>4.825594724814259</v>
      </c>
      <c r="R73" s="68">
        <f>'Adjusted Consumption'!R149*parameters!$C99</f>
        <v>4.7968796131962383</v>
      </c>
      <c r="S73" s="68">
        <f>'Adjusted Consumption'!S149*parameters!$C99</f>
        <v>4.7705810284480448</v>
      </c>
      <c r="T73" s="68">
        <f>'Adjusted Consumption'!T149*parameters!$C99</f>
        <v>4.7421148018293469</v>
      </c>
      <c r="U73" s="68">
        <f>'Adjusted Consumption'!U149*parameters!$C99</f>
        <v>4.7161748078515719</v>
      </c>
      <c r="V73" s="68">
        <f>'Adjusted Consumption'!V149*parameters!$C99</f>
        <v>4.6901111485294358</v>
      </c>
      <c r="W73" s="68">
        <f>'Adjusted Consumption'!W149*parameters!$C99</f>
        <v>4.653868907939569</v>
      </c>
      <c r="X73" s="68">
        <f>'Adjusted Consumption'!X149*parameters!$C99</f>
        <v>4.6643685729275033</v>
      </c>
      <c r="Y73" s="68">
        <f>'Adjusted Consumption'!Y149*parameters!$C99</f>
        <v>4.6755885172671814</v>
      </c>
      <c r="Z73" s="68">
        <f>'Adjusted Consumption'!Z149*parameters!$C99</f>
        <v>4.6876768717686437</v>
      </c>
      <c r="AA73" s="68">
        <f>'Adjusted Consumption'!AA149*parameters!$C99</f>
        <v>4.5979047240738282</v>
      </c>
      <c r="AB73" s="68">
        <f>'Adjusted Consumption'!AB149*parameters!$C99</f>
        <v>4.5979047240738282</v>
      </c>
      <c r="AC73" s="68">
        <f>'Adjusted Consumption'!AC149*parameters!$C99</f>
        <v>4.5979047240738282</v>
      </c>
      <c r="AD73" s="68">
        <f>'Adjusted Consumption'!AD149*parameters!$C99</f>
        <v>4.5979047240738282</v>
      </c>
      <c r="AE73" s="68">
        <f>'Adjusted Consumption'!AE149*parameters!$C99</f>
        <v>4.5979047240738282</v>
      </c>
      <c r="AF73" s="68">
        <f>'Adjusted Consumption'!AF149*parameters!$C99</f>
        <v>4.5979047240738282</v>
      </c>
      <c r="AG73" s="68">
        <f>'Adjusted Consumption'!AG149*parameters!$C99</f>
        <v>4.5979047240738282</v>
      </c>
      <c r="AH73" s="68">
        <f>'Adjusted Consumption'!AH149*parameters!$C99</f>
        <v>4.5979047240738282</v>
      </c>
      <c r="AI73" s="68">
        <f>'Adjusted Consumption'!AI149*parameters!$C99</f>
        <v>4.5979047240738282</v>
      </c>
      <c r="AJ73" s="68">
        <f>'Adjusted Consumption'!AJ149*parameters!$C99</f>
        <v>4.5979047240738282</v>
      </c>
      <c r="AK73" s="68">
        <f>'Adjusted Consumption'!AK149*parameters!$C99</f>
        <v>4.5979047240738282</v>
      </c>
    </row>
    <row r="74" spans="1:37">
      <c r="A74" s="91" t="s">
        <v>249</v>
      </c>
      <c r="B74" s="68"/>
      <c r="C74" s="68"/>
      <c r="D74" s="68"/>
      <c r="E74" s="68"/>
      <c r="F74" s="68"/>
      <c r="G74" s="68"/>
      <c r="H74" s="68"/>
      <c r="I74" s="68"/>
      <c r="J74" s="68"/>
      <c r="K74" s="68"/>
      <c r="L74" s="68">
        <f>'Adjusted Consumption'!L150*parameters!$C100</f>
        <v>56.545468386028226</v>
      </c>
      <c r="M74" s="68">
        <f>'Adjusted Consumption'!M150*parameters!$C100</f>
        <v>57.51127883879316</v>
      </c>
      <c r="N74" s="68">
        <f>'Adjusted Consumption'!N150*parameters!$C100</f>
        <v>56.780224044826369</v>
      </c>
      <c r="O74" s="68">
        <f>'Adjusted Consumption'!O150*parameters!$C100</f>
        <v>56.313265504069186</v>
      </c>
      <c r="P74" s="68">
        <f>'Adjusted Consumption'!P150*parameters!$C100</f>
        <v>55.846306963312024</v>
      </c>
      <c r="Q74" s="68">
        <f>'Adjusted Consumption'!Q150*parameters!$C100</f>
        <v>55.403359004122919</v>
      </c>
      <c r="R74" s="68">
        <f>'Adjusted Consumption'!R150*parameters!$C100</f>
        <v>55.835508900193922</v>
      </c>
      <c r="S74" s="68">
        <f>'Adjusted Consumption'!S150*parameters!$C100</f>
        <v>55.704459568382632</v>
      </c>
      <c r="T74" s="68">
        <f>'Adjusted Consumption'!T150*parameters!$C100</f>
        <v>55.903576884407151</v>
      </c>
      <c r="U74" s="68">
        <f>'Adjusted Consumption'!U150*parameters!$C100</f>
        <v>55.777200021550208</v>
      </c>
      <c r="V74" s="68">
        <f>'Adjusted Consumption'!V150*parameters!$C100</f>
        <v>55.649986091430797</v>
      </c>
      <c r="W74" s="68">
        <f>'Adjusted Consumption'!W150*parameters!$C100</f>
        <v>56.091099877756271</v>
      </c>
      <c r="X74" s="68">
        <f>'Adjusted Consumption'!X150*parameters!$C100</f>
        <v>56.131608518111939</v>
      </c>
      <c r="Y74" s="68">
        <f>'Adjusted Consumption'!Y150*parameters!$C100</f>
        <v>56.171503368677101</v>
      </c>
      <c r="Z74" s="68">
        <f>'Adjusted Consumption'!Z150*parameters!$C100</f>
        <v>56.205777519011264</v>
      </c>
      <c r="AA74" s="68">
        <f>'Adjusted Consumption'!AA150*parameters!$C100</f>
        <v>55.920679884725047</v>
      </c>
      <c r="AB74" s="68">
        <f>'Adjusted Consumption'!AB150*parameters!$C100</f>
        <v>55.910506689833596</v>
      </c>
      <c r="AC74" s="68">
        <f>'Adjusted Consumption'!AC150*parameters!$C100</f>
        <v>55.894779476608797</v>
      </c>
      <c r="AD74" s="68">
        <f>'Adjusted Consumption'!AD150*parameters!$C100</f>
        <v>55.87859225757353</v>
      </c>
      <c r="AE74" s="68">
        <f>'Adjusted Consumption'!AE150*parameters!$C100</f>
        <v>55.862011392008299</v>
      </c>
      <c r="AF74" s="68">
        <f>'Adjusted Consumption'!AF150*parameters!$C100</f>
        <v>55.844879395768224</v>
      </c>
      <c r="AG74" s="68">
        <f>'Adjusted Consumption'!AG150*parameters!$C100</f>
        <v>55.830138984755344</v>
      </c>
      <c r="AH74" s="68">
        <f>'Adjusted Consumption'!AH150*parameters!$C100</f>
        <v>55.814922549899464</v>
      </c>
      <c r="AI74" s="68">
        <f>'Adjusted Consumption'!AI150*parameters!$C100</f>
        <v>55.800022911464666</v>
      </c>
      <c r="AJ74" s="68">
        <f>'Adjusted Consumption'!AJ150*parameters!$C100</f>
        <v>55.785430278127848</v>
      </c>
      <c r="AK74" s="68">
        <f>'Adjusted Consumption'!AK150*parameters!$C100</f>
        <v>55.771135257949098</v>
      </c>
    </row>
    <row r="75" spans="1:37">
      <c r="A75" s="91" t="s">
        <v>426</v>
      </c>
      <c r="B75" s="68"/>
      <c r="C75" s="68"/>
      <c r="D75" s="68"/>
      <c r="E75" s="68"/>
      <c r="F75" s="68"/>
      <c r="G75" s="68"/>
      <c r="H75" s="68"/>
      <c r="I75" s="68"/>
      <c r="J75" s="68"/>
      <c r="K75" s="68"/>
      <c r="L75" s="68">
        <f>'Adjusted Consumption'!L151*parameters!$C101</f>
        <v>0.44402932003052603</v>
      </c>
      <c r="M75" s="68">
        <f>'Adjusted Consumption'!M151*parameters!$C101</f>
        <v>0.75481924825976021</v>
      </c>
      <c r="N75" s="68">
        <f>'Adjusted Consumption'!N151*parameters!$C101</f>
        <v>0.47240197210961293</v>
      </c>
      <c r="O75" s="68">
        <f>'Adjusted Consumption'!O151*parameters!$C101</f>
        <v>0.47448436921986226</v>
      </c>
      <c r="P75" s="68">
        <f>'Adjusted Consumption'!P151*parameters!$C101</f>
        <v>0.4765667663301108</v>
      </c>
      <c r="Q75" s="68">
        <f>'Adjusted Consumption'!Q151*parameters!$C101</f>
        <v>0.49246837978987945</v>
      </c>
      <c r="R75" s="68">
        <f>'Adjusted Consumption'!R151*parameters!$C101</f>
        <v>0.50791979011381394</v>
      </c>
      <c r="S75" s="68">
        <f>'Adjusted Consumption'!S151*parameters!$C101</f>
        <v>0.52745420563565226</v>
      </c>
      <c r="T75" s="68">
        <f>'Adjusted Consumption'!T151*parameters!$C101</f>
        <v>0.54382938277583748</v>
      </c>
      <c r="U75" s="68">
        <f>'Adjusted Consumption'!U151*parameters!$C101</f>
        <v>0.56443965119571626</v>
      </c>
      <c r="V75" s="68">
        <f>'Adjusted Consumption'!V151*parameters!$C101</f>
        <v>0.58503897900696678</v>
      </c>
      <c r="W75" s="68">
        <f>'Adjusted Consumption'!W151*parameters!$C101</f>
        <v>0.58917533136984246</v>
      </c>
      <c r="X75" s="68">
        <f>'Adjusted Consumption'!X151*parameters!$C101</f>
        <v>0.60758418833786576</v>
      </c>
      <c r="Y75" s="68">
        <f>'Adjusted Consumption'!Y151*parameters!$C101</f>
        <v>0.62725399163578133</v>
      </c>
      <c r="Z75" s="68">
        <f>'Adjusted Consumption'!Z151*parameters!$C101</f>
        <v>0.64842755712844968</v>
      </c>
      <c r="AA75" s="68">
        <f>'Adjusted Consumption'!AA151*parameters!$C101</f>
        <v>0.49114354610185368</v>
      </c>
      <c r="AB75" s="68">
        <f>'Adjusted Consumption'!AB151*parameters!$C101</f>
        <v>0.49114354610185368</v>
      </c>
      <c r="AC75" s="68">
        <f>'Adjusted Consumption'!AC151*parameters!$C101</f>
        <v>0.49114354610185368</v>
      </c>
      <c r="AD75" s="68">
        <f>'Adjusted Consumption'!AD151*parameters!$C101</f>
        <v>0.49114354610185368</v>
      </c>
      <c r="AE75" s="68">
        <f>'Adjusted Consumption'!AE151*parameters!$C101</f>
        <v>0.49114354610185368</v>
      </c>
      <c r="AF75" s="68">
        <f>'Adjusted Consumption'!AF151*parameters!$C101</f>
        <v>0.49114354610185368</v>
      </c>
      <c r="AG75" s="68">
        <f>'Adjusted Consumption'!AG151*parameters!$C101</f>
        <v>0.49114354610185368</v>
      </c>
      <c r="AH75" s="68">
        <f>'Adjusted Consumption'!AH151*parameters!$C101</f>
        <v>0.49114354610185368</v>
      </c>
      <c r="AI75" s="68">
        <f>'Adjusted Consumption'!AI151*parameters!$C101</f>
        <v>0.49114354610185368</v>
      </c>
      <c r="AJ75" s="68">
        <f>'Adjusted Consumption'!AJ151*parameters!$C101</f>
        <v>0.49114354610185368</v>
      </c>
      <c r="AK75" s="68">
        <f>'Adjusted Consumption'!AK151*parameters!$C101</f>
        <v>0.49114354610185368</v>
      </c>
    </row>
    <row r="76" spans="1:37">
      <c r="A76" s="91" t="s">
        <v>427</v>
      </c>
      <c r="B76" s="68"/>
      <c r="C76" s="68"/>
      <c r="D76" s="68"/>
      <c r="E76" s="68"/>
      <c r="F76" s="68"/>
      <c r="G76" s="68"/>
      <c r="H76" s="68"/>
      <c r="I76" s="68"/>
      <c r="J76" s="68"/>
      <c r="K76" s="68"/>
      <c r="L76" s="68">
        <f>'Adjusted Consumption'!L152*parameters!$C102</f>
        <v>1.6317744765067563E-2</v>
      </c>
      <c r="M76" s="68">
        <f>'Adjusted Consumption'!M152*parameters!$C102</f>
        <v>0</v>
      </c>
      <c r="N76" s="68">
        <f>'Adjusted Consumption'!N152*parameters!$C102</f>
        <v>1.0874496452782399E-2</v>
      </c>
      <c r="O76" s="68">
        <f>'Adjusted Consumption'!O152*parameters!$C102</f>
        <v>1.0133061929792752E-2</v>
      </c>
      <c r="P76" s="68">
        <f>'Adjusted Consumption'!P152*parameters!$C102</f>
        <v>9.3916274068031047E-3</v>
      </c>
      <c r="Q76" s="68">
        <f>'Adjusted Consumption'!Q152*parameters!$C102</f>
        <v>8.6651945887978692E-3</v>
      </c>
      <c r="R76" s="68">
        <f>'Adjusted Consumption'!R152*parameters!$C102</f>
        <v>7.9355503044156554E-3</v>
      </c>
      <c r="S76" s="68">
        <f>'Adjusted Consumption'!S152*parameters!$C102</f>
        <v>7.2072877522319952E-3</v>
      </c>
      <c r="T76" s="68">
        <f>'Adjusted Consumption'!T152*parameters!$C102</f>
        <v>6.4730398830131087E-3</v>
      </c>
      <c r="U76" s="68">
        <f>'Adjusted Consumption'!U152*parameters!$C102</f>
        <v>5.7394106583680679E-3</v>
      </c>
      <c r="V76" s="68">
        <f>'Adjusted Consumption'!V152*parameters!$C102</f>
        <v>5.0023759288478553E-3</v>
      </c>
      <c r="W76" s="68">
        <f>'Adjusted Consumption'!W152*parameters!$C102</f>
        <v>4.2527260655036087E-3</v>
      </c>
      <c r="X76" s="68">
        <f>'Adjusted Consumption'!X152*parameters!$C102</f>
        <v>4.2623207059751238E-3</v>
      </c>
      <c r="Y76" s="68">
        <f>'Adjusted Consumption'!Y152*parameters!$C102</f>
        <v>4.2725735409154132E-3</v>
      </c>
      <c r="Z76" s="68">
        <f>'Adjusted Consumption'!Z152*parameters!$C102</f>
        <v>4.2836199329162094E-3</v>
      </c>
      <c r="AA76" s="68">
        <f>'Adjusted Consumption'!AA152*parameters!$C102</f>
        <v>4.2015857458752581E-3</v>
      </c>
      <c r="AB76" s="68">
        <f>'Adjusted Consumption'!AB152*parameters!$C102</f>
        <v>4.2015857458752581E-3</v>
      </c>
      <c r="AC76" s="68">
        <f>'Adjusted Consumption'!AC152*parameters!$C102</f>
        <v>4.2015857458752581E-3</v>
      </c>
      <c r="AD76" s="68">
        <f>'Adjusted Consumption'!AD152*parameters!$C102</f>
        <v>4.2015857458752581E-3</v>
      </c>
      <c r="AE76" s="68">
        <f>'Adjusted Consumption'!AE152*parameters!$C102</f>
        <v>4.2015857458752581E-3</v>
      </c>
      <c r="AF76" s="68">
        <f>'Adjusted Consumption'!AF152*parameters!$C102</f>
        <v>4.2015857458752581E-3</v>
      </c>
      <c r="AG76" s="68">
        <f>'Adjusted Consumption'!AG152*parameters!$C102</f>
        <v>4.2015857458752581E-3</v>
      </c>
      <c r="AH76" s="68">
        <f>'Adjusted Consumption'!AH152*parameters!$C102</f>
        <v>4.2015857458752581E-3</v>
      </c>
      <c r="AI76" s="68">
        <f>'Adjusted Consumption'!AI152*parameters!$C102</f>
        <v>4.2015857458752581E-3</v>
      </c>
      <c r="AJ76" s="68">
        <f>'Adjusted Consumption'!AJ152*parameters!$C102</f>
        <v>4.2015857458752581E-3</v>
      </c>
      <c r="AK76" s="68">
        <f>'Adjusted Consumption'!AK152*parameters!$C102</f>
        <v>4.2015857458752581E-3</v>
      </c>
    </row>
    <row r="77" spans="1:37">
      <c r="A77" s="91" t="s">
        <v>428</v>
      </c>
      <c r="B77" s="68"/>
      <c r="C77" s="68"/>
      <c r="D77" s="68"/>
      <c r="E77" s="68"/>
      <c r="F77" s="68"/>
      <c r="G77" s="68"/>
      <c r="H77" s="68"/>
      <c r="I77" s="68"/>
      <c r="J77" s="68"/>
      <c r="K77" s="68"/>
      <c r="L77" s="68">
        <f>'Adjusted Consumption'!L153*parameters!$C103</f>
        <v>1.2819000256210207</v>
      </c>
      <c r="M77" s="68">
        <f>'Adjusted Consumption'!M153*parameters!$C103</f>
        <v>2.3361077192420185</v>
      </c>
      <c r="N77" s="68">
        <f>'Adjusted Consumption'!N153*parameters!$C103</f>
        <v>3.9060000000000001</v>
      </c>
      <c r="O77" s="68">
        <f>'Adjusted Consumption'!O153*parameters!$C103</f>
        <v>4.4639999999999995</v>
      </c>
      <c r="P77" s="68">
        <f>'Adjusted Consumption'!P153*parameters!$C103</f>
        <v>5.0219999999999994</v>
      </c>
      <c r="Q77" s="68">
        <f>'Adjusted Consumption'!Q153*parameters!$C103</f>
        <v>5.6193513917727405</v>
      </c>
      <c r="R77" s="68">
        <f>'Adjusted Consumption'!R153*parameters!$C103</f>
        <v>5.7167018265938898</v>
      </c>
      <c r="S77" s="68">
        <f>'Adjusted Consumption'!S153*parameters!$C103</f>
        <v>5.7669597519581339</v>
      </c>
      <c r="T77" s="68">
        <f>'Adjusted Consumption'!T153*parameters!$C103</f>
        <v>5.8428699055002147</v>
      </c>
      <c r="U77" s="68">
        <f>'Adjusted Consumption'!U153*parameters!$C103</f>
        <v>5.8965689345426808</v>
      </c>
      <c r="V77" s="68">
        <f>'Adjusted Consumption'!V153*parameters!$C103</f>
        <v>5.9501879965869282</v>
      </c>
      <c r="W77" s="68">
        <f>'Adjusted Consumption'!W153*parameters!$C103</f>
        <v>6.0184766445270101</v>
      </c>
      <c r="X77" s="68">
        <f>'Adjusted Consumption'!X153*parameters!$C103</f>
        <v>6.0719677367994125</v>
      </c>
      <c r="Y77" s="68">
        <f>'Adjusted Consumption'!Y153*parameters!$C103</f>
        <v>6.1287734754078462</v>
      </c>
      <c r="Z77" s="68">
        <f>'Adjusted Consumption'!Z153*parameters!$C103</f>
        <v>6.1890257415459491</v>
      </c>
      <c r="AA77" s="68">
        <f>'Adjusted Consumption'!AA153*parameters!$C103</f>
        <v>5.7383041990302628</v>
      </c>
      <c r="AB77" s="68">
        <f>'Adjusted Consumption'!AB153*parameters!$C103</f>
        <v>5.7372564613504116</v>
      </c>
      <c r="AC77" s="68">
        <f>'Adjusted Consumption'!AC153*parameters!$C103</f>
        <v>5.7356367151378924</v>
      </c>
      <c r="AD77" s="68">
        <f>'Adjusted Consumption'!AD153*parameters!$C103</f>
        <v>5.7339695929116683</v>
      </c>
      <c r="AE77" s="68">
        <f>'Adjusted Consumption'!AE153*parameters!$C103</f>
        <v>5.7322619290162447</v>
      </c>
      <c r="AF77" s="68">
        <f>'Adjusted Consumption'!AF153*parameters!$C103</f>
        <v>5.7304975041543109</v>
      </c>
      <c r="AG77" s="68">
        <f>'Adjusted Consumption'!AG153*parameters!$C103</f>
        <v>5.7289793887343805</v>
      </c>
      <c r="AH77" s="68">
        <f>'Adjusted Consumption'!AH153*parameters!$C103</f>
        <v>5.727412247603044</v>
      </c>
      <c r="AI77" s="68">
        <f>'Adjusted Consumption'!AI153*parameters!$C103</f>
        <v>5.725877733345639</v>
      </c>
      <c r="AJ77" s="68">
        <f>'Adjusted Consumption'!AJ153*parameters!$C103</f>
        <v>5.7243748375534746</v>
      </c>
      <c r="AK77" s="68">
        <f>'Adjusted Consumption'!AK153*parameters!$C103</f>
        <v>5.7229025929503479</v>
      </c>
    </row>
    <row r="78" spans="1:37">
      <c r="A78" s="91" t="s">
        <v>255</v>
      </c>
      <c r="B78" s="68"/>
      <c r="C78" s="68"/>
      <c r="D78" s="68"/>
      <c r="E78" s="68"/>
      <c r="F78" s="68"/>
      <c r="G78" s="68"/>
      <c r="H78" s="68"/>
      <c r="I78" s="68"/>
      <c r="J78" s="68"/>
      <c r="K78" s="68"/>
      <c r="L78" s="68">
        <f>'Adjusted Consumption'!L154*parameters!$C104</f>
        <v>7.3489711947109359E-3</v>
      </c>
      <c r="M78" s="68">
        <f>'Adjusted Consumption'!M154*parameters!$C104</f>
        <v>2.9420130918460267E-3</v>
      </c>
      <c r="N78" s="68">
        <f>'Adjusted Consumption'!N154*parameters!$C104</f>
        <v>5.4747824524374036E-3</v>
      </c>
      <c r="O78" s="68">
        <f>'Adjusted Consumption'!O154*parameters!$C104</f>
        <v>6.1402048050501305E-3</v>
      </c>
      <c r="P78" s="68">
        <f>'Adjusted Consumption'!P154*parameters!$C104</f>
        <v>6.8056271576628575E-3</v>
      </c>
      <c r="Q78" s="68">
        <f>'Adjusted Consumption'!Q154*parameters!$C104</f>
        <v>1.7282344375044417E-2</v>
      </c>
      <c r="R78" s="68">
        <f>'Adjusted Consumption'!R154*parameters!$C104</f>
        <v>0.10590855164494435</v>
      </c>
      <c r="S78" s="68">
        <f>'Adjusted Consumption'!S154*parameters!$C104</f>
        <v>0.11976049421930381</v>
      </c>
      <c r="T78" s="68">
        <f>'Adjusted Consumption'!T154*parameters!$C104</f>
        <v>0.17733774337460084</v>
      </c>
      <c r="U78" s="68">
        <f>'Adjusted Consumption'!U154*parameters!$C104</f>
        <v>0.19245653825723827</v>
      </c>
      <c r="V78" s="68">
        <f>'Adjusted Consumption'!V154*parameters!$C104</f>
        <v>0.20745653686467802</v>
      </c>
      <c r="W78" s="68">
        <f>'Adjusted Consumption'!W154*parameters!$C104</f>
        <v>0.2927105742548799</v>
      </c>
      <c r="X78" s="68">
        <f>'Adjusted Consumption'!X154*parameters!$C104</f>
        <v>0.30743520622768417</v>
      </c>
      <c r="Y78" s="68">
        <f>'Adjusted Consumption'!Y154*parameters!$C104</f>
        <v>0.32270557539767503</v>
      </c>
      <c r="Z78" s="68">
        <f>'Adjusted Consumption'!Z154*parameters!$C104</f>
        <v>0.33794510296150193</v>
      </c>
      <c r="AA78" s="68">
        <f>'Adjusted Consumption'!AA154*parameters!$C104</f>
        <v>0.22054995402972252</v>
      </c>
      <c r="AB78" s="68">
        <f>'Adjusted Consumption'!AB154*parameters!$C104</f>
        <v>0.21916611411923925</v>
      </c>
      <c r="AC78" s="68">
        <f>'Adjusted Consumption'!AC154*parameters!$C104</f>
        <v>0.21702677189947633</v>
      </c>
      <c r="AD78" s="68">
        <f>'Adjusted Consumption'!AD154*parameters!$C104</f>
        <v>0.21482485598419659</v>
      </c>
      <c r="AE78" s="68">
        <f>'Adjusted Consumption'!AE154*parameters!$C104</f>
        <v>0.21256939309722983</v>
      </c>
      <c r="AF78" s="68">
        <f>'Adjusted Consumption'!AF154*parameters!$C104</f>
        <v>0.21023896097671876</v>
      </c>
      <c r="AG78" s="68">
        <f>'Adjusted Consumption'!AG154*parameters!$C104</f>
        <v>0.20823385154215066</v>
      </c>
      <c r="AH78" s="68">
        <f>'Adjusted Consumption'!AH154*parameters!$C104</f>
        <v>0.20616398951025922</v>
      </c>
      <c r="AI78" s="68">
        <f>'Adjusted Consumption'!AI154*parameters!$C104</f>
        <v>0.20413722067924378</v>
      </c>
      <c r="AJ78" s="68">
        <f>'Adjusted Consumption'!AJ154*parameters!$C104</f>
        <v>0.20215221315446708</v>
      </c>
      <c r="AK78" s="68">
        <f>'Adjusted Consumption'!AK154*parameters!$C104</f>
        <v>0.20020768936861658</v>
      </c>
    </row>
    <row r="79" spans="1:37">
      <c r="A79" s="91" t="s">
        <v>374</v>
      </c>
      <c r="B79" s="68"/>
      <c r="C79" s="68"/>
      <c r="D79" s="68"/>
      <c r="E79" s="68"/>
      <c r="F79" s="68"/>
      <c r="G79" s="68"/>
      <c r="H79" s="68"/>
      <c r="I79" s="68"/>
      <c r="J79" s="68"/>
      <c r="K79" s="68"/>
      <c r="L79" s="68">
        <f>'Adjusted Consumption'!L155*parameters!$C105</f>
        <v>8.8330590396783218E-2</v>
      </c>
      <c r="M79" s="68">
        <f>'Adjusted Consumption'!M155*parameters!$C105</f>
        <v>9.929003827696288E-2</v>
      </c>
      <c r="N79" s="68">
        <f>'Adjusted Consumption'!N155*parameters!$C105</f>
        <v>9.4823585004695468E-2</v>
      </c>
      <c r="O79" s="68">
        <f>'Adjusted Consumption'!O155*parameters!$C105</f>
        <v>0.10388747904418454</v>
      </c>
      <c r="P79" s="68">
        <f>'Adjusted Consumption'!P155*parameters!$C105</f>
        <v>0.11295137308367359</v>
      </c>
      <c r="Q79" s="68">
        <f>'Adjusted Consumption'!Q155*parameters!$C105</f>
        <v>0.12222687362322129</v>
      </c>
      <c r="R79" s="68">
        <f>'Adjusted Consumption'!R155*parameters!$C105</f>
        <v>0.13152320880347654</v>
      </c>
      <c r="S79" s="68">
        <f>'Adjusted Consumption'!S155*parameters!$C105</f>
        <v>0.1409244716957041</v>
      </c>
      <c r="T79" s="68">
        <f>'Adjusted Consumption'!T155*parameters!$C105</f>
        <v>0.15030176928704214</v>
      </c>
      <c r="U79" s="68">
        <f>'Adjusted Consumption'!U155*parameters!$C105</f>
        <v>0.15980096563318721</v>
      </c>
      <c r="V79" s="68">
        <f>'Adjusted Consumption'!V155*parameters!$C105</f>
        <v>0.16934408853332691</v>
      </c>
      <c r="W79" s="68">
        <f>'Adjusted Consumption'!W155*parameters!$C105</f>
        <v>0.17854569747641158</v>
      </c>
      <c r="X79" s="68">
        <f>'Adjusted Consumption'!X155*parameters!$C105</f>
        <v>0.17894851716162902</v>
      </c>
      <c r="Y79" s="68">
        <f>'Adjusted Consumption'!Y155*parameters!$C105</f>
        <v>0.1793789703667798</v>
      </c>
      <c r="Z79" s="68">
        <f>'Adjusted Consumption'!Z155*parameters!$C105</f>
        <v>0.17984274013092671</v>
      </c>
      <c r="AA79" s="68">
        <f>'Adjusted Consumption'!AA155*parameters!$C105</f>
        <v>0.17639863136009704</v>
      </c>
      <c r="AB79" s="68">
        <f>'Adjusted Consumption'!AB155*parameters!$C105</f>
        <v>0.17639863136009704</v>
      </c>
      <c r="AC79" s="68">
        <f>'Adjusted Consumption'!AC155*parameters!$C105</f>
        <v>0.17639863136009704</v>
      </c>
      <c r="AD79" s="68">
        <f>'Adjusted Consumption'!AD155*parameters!$C105</f>
        <v>0.17639863136009704</v>
      </c>
      <c r="AE79" s="68">
        <f>'Adjusted Consumption'!AE155*parameters!$C105</f>
        <v>0.17639863136009704</v>
      </c>
      <c r="AF79" s="68">
        <f>'Adjusted Consumption'!AF155*parameters!$C105</f>
        <v>0.17639863136009704</v>
      </c>
      <c r="AG79" s="68">
        <f>'Adjusted Consumption'!AG155*parameters!$C105</f>
        <v>0.17639863136009704</v>
      </c>
      <c r="AH79" s="68">
        <f>'Adjusted Consumption'!AH155*parameters!$C105</f>
        <v>0.17639863136009704</v>
      </c>
      <c r="AI79" s="68">
        <f>'Adjusted Consumption'!AI155*parameters!$C105</f>
        <v>0.17639863136009704</v>
      </c>
      <c r="AJ79" s="68">
        <f>'Adjusted Consumption'!AJ155*parameters!$C105</f>
        <v>0.17639863136009701</v>
      </c>
      <c r="AK79" s="68">
        <f>'Adjusted Consumption'!AK155*parameters!$C105</f>
        <v>0.17639863136009701</v>
      </c>
    </row>
    <row r="80" spans="1:37">
      <c r="A80" s="91" t="s">
        <v>373</v>
      </c>
      <c r="B80" s="68"/>
      <c r="C80" s="68"/>
      <c r="D80" s="68"/>
      <c r="E80" s="68"/>
      <c r="F80" s="68"/>
      <c r="G80" s="68"/>
      <c r="H80" s="68"/>
      <c r="I80" s="68"/>
      <c r="J80" s="68"/>
      <c r="K80" s="68"/>
      <c r="L80" s="68">
        <f>'Adjusted Consumption'!L156*parameters!$C106</f>
        <v>0.12397715387112629</v>
      </c>
      <c r="M80" s="68">
        <f>'Adjusted Consumption'!M156*parameters!$C106</f>
        <v>0.12518931226311597</v>
      </c>
      <c r="N80" s="68">
        <f>'Adjusted Consumption'!N156*parameters!$C106</f>
        <v>0.27536181667760901</v>
      </c>
      <c r="O80" s="68">
        <f>'Adjusted Consumption'!O156*parameters!$C106</f>
        <v>0.27536181667760901</v>
      </c>
      <c r="P80" s="68">
        <f>'Adjusted Consumption'!P156*parameters!$C106</f>
        <v>0.27536181667760901</v>
      </c>
      <c r="Q80" s="68">
        <f>'Adjusted Consumption'!Q156*parameters!$C106</f>
        <v>0.27583936634537409</v>
      </c>
      <c r="R80" s="68">
        <f>'Adjusted Consumption'!R156*parameters!$C106</f>
        <v>0.27629464050699865</v>
      </c>
      <c r="S80" s="68">
        <f>'Adjusted Consumption'!S156*parameters!$C106</f>
        <v>0.2768971925472094</v>
      </c>
      <c r="T80" s="68">
        <f>'Adjusted Consumption'!T156*parameters!$C106</f>
        <v>0.27738230994666968</v>
      </c>
      <c r="U80" s="68">
        <f>'Adjusted Consumption'!U156*parameters!$C106</f>
        <v>0.27802394484897519</v>
      </c>
      <c r="V80" s="68">
        <f>'Adjusted Consumption'!V156*parameters!$C106</f>
        <v>0.27866835427486558</v>
      </c>
      <c r="W80" s="68">
        <f>'Adjusted Consumption'!W156*parameters!$C106</f>
        <v>0.27871343013263866</v>
      </c>
      <c r="X80" s="68">
        <f>'Adjusted Consumption'!X156*parameters!$C106</f>
        <v>0.27934223977509298</v>
      </c>
      <c r="Y80" s="68">
        <f>'Adjusted Consumption'!Y156*parameters!$C106</f>
        <v>0.2800141858987738</v>
      </c>
      <c r="Z80" s="68">
        <f>'Adjusted Consumption'!Z156*parameters!$C106</f>
        <v>0.2807381398421292</v>
      </c>
      <c r="AA80" s="68">
        <f>'Adjusted Consumption'!AA156*parameters!$C106</f>
        <v>0.27536181667760901</v>
      </c>
      <c r="AB80" s="68">
        <f>'Adjusted Consumption'!AB156*parameters!$C106</f>
        <v>0.27536181667760901</v>
      </c>
      <c r="AC80" s="68">
        <f>'Adjusted Consumption'!AC156*parameters!$C106</f>
        <v>0.27536181667760901</v>
      </c>
      <c r="AD80" s="68">
        <f>'Adjusted Consumption'!AD156*parameters!$C106</f>
        <v>0.27536181667760901</v>
      </c>
      <c r="AE80" s="68">
        <f>'Adjusted Consumption'!AE156*parameters!$C106</f>
        <v>0.27536181667760901</v>
      </c>
      <c r="AF80" s="68">
        <f>'Adjusted Consumption'!AF156*parameters!$C106</f>
        <v>0.27536181667760901</v>
      </c>
      <c r="AG80" s="68">
        <f>'Adjusted Consumption'!AG156*parameters!$C106</f>
        <v>0.27536181667760901</v>
      </c>
      <c r="AH80" s="68">
        <f>'Adjusted Consumption'!AH156*parameters!$C106</f>
        <v>0.27536181667760901</v>
      </c>
      <c r="AI80" s="68">
        <f>'Adjusted Consumption'!AI156*parameters!$C106</f>
        <v>0.27536181667760901</v>
      </c>
      <c r="AJ80" s="68">
        <f>'Adjusted Consumption'!AJ156*parameters!$C106</f>
        <v>0.27536181667760901</v>
      </c>
      <c r="AK80" s="68">
        <f>'Adjusted Consumption'!AK156*parameters!$C106</f>
        <v>0.27536181667760901</v>
      </c>
    </row>
    <row r="81" spans="1:37">
      <c r="A81" s="91" t="s">
        <v>375</v>
      </c>
      <c r="B81" s="68"/>
      <c r="C81" s="68"/>
      <c r="D81" s="68"/>
      <c r="E81" s="68"/>
      <c r="F81" s="68"/>
      <c r="G81" s="68"/>
      <c r="H81" s="68"/>
      <c r="I81" s="68"/>
      <c r="J81" s="68"/>
      <c r="K81" s="68"/>
      <c r="L81" s="68">
        <f>'Adjusted Consumption'!L157*parameters!$C107</f>
        <v>5.6075651540036874E-2</v>
      </c>
      <c r="M81" s="68">
        <f>'Adjusted Consumption'!M157*parameters!$C107</f>
        <v>5.439055432564488E-2</v>
      </c>
      <c r="N81" s="68">
        <f>'Adjusted Consumption'!N157*parameters!$C107</f>
        <v>6.5624659151284792E-2</v>
      </c>
      <c r="O81" s="68">
        <f>'Adjusted Consumption'!O157*parameters!$C107</f>
        <v>7.0521207485766638E-2</v>
      </c>
      <c r="P81" s="68">
        <f>'Adjusted Consumption'!P157*parameters!$C107</f>
        <v>7.5417755820249857E-2</v>
      </c>
      <c r="Q81" s="68">
        <f>'Adjusted Consumption'!Q157*parameters!$C107</f>
        <v>8.0453590239231862E-2</v>
      </c>
      <c r="R81" s="68">
        <f>'Adjusted Consumption'!R157*parameters!$C107</f>
        <v>8.5499515291790798E-2</v>
      </c>
      <c r="S81" s="68">
        <f>'Adjusted Consumption'!S157*parameters!$C107</f>
        <v>9.0609826071199717E-2</v>
      </c>
      <c r="T81" s="68">
        <f>'Adjusted Consumption'!T157*parameters!$C107</f>
        <v>9.5701049584536554E-2</v>
      </c>
      <c r="U81" s="68">
        <f>'Adjusted Consumption'!U157*parameters!$C107</f>
        <v>0.10086631015295552</v>
      </c>
      <c r="V81" s="68">
        <f>'Adjusted Consumption'!V157*parameters!$C107</f>
        <v>0.10605544605230979</v>
      </c>
      <c r="W81" s="68">
        <f>'Adjusted Consumption'!W157*parameters!$C107</f>
        <v>0.11102874850712972</v>
      </c>
      <c r="X81" s="68">
        <f>'Adjusted Consumption'!X157*parameters!$C107</f>
        <v>0.11127924216872935</v>
      </c>
      <c r="Y81" s="68">
        <f>'Adjusted Consumption'!Y157*parameters!$C107</f>
        <v>0.11154691975118743</v>
      </c>
      <c r="Z81" s="68">
        <f>'Adjusted Consumption'!Z157*parameters!$C107</f>
        <v>0.11183531525573596</v>
      </c>
      <c r="AA81" s="68">
        <f>'Adjusted Consumption'!AA157*parameters!$C107</f>
        <v>0.10969359416162687</v>
      </c>
      <c r="AB81" s="68">
        <f>'Adjusted Consumption'!AB157*parameters!$C107</f>
        <v>0.10969359416162687</v>
      </c>
      <c r="AC81" s="68">
        <f>'Adjusted Consumption'!AC157*parameters!$C107</f>
        <v>0.10969359416162687</v>
      </c>
      <c r="AD81" s="68">
        <f>'Adjusted Consumption'!AD157*parameters!$C107</f>
        <v>0.10969359416162687</v>
      </c>
      <c r="AE81" s="68">
        <f>'Adjusted Consumption'!AE157*parameters!$C107</f>
        <v>0.10969359416162687</v>
      </c>
      <c r="AF81" s="68">
        <f>'Adjusted Consumption'!AF157*parameters!$C107</f>
        <v>0.10969359416162687</v>
      </c>
      <c r="AG81" s="68">
        <f>'Adjusted Consumption'!AG157*parameters!$C107</f>
        <v>0.10969359416162687</v>
      </c>
      <c r="AH81" s="68">
        <f>'Adjusted Consumption'!AH157*parameters!$C107</f>
        <v>0.10969359416162687</v>
      </c>
      <c r="AI81" s="68">
        <f>'Adjusted Consumption'!AI157*parameters!$C107</f>
        <v>0.10969359416162687</v>
      </c>
      <c r="AJ81" s="68">
        <f>'Adjusted Consumption'!AJ157*parameters!$C107</f>
        <v>0.10969359416162687</v>
      </c>
      <c r="AK81" s="68">
        <f>'Adjusted Consumption'!AK157*parameters!$C107</f>
        <v>0.10969359416162687</v>
      </c>
    </row>
    <row r="82" spans="1:37">
      <c r="A82" s="77" t="s">
        <v>259</v>
      </c>
      <c r="B82" s="68"/>
      <c r="C82" s="68"/>
      <c r="D82" s="68"/>
      <c r="E82" s="68"/>
      <c r="F82" s="68"/>
      <c r="G82" s="68"/>
      <c r="H82" s="68"/>
      <c r="I82" s="68"/>
      <c r="J82" s="68"/>
      <c r="K82" s="68"/>
      <c r="L82" s="68">
        <f t="shared" ref="L82:AK82" si="1">SUM(L69:L81)</f>
        <v>87.499037860427293</v>
      </c>
      <c r="M82" s="68">
        <f t="shared" si="1"/>
        <v>87.428581857404325</v>
      </c>
      <c r="N82" s="68">
        <f t="shared" si="1"/>
        <v>86.212737439696411</v>
      </c>
      <c r="O82" s="68">
        <f t="shared" si="1"/>
        <v>85.794867489191176</v>
      </c>
      <c r="P82" s="68">
        <f t="shared" si="1"/>
        <v>85.376997538685956</v>
      </c>
      <c r="Q82" s="68">
        <f t="shared" si="1"/>
        <v>87.189856734833825</v>
      </c>
      <c r="R82" s="68">
        <f t="shared" si="1"/>
        <v>86.404094867513237</v>
      </c>
      <c r="S82" s="68">
        <f t="shared" si="1"/>
        <v>86.44286798983137</v>
      </c>
      <c r="T82" s="68">
        <f t="shared" si="1"/>
        <v>85.934579560078575</v>
      </c>
      <c r="U82" s="68">
        <f t="shared" si="1"/>
        <v>85.919324403995688</v>
      </c>
      <c r="V82" s="68">
        <f t="shared" si="1"/>
        <v>85.8851738706406</v>
      </c>
      <c r="W82" s="68">
        <f t="shared" si="1"/>
        <v>84.889778202868015</v>
      </c>
      <c r="X82" s="68">
        <f t="shared" si="1"/>
        <v>84.965095599375317</v>
      </c>
      <c r="Y82" s="68">
        <f t="shared" si="1"/>
        <v>85.026853589641249</v>
      </c>
      <c r="Z82" s="68">
        <f t="shared" si="1"/>
        <v>85.107490610901763</v>
      </c>
      <c r="AA82" s="68">
        <f t="shared" si="1"/>
        <v>82.347782721802261</v>
      </c>
      <c r="AB82" s="68">
        <f t="shared" si="1"/>
        <v>82.359114436673039</v>
      </c>
      <c r="AC82" s="68">
        <f t="shared" si="1"/>
        <v>82.376632659598769</v>
      </c>
      <c r="AD82" s="68">
        <f t="shared" si="1"/>
        <v>82.394663273640433</v>
      </c>
      <c r="AE82" s="68">
        <f t="shared" si="1"/>
        <v>82.413132362545255</v>
      </c>
      <c r="AF82" s="68">
        <f t="shared" si="1"/>
        <v>82.432215344698974</v>
      </c>
      <c r="AG82" s="68">
        <f t="shared" si="1"/>
        <v>82.448634388712023</v>
      </c>
      <c r="AH82" s="68">
        <f t="shared" si="1"/>
        <v>82.465583666001663</v>
      </c>
      <c r="AI82" s="68">
        <f t="shared" si="1"/>
        <v>82.482180070201352</v>
      </c>
      <c r="AJ82" s="68">
        <f t="shared" si="1"/>
        <v>82.498434507666786</v>
      </c>
      <c r="AK82" s="68">
        <f t="shared" si="1"/>
        <v>82.514357439888784</v>
      </c>
    </row>
    <row r="83" spans="1:37">
      <c r="A83" s="5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row>
    <row r="84" spans="1:37">
      <c r="A84" s="134" t="s">
        <v>1277</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row>
    <row r="85" spans="1:37">
      <c r="A85" s="77" t="s">
        <v>315</v>
      </c>
      <c r="B85" s="67"/>
      <c r="C85" s="67"/>
      <c r="D85" s="67"/>
      <c r="E85" s="67"/>
      <c r="F85" s="67"/>
      <c r="G85" s="67"/>
      <c r="H85" s="67"/>
      <c r="I85" s="67"/>
      <c r="J85" s="67"/>
      <c r="K85" s="67"/>
      <c r="L85" s="67">
        <f>L82/'Price Change'!L60-1</f>
        <v>0</v>
      </c>
      <c r="M85" s="67">
        <f>M82/'Price Change'!M60-1</f>
        <v>0</v>
      </c>
      <c r="N85" s="67">
        <f>N82/'Price Change'!N60-1</f>
        <v>0</v>
      </c>
      <c r="O85" s="67">
        <f>O82/'Price Change'!O60-1</f>
        <v>0</v>
      </c>
      <c r="P85" s="67">
        <f>P82/'Price Change'!P60-1</f>
        <v>0</v>
      </c>
      <c r="Q85" s="67">
        <f>Q82/'Price Change'!Q60-1</f>
        <v>2.6256497800519529E-2</v>
      </c>
      <c r="R85" s="67">
        <f>R82/'Price Change'!R60-1</f>
        <v>2.6555822902654791E-2</v>
      </c>
      <c r="S85" s="67">
        <f>S82/'Price Change'!S60-1</f>
        <v>2.8911384272989338E-2</v>
      </c>
      <c r="T85" s="67">
        <f>T82/'Price Change'!T60-1</f>
        <v>2.9341117033133246E-2</v>
      </c>
      <c r="U85" s="67">
        <f>U82/'Price Change'!U60-1</f>
        <v>3.1112019091577681E-2</v>
      </c>
      <c r="V85" s="67">
        <f>V82/'Price Change'!V60-1</f>
        <v>3.265154072730847E-2</v>
      </c>
      <c r="W85" s="67">
        <f>W82/'Price Change'!W60-1</f>
        <v>3.0872607723517298E-2</v>
      </c>
      <c r="X85" s="67">
        <f>X82/'Price Change'!X60-1</f>
        <v>3.1906618021228184E-2</v>
      </c>
      <c r="Y85" s="67">
        <f>Y82/'Price Change'!Y60-1</f>
        <v>3.2737011170510755E-2</v>
      </c>
      <c r="Z85" s="67">
        <f>Z82/'Price Change'!Z60-1</f>
        <v>3.3681766365252663E-2</v>
      </c>
      <c r="AA85" s="67">
        <f>AA82/'Price Change'!AA60-1</f>
        <v>0</v>
      </c>
      <c r="AB85" s="67">
        <f>AB82/'Price Change'!AB60-1</f>
        <v>0</v>
      </c>
      <c r="AC85" s="67">
        <f>AC82/'Price Change'!AC60-1</f>
        <v>0</v>
      </c>
      <c r="AD85" s="67">
        <f>AD82/'Price Change'!AD60-1</f>
        <v>0</v>
      </c>
      <c r="AE85" s="67">
        <f>AE82/'Price Change'!AE60-1</f>
        <v>0</v>
      </c>
      <c r="AF85" s="67">
        <f>AF82/'Price Change'!AF60-1</f>
        <v>0</v>
      </c>
      <c r="AG85" s="67">
        <f>AG82/'Price Change'!AG60-1</f>
        <v>0</v>
      </c>
      <c r="AH85" s="67">
        <f>AH82/'Price Change'!AH60-1</f>
        <v>0</v>
      </c>
      <c r="AI85" s="67">
        <f>AI82/'Price Change'!AI60-1</f>
        <v>0</v>
      </c>
      <c r="AJ85" s="67">
        <f>AJ82/'Price Change'!AJ60-1</f>
        <v>0</v>
      </c>
      <c r="AK85" s="67">
        <f>AK82/'Price Change'!AK60-1</f>
        <v>0</v>
      </c>
    </row>
    <row r="86" spans="1:37">
      <c r="A86" s="77" t="s">
        <v>1276</v>
      </c>
      <c r="H86" s="7"/>
      <c r="I86" s="7"/>
      <c r="J86" s="7"/>
      <c r="K86" s="7"/>
      <c r="L86" s="410">
        <f>(L82-'Baseline Consumption'!L121)*mmBtuTOMWh</f>
        <v>0</v>
      </c>
      <c r="M86" s="410">
        <f>(M82-'Baseline Consumption'!M121)*mmBtuTOMWh</f>
        <v>0</v>
      </c>
      <c r="N86" s="410">
        <f>(N82-'Baseline Consumption'!N121)*mmBtuTOMWh</f>
        <v>0</v>
      </c>
      <c r="O86" s="410">
        <f>(O82-'Baseline Consumption'!O121)*mmBtuTOMWh</f>
        <v>0</v>
      </c>
      <c r="P86" s="410">
        <f>(P82-'Baseline Consumption'!P121)*mmBtuTOMWh</f>
        <v>0</v>
      </c>
      <c r="Q86" s="410">
        <f>(Q82-'Baseline Consumption'!Q121)*mmBtuTOMWh</f>
        <v>0.653324798826032</v>
      </c>
      <c r="R86" s="410">
        <f>(R82-'Baseline Consumption'!R121)*mmBtuTOMWh</f>
        <v>0.65462685812825128</v>
      </c>
      <c r="S86" s="410">
        <f>(S82-'Baseline Consumption'!S121)*mmBtuTOMWh</f>
        <v>0.7113811983532643</v>
      </c>
      <c r="T86" s="410">
        <f>(T82-'Baseline Consumption'!T121)*mmBtuTOMWh</f>
        <v>0.7174102555876779</v>
      </c>
      <c r="U86" s="410">
        <f>(U82-'Baseline Consumption'!U121)*mmBtuTOMWh</f>
        <v>0.7592687096805566</v>
      </c>
      <c r="V86" s="410">
        <f>(V82-'Baseline Consumption'!V121)*mmBtuTOMWh</f>
        <v>0.79533552721973999</v>
      </c>
      <c r="W86" s="410">
        <f>(W82-'Baseline Consumption'!W121)*mmBtuTOMWh</f>
        <v>0.7445708257734529</v>
      </c>
      <c r="X86" s="410">
        <f>(X82-'Baseline Consumption'!X121)*mmBtuTOMWh</f>
        <v>0.76941956830467528</v>
      </c>
      <c r="Y86" s="410">
        <f>(Y82-'Baseline Consumption'!Y121)*mmBtuTOMWh</f>
        <v>0.78938286503452304</v>
      </c>
      <c r="Z86" s="410">
        <f>(Z82-'Baseline Consumption'!Z121)*mmBtuTOMWh</f>
        <v>0.81219084644324058</v>
      </c>
      <c r="AA86" s="410">
        <f>(AA82-'Baseline Consumption'!AA121)*mmBtuTOMWh</f>
        <v>0</v>
      </c>
      <c r="AB86" s="410">
        <f>(AB82-'Baseline Consumption'!AB121)*mmBtuTOMWh</f>
        <v>4.1620040747147868E-15</v>
      </c>
      <c r="AC86" s="410">
        <f>(AC82-'Baseline Consumption'!AC121)*mmBtuTOMWh</f>
        <v>0</v>
      </c>
      <c r="AD86" s="410">
        <f>(AD82-'Baseline Consumption'!AD121)*mmBtuTOMWh</f>
        <v>0</v>
      </c>
      <c r="AE86" s="410">
        <f>(AE82-'Baseline Consumption'!AE121)*mmBtuTOMWh</f>
        <v>0</v>
      </c>
      <c r="AF86" s="410">
        <f>(AF82-'Baseline Consumption'!AF121)*mmBtuTOMWh</f>
        <v>0</v>
      </c>
      <c r="AG86" s="410">
        <f>(AG82-'Baseline Consumption'!AG121)*mmBtuTOMWh</f>
        <v>0</v>
      </c>
      <c r="AH86" s="410">
        <f>(AH82-'Baseline Consumption'!AH121)*mmBtuTOMWh</f>
        <v>0</v>
      </c>
      <c r="AI86" s="410">
        <f>(AI82-'Baseline Consumption'!AI121)*mmBtuTOMWh</f>
        <v>0</v>
      </c>
      <c r="AJ86" s="410">
        <f>(AJ82-'Baseline Consumption'!AJ121)*mmBtuTOMWh</f>
        <v>0</v>
      </c>
      <c r="AK86" s="410">
        <f>AK87*mmBtuTOMWh</f>
        <v>0</v>
      </c>
    </row>
    <row r="87" spans="1:37">
      <c r="A87" s="77" t="s">
        <v>1275</v>
      </c>
      <c r="H87" s="7"/>
      <c r="I87" s="7"/>
      <c r="J87" s="7"/>
      <c r="K87" s="7"/>
      <c r="L87" s="410">
        <f>L82-'Baseline Consumption'!L121</f>
        <v>0</v>
      </c>
      <c r="M87" s="410">
        <f>M82-'Baseline Consumption'!M121</f>
        <v>0</v>
      </c>
      <c r="N87" s="410">
        <f>N82-'Baseline Consumption'!N121</f>
        <v>0</v>
      </c>
      <c r="O87" s="410">
        <f>O82-'Baseline Consumption'!O121</f>
        <v>0</v>
      </c>
      <c r="P87" s="410">
        <f>P82-'Baseline Consumption'!P121</f>
        <v>0</v>
      </c>
      <c r="Q87" s="410">
        <f>Q82-'Baseline Consumption'!Q121</f>
        <v>2.2307291466531183</v>
      </c>
      <c r="R87" s="410">
        <f>R82-'Baseline Consumption'!R121</f>
        <v>2.2351749317225824</v>
      </c>
      <c r="S87" s="410">
        <f>S82-'Baseline Consumption'!S121</f>
        <v>2.4289584237414061</v>
      </c>
      <c r="T87" s="410">
        <f>T82-'Baseline Consumption'!T121</f>
        <v>2.4495441932144359</v>
      </c>
      <c r="U87" s="410">
        <f>U82-'Baseline Consumption'!U121</f>
        <v>2.5924667850808589</v>
      </c>
      <c r="V87" s="410">
        <f>V82-'Baseline Consumption'!V121</f>
        <v>2.7156142628074775</v>
      </c>
      <c r="W87" s="410">
        <f>W82-'Baseline Consumption'!W121</f>
        <v>2.542281948863689</v>
      </c>
      <c r="X87" s="410">
        <f>X82-'Baseline Consumption'!X121</f>
        <v>2.6271261401781487</v>
      </c>
      <c r="Y87" s="410">
        <f>Y82-'Baseline Consumption'!Y121</f>
        <v>2.6952893385728487</v>
      </c>
      <c r="Z87" s="410">
        <f>Z82-'Baseline Consumption'!Z121</f>
        <v>2.773165502153617</v>
      </c>
      <c r="AA87" s="410">
        <f>AA82-'Baseline Consumption'!AA121</f>
        <v>0</v>
      </c>
      <c r="AB87" s="410">
        <f>AB82-'Baseline Consumption'!AB121</f>
        <v>0</v>
      </c>
      <c r="AC87" s="410">
        <f>AC82-'Baseline Consumption'!AC121</f>
        <v>0</v>
      </c>
      <c r="AD87" s="410">
        <f>AD82-'Baseline Consumption'!AD121</f>
        <v>0</v>
      </c>
      <c r="AE87" s="410">
        <f>AE82-'Baseline Consumption'!AE121</f>
        <v>0</v>
      </c>
      <c r="AF87" s="410">
        <f>AF82-'Baseline Consumption'!AF121</f>
        <v>0</v>
      </c>
      <c r="AG87" s="410">
        <f>AG82-'Baseline Consumption'!AG121</f>
        <v>0</v>
      </c>
      <c r="AH87" s="410">
        <f>AH82-'Baseline Consumption'!AH121</f>
        <v>0</v>
      </c>
      <c r="AI87" s="410">
        <f>AI82-'Baseline Consumption'!AI121</f>
        <v>0</v>
      </c>
      <c r="AJ87" s="410">
        <f>AJ82-'Baseline Consumption'!AJ121</f>
        <v>0</v>
      </c>
      <c r="AK87" s="410">
        <f>AK82-'Baseline Consumption'!AK121</f>
        <v>0</v>
      </c>
    </row>
    <row r="88" spans="1:37" ht="15">
      <c r="A88" s="57"/>
      <c r="H88" s="7"/>
      <c r="I88" s="7"/>
      <c r="J88" s="7"/>
      <c r="K88" s="7"/>
      <c r="L88" s="7"/>
      <c r="M88" s="7"/>
      <c r="N88" s="7"/>
      <c r="O88" s="7"/>
      <c r="P88" s="7"/>
      <c r="Q88" s="7"/>
      <c r="R88" s="7"/>
      <c r="S88" s="7"/>
      <c r="T88" s="7"/>
      <c r="U88" s="7"/>
      <c r="V88" s="7"/>
      <c r="W88" s="7"/>
      <c r="X88" s="7"/>
      <c r="Y88" s="7"/>
      <c r="Z88" s="7"/>
      <c r="AA88" s="7"/>
      <c r="AB88" s="7"/>
      <c r="AC88" s="7"/>
      <c r="AD88" s="7"/>
      <c r="AE88" s="7"/>
      <c r="AF88" s="7"/>
      <c r="AG88" s="3"/>
    </row>
    <row r="89" spans="1:37" ht="15">
      <c r="A89" s="57"/>
      <c r="H89" s="7"/>
      <c r="I89" s="7"/>
      <c r="J89" s="7"/>
      <c r="K89" s="7"/>
      <c r="L89" s="7"/>
      <c r="M89" s="7"/>
      <c r="N89" s="7"/>
      <c r="O89" s="7"/>
      <c r="P89" s="7"/>
      <c r="Q89" s="7"/>
      <c r="R89" s="7"/>
      <c r="S89" s="7"/>
      <c r="T89" s="7"/>
      <c r="U89" s="7"/>
      <c r="V89" s="7"/>
      <c r="W89" s="7"/>
      <c r="X89" s="7"/>
      <c r="Y89" s="7"/>
      <c r="Z89" s="7"/>
      <c r="AA89" s="7"/>
      <c r="AB89" s="7"/>
      <c r="AC89" s="7"/>
      <c r="AD89" s="7"/>
      <c r="AE89" s="7"/>
      <c r="AF89" s="7"/>
      <c r="AG89" s="3"/>
    </row>
    <row r="90" spans="1:37" ht="15">
      <c r="A90" s="57"/>
      <c r="H90" s="7"/>
      <c r="I90" s="7"/>
      <c r="J90" s="7"/>
      <c r="K90" s="7"/>
      <c r="L90" s="7"/>
      <c r="M90" s="7"/>
      <c r="N90" s="7"/>
      <c r="O90" s="7"/>
      <c r="P90" s="7"/>
      <c r="Q90" s="7"/>
      <c r="R90" s="7"/>
      <c r="S90" s="7"/>
      <c r="T90" s="7"/>
      <c r="U90" s="7"/>
      <c r="V90" s="7"/>
      <c r="W90" s="7"/>
      <c r="X90" s="7"/>
      <c r="Y90" s="7"/>
      <c r="Z90" s="7"/>
      <c r="AA90" s="7"/>
      <c r="AB90" s="7"/>
      <c r="AC90" s="7"/>
      <c r="AD90" s="7"/>
      <c r="AE90" s="7"/>
      <c r="AF90" s="7"/>
      <c r="AG90" s="3"/>
    </row>
    <row r="91" spans="1:37" ht="15">
      <c r="A91" s="57"/>
      <c r="H91" s="7"/>
      <c r="I91" s="7"/>
      <c r="J91" s="7"/>
      <c r="K91" s="7"/>
      <c r="L91" s="7"/>
      <c r="M91" s="7"/>
      <c r="N91" s="7"/>
      <c r="O91" s="7"/>
      <c r="P91" s="7"/>
      <c r="Q91" s="7"/>
      <c r="R91" s="7"/>
      <c r="S91" s="7"/>
      <c r="T91" s="7"/>
      <c r="U91" s="7"/>
      <c r="V91" s="7"/>
      <c r="W91" s="7"/>
      <c r="X91" s="7"/>
      <c r="Y91" s="7"/>
      <c r="Z91" s="7"/>
      <c r="AA91" s="7"/>
      <c r="AB91" s="7"/>
      <c r="AC91" s="7"/>
      <c r="AD91" s="7"/>
      <c r="AE91" s="7"/>
      <c r="AF91" s="7"/>
      <c r="AG91" s="4"/>
    </row>
    <row r="92" spans="1:37" ht="15">
      <c r="H92" s="7"/>
      <c r="I92" s="7"/>
      <c r="J92" s="7"/>
      <c r="K92" s="7"/>
      <c r="L92" s="7"/>
      <c r="M92" s="7"/>
      <c r="N92" s="7"/>
      <c r="O92" s="7"/>
      <c r="P92" s="7"/>
      <c r="Q92" s="7"/>
      <c r="R92" s="7"/>
      <c r="S92" s="7"/>
      <c r="T92" s="7"/>
      <c r="U92" s="7"/>
      <c r="V92" s="7"/>
      <c r="W92" s="7"/>
      <c r="X92" s="7"/>
      <c r="Y92" s="7"/>
      <c r="Z92" s="7"/>
      <c r="AA92" s="7"/>
      <c r="AB92" s="7"/>
      <c r="AC92" s="7"/>
      <c r="AD92" s="7"/>
      <c r="AE92" s="7"/>
      <c r="AF92" s="7"/>
      <c r="AG92" s="3"/>
    </row>
    <row r="93" spans="1:37" ht="15">
      <c r="H93" s="4"/>
      <c r="I93" s="4"/>
      <c r="J93" s="4"/>
      <c r="K93" s="4"/>
      <c r="L93" s="4"/>
      <c r="M93" s="4"/>
      <c r="N93" s="4"/>
      <c r="O93" s="4"/>
      <c r="P93" s="4"/>
      <c r="Q93" s="4"/>
      <c r="R93" s="4"/>
      <c r="S93" s="4"/>
      <c r="T93" s="4"/>
      <c r="U93" s="4"/>
      <c r="V93" s="4"/>
      <c r="W93" s="4"/>
      <c r="X93" s="4"/>
      <c r="Y93" s="4"/>
      <c r="Z93" s="4"/>
      <c r="AA93" s="4"/>
      <c r="AB93" s="4"/>
      <c r="AC93" s="4"/>
      <c r="AD93" s="7"/>
      <c r="AE93" s="7"/>
      <c r="AF93" s="7"/>
      <c r="AG93" s="4"/>
    </row>
    <row r="94" spans="1:37" ht="15">
      <c r="H94" s="7"/>
      <c r="I94" s="7"/>
      <c r="J94" s="7"/>
      <c r="K94" s="7"/>
      <c r="L94" s="7"/>
      <c r="M94" s="7"/>
      <c r="N94" s="7"/>
      <c r="O94" s="7"/>
      <c r="P94" s="7"/>
      <c r="Q94" s="7"/>
      <c r="R94" s="7"/>
      <c r="S94" s="7"/>
      <c r="T94" s="7"/>
      <c r="U94" s="7"/>
      <c r="V94" s="7"/>
      <c r="W94" s="7"/>
      <c r="X94" s="7"/>
      <c r="Y94" s="7"/>
      <c r="Z94" s="7"/>
      <c r="AA94" s="7"/>
      <c r="AB94" s="7"/>
      <c r="AC94" s="7"/>
      <c r="AD94" s="7"/>
      <c r="AE94" s="7"/>
      <c r="AF94" s="7"/>
      <c r="AG94" s="3"/>
    </row>
    <row r="96" spans="1:37" ht="15">
      <c r="A96" s="12"/>
      <c r="B96" s="12"/>
      <c r="C96" s="12"/>
      <c r="D96" s="12"/>
      <c r="E96" s="12"/>
      <c r="F96" s="12"/>
      <c r="G96" s="12"/>
    </row>
    <row r="97" spans="1:33" ht="15">
      <c r="A97" s="12"/>
      <c r="B97" s="12"/>
      <c r="C97" s="12"/>
      <c r="D97" s="12"/>
      <c r="E97" s="12"/>
      <c r="F97" s="12"/>
      <c r="G97" s="12"/>
    </row>
    <row r="98" spans="1:33" ht="15">
      <c r="H98" s="7"/>
      <c r="I98" s="7"/>
      <c r="J98" s="7"/>
      <c r="K98" s="7"/>
      <c r="L98" s="7"/>
      <c r="M98" s="7"/>
      <c r="N98" s="7"/>
      <c r="O98" s="7"/>
      <c r="P98" s="7"/>
      <c r="Q98" s="7"/>
      <c r="R98" s="7"/>
      <c r="S98" s="7"/>
      <c r="T98" s="7"/>
      <c r="U98" s="7"/>
      <c r="V98" s="7"/>
      <c r="W98" s="7"/>
      <c r="X98" s="7"/>
      <c r="Y98" s="7"/>
      <c r="Z98" s="7"/>
      <c r="AA98" s="7"/>
      <c r="AB98" s="7"/>
      <c r="AC98" s="7"/>
      <c r="AD98" s="7"/>
      <c r="AE98" s="7"/>
      <c r="AF98" s="7"/>
      <c r="AG98" s="3"/>
    </row>
    <row r="99" spans="1:33" ht="15">
      <c r="H99" s="7"/>
      <c r="I99" s="7"/>
      <c r="J99" s="7"/>
      <c r="K99" s="7"/>
      <c r="L99" s="7"/>
      <c r="M99" s="7"/>
      <c r="N99" s="7"/>
      <c r="O99" s="7"/>
      <c r="P99" s="7"/>
      <c r="Q99" s="7"/>
      <c r="R99" s="7"/>
      <c r="S99" s="7"/>
      <c r="T99" s="7"/>
      <c r="U99" s="7"/>
      <c r="V99" s="7"/>
      <c r="W99" s="7"/>
      <c r="X99" s="7"/>
      <c r="Y99" s="7"/>
      <c r="Z99" s="7"/>
      <c r="AA99" s="7"/>
      <c r="AB99" s="7"/>
      <c r="AC99" s="7"/>
      <c r="AD99" s="7"/>
      <c r="AE99" s="7"/>
      <c r="AF99" s="7"/>
      <c r="AG99" s="3"/>
    </row>
    <row r="100" spans="1:33" ht="15">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3"/>
    </row>
    <row r="101" spans="1:33" ht="15">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3"/>
    </row>
    <row r="102" spans="1:33" ht="15">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3"/>
    </row>
    <row r="103" spans="1:33" ht="15">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3"/>
    </row>
    <row r="104" spans="1:33" ht="15">
      <c r="A104" s="12"/>
      <c r="B104" s="12"/>
      <c r="C104" s="12"/>
      <c r="D104" s="12"/>
      <c r="E104" s="12"/>
      <c r="F104" s="12"/>
      <c r="G104" s="12"/>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1"/>
    </row>
  </sheetData>
  <phoneticPr fontId="22"/>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B0F0"/>
  </sheetPr>
  <dimension ref="A1:AO64"/>
  <sheetViews>
    <sheetView topLeftCell="A43" workbookViewId="0">
      <pane xSplit="1" topLeftCell="M1" activePane="topRight" state="frozen"/>
      <selection pane="topRight" activeCell="F61" sqref="F61"/>
    </sheetView>
  </sheetViews>
  <sheetFormatPr defaultColWidth="9.140625" defaultRowHeight="12.75"/>
  <cols>
    <col min="1" max="1" width="29" style="57" customWidth="1"/>
    <col min="2" max="16384" width="9.140625" style="57"/>
  </cols>
  <sheetData>
    <row r="1" spans="1:39" ht="27">
      <c r="A1" s="158" t="s">
        <v>346</v>
      </c>
    </row>
    <row r="2" spans="1:39" ht="15.75">
      <c r="A2" s="58" t="s">
        <v>380</v>
      </c>
      <c r="C2" s="58" t="str">
        <f>'price scenario A'!B3</f>
        <v>forecast is in 2017 dollars per million Btu</v>
      </c>
    </row>
    <row r="4" spans="1:39" ht="15">
      <c r="L4" s="18"/>
      <c r="M4" s="315" t="str">
        <f>'price scenario A'!M3</f>
        <v>constant (2017) dollars per million Btu</v>
      </c>
    </row>
    <row r="5" spans="1:39">
      <c r="L5" s="314" t="s">
        <v>363</v>
      </c>
      <c r="M5" s="343" t="s">
        <v>364</v>
      </c>
    </row>
    <row r="6" spans="1:39" ht="13.5">
      <c r="A6" s="59" t="str">
        <f>'Price Change'!A6</f>
        <v xml:space="preserve"> Sector and Source</v>
      </c>
      <c r="B6" s="59">
        <f>'Price Change'!B6</f>
        <v>2005</v>
      </c>
      <c r="C6" s="59">
        <f>'Price Change'!C6</f>
        <v>2006</v>
      </c>
      <c r="D6" s="59">
        <f>'Price Change'!D6</f>
        <v>2007</v>
      </c>
      <c r="E6" s="59">
        <f>'Price Change'!E6</f>
        <v>2008</v>
      </c>
      <c r="F6" s="59">
        <f>'Price Change'!F6</f>
        <v>2009</v>
      </c>
      <c r="G6" s="59">
        <f>'Price Change'!G6</f>
        <v>2010</v>
      </c>
      <c r="H6" s="59">
        <f>'Price Change'!H6</f>
        <v>2011</v>
      </c>
      <c r="I6" s="59">
        <f>'Price Change'!I6</f>
        <v>2012</v>
      </c>
      <c r="J6" s="59">
        <f>'Price Change'!J6</f>
        <v>2013</v>
      </c>
      <c r="K6" s="466">
        <f>'Price Change'!K6</f>
        <v>2014</v>
      </c>
      <c r="L6" s="472">
        <f>'Price Change'!L6</f>
        <v>2015</v>
      </c>
      <c r="M6" s="318">
        <f>'Price Change'!M6</f>
        <v>2016</v>
      </c>
      <c r="N6" s="59">
        <f>'Price Change'!N6</f>
        <v>2017</v>
      </c>
      <c r="O6" s="59">
        <f>'Price Change'!O6</f>
        <v>2018</v>
      </c>
      <c r="P6" s="59">
        <f>'Price Change'!P6</f>
        <v>2019</v>
      </c>
      <c r="Q6" s="59">
        <f>'Price Change'!Q6</f>
        <v>2020</v>
      </c>
      <c r="R6" s="59">
        <f>'Price Change'!R6</f>
        <v>2021</v>
      </c>
      <c r="S6" s="59">
        <f>'Price Change'!S6</f>
        <v>2022</v>
      </c>
      <c r="T6" s="59">
        <f>'Price Change'!T6</f>
        <v>2023</v>
      </c>
      <c r="U6" s="59">
        <f>'Price Change'!U6</f>
        <v>2024</v>
      </c>
      <c r="V6" s="59">
        <f>'Price Change'!V6</f>
        <v>2025</v>
      </c>
      <c r="W6" s="59">
        <f>'Price Change'!W6</f>
        <v>2026</v>
      </c>
      <c r="X6" s="59">
        <f>'Price Change'!X6</f>
        <v>2027</v>
      </c>
      <c r="Y6" s="59">
        <f>'Price Change'!Y6</f>
        <v>2028</v>
      </c>
      <c r="Z6" s="59">
        <f>'Price Change'!Z6</f>
        <v>2029</v>
      </c>
      <c r="AA6" s="59">
        <f>'Price Change'!AA6</f>
        <v>2030</v>
      </c>
      <c r="AB6" s="59">
        <f>'Price Change'!AB6</f>
        <v>2031</v>
      </c>
      <c r="AC6" s="59">
        <f>'Price Change'!AC6</f>
        <v>2032</v>
      </c>
      <c r="AD6" s="59">
        <f>'Price Change'!AD6</f>
        <v>2033</v>
      </c>
      <c r="AE6" s="59">
        <f>'Price Change'!AE6</f>
        <v>2034</v>
      </c>
      <c r="AF6" s="59">
        <f>'Price Change'!AF6</f>
        <v>2035</v>
      </c>
      <c r="AG6" s="59">
        <f>'Price Change'!AG6</f>
        <v>2036</v>
      </c>
      <c r="AH6" s="59">
        <f>'Price Change'!AH6</f>
        <v>2037</v>
      </c>
      <c r="AI6" s="59">
        <f>'Price Change'!AI6</f>
        <v>2038</v>
      </c>
      <c r="AJ6" s="59">
        <f>'Price Change'!AJ6</f>
        <v>2039</v>
      </c>
      <c r="AK6" s="59">
        <f>'Price Change'!AK6</f>
        <v>2040</v>
      </c>
    </row>
    <row r="7" spans="1:39">
      <c r="A7" s="57" t="str">
        <f>'Price Change'!A7</f>
        <v xml:space="preserve"> Residential</v>
      </c>
      <c r="B7" s="76"/>
      <c r="C7" s="76"/>
      <c r="D7" s="76"/>
      <c r="E7" s="76"/>
      <c r="F7" s="76"/>
      <c r="G7" s="76"/>
      <c r="H7" s="76"/>
      <c r="I7" s="76"/>
      <c r="J7" s="76"/>
      <c r="K7" s="278"/>
      <c r="L7" s="376"/>
      <c r="M7" s="76"/>
      <c r="N7" s="76"/>
      <c r="O7" s="76"/>
      <c r="P7" s="76"/>
      <c r="Q7" s="76"/>
      <c r="R7" s="76"/>
      <c r="S7" s="76"/>
      <c r="T7" s="76"/>
      <c r="U7" s="76"/>
      <c r="V7" s="76"/>
      <c r="W7" s="76"/>
      <c r="X7" s="76"/>
      <c r="Y7" s="76"/>
      <c r="Z7" s="76"/>
      <c r="AA7" s="76"/>
      <c r="AB7" s="76"/>
      <c r="AC7" s="76"/>
      <c r="AD7" s="76"/>
      <c r="AE7" s="76"/>
      <c r="AF7" s="76"/>
      <c r="AG7" s="76"/>
      <c r="AH7" s="76"/>
      <c r="AI7" s="76"/>
      <c r="AJ7" s="76"/>
      <c r="AK7" s="76"/>
    </row>
    <row r="8" spans="1:39">
      <c r="A8" s="57" t="str">
        <f>'Price Change'!A8</f>
        <v xml:space="preserve">   Liquefied Petroleum Gases</v>
      </c>
      <c r="B8" s="82">
        <f>'Baseline Price'!B8*(1+'Price Change'!B8)</f>
        <v>26.051241846129606</v>
      </c>
      <c r="C8" s="82">
        <f>'Baseline Price'!C8*(1+'Price Change'!C8)</f>
        <v>30.66863980999922</v>
      </c>
      <c r="D8" s="82">
        <f>'Baseline Price'!D8*(1+'Price Change'!D8)</f>
        <v>33.494805329687082</v>
      </c>
      <c r="E8" s="82">
        <f>'Baseline Price'!E8*(1+'Price Change'!E8)</f>
        <v>39.750843853397861</v>
      </c>
      <c r="F8" s="82">
        <f>'Baseline Price'!F8*(1+'Price Change'!F8)</f>
        <v>33.68748039407636</v>
      </c>
      <c r="G8" s="82">
        <f>'Baseline Price'!G8*(1+'Price Change'!G8)</f>
        <v>32.896204367100005</v>
      </c>
      <c r="H8" s="82">
        <f>'Baseline Price'!H8*(1+'Price Change'!H8)</f>
        <v>26.402289025800002</v>
      </c>
      <c r="I8" s="82">
        <f>'Baseline Price'!I8*(1+'Price Change'!I8)</f>
        <v>27.849444200000001</v>
      </c>
      <c r="J8" s="82">
        <f>'Baseline Price'!J8*(1+'Price Change'!J8)</f>
        <v>26.999056000000003</v>
      </c>
      <c r="K8" s="542">
        <f>'Baseline Price'!K8*(1+'Price Change'!K8)</f>
        <v>26.273474</v>
      </c>
      <c r="L8" s="541">
        <f>'Baseline Price'!L8*(1+'Price Change'!L8)</f>
        <v>19.169197</v>
      </c>
      <c r="M8" s="82">
        <f>'Baseline Price'!M8*(1+'Price Change'!M8)</f>
        <v>18.989611</v>
      </c>
      <c r="N8" s="82">
        <f>'Baseline Price'!N8*(1+'Price Change'!N8)</f>
        <v>19.823017</v>
      </c>
      <c r="O8" s="82">
        <f>'Baseline Price'!O8*(1+'Price Change'!O8)</f>
        <v>18.845822999999999</v>
      </c>
      <c r="P8" s="82">
        <f>'Baseline Price'!P8*(1+'Price Change'!P8)</f>
        <v>19.013500000000001</v>
      </c>
      <c r="Q8" s="82">
        <f>'Baseline Price'!Q8*(1+'Price Change'!Q8)</f>
        <v>20.823588934136414</v>
      </c>
      <c r="R8" s="82">
        <f>'Baseline Price'!R8*(1+'Price Change'!R8)</f>
        <v>21.27149956963077</v>
      </c>
      <c r="S8" s="82">
        <f>'Baseline Price'!S8*(1+'Price Change'!S8)</f>
        <v>21.67974433086744</v>
      </c>
      <c r="T8" s="82">
        <f>'Baseline Price'!T8*(1+'Price Change'!T8)</f>
        <v>22.030166566917881</v>
      </c>
      <c r="U8" s="82">
        <f>'Baseline Price'!U8*(1+'Price Change'!U8)</f>
        <v>24.652738078996734</v>
      </c>
      <c r="V8" s="82">
        <f>'Baseline Price'!V8*(1+'Price Change'!V8)</f>
        <v>24.805535052436252</v>
      </c>
      <c r="W8" s="82">
        <f>'Baseline Price'!W8*(1+'Price Change'!W8)</f>
        <v>24.942914509919863</v>
      </c>
      <c r="X8" s="82">
        <f>'Baseline Price'!X8*(1+'Price Change'!X8)</f>
        <v>25.055767329000929</v>
      </c>
      <c r="Y8" s="82">
        <f>'Baseline Price'!Y8*(1+'Price Change'!Y8)</f>
        <v>25.212685533977595</v>
      </c>
      <c r="Z8" s="82">
        <f>'Baseline Price'!Z8*(1+'Price Change'!Z8)</f>
        <v>25.881729711099041</v>
      </c>
      <c r="AA8" s="82">
        <f>'Baseline Price'!AA8*(1+'Price Change'!AA8)</f>
        <v>24.303826999999998</v>
      </c>
      <c r="AB8" s="82">
        <f>'Baseline Price'!AB8*(1+'Price Change'!AB8)</f>
        <v>24.514396999999999</v>
      </c>
      <c r="AC8" s="82">
        <f>'Baseline Price'!AC8*(1+'Price Change'!AC8)</f>
        <v>24.790319</v>
      </c>
      <c r="AD8" s="82">
        <f>'Baseline Price'!AD8*(1+'Price Change'!AD8)</f>
        <v>25.033773</v>
      </c>
      <c r="AE8" s="82">
        <f>'Baseline Price'!AE8*(1+'Price Change'!AE8)</f>
        <v>25.218855000000001</v>
      </c>
      <c r="AF8" s="82">
        <f>'Baseline Price'!AF8*(1+'Price Change'!AF8)</f>
        <v>25.453479999999999</v>
      </c>
      <c r="AG8" s="82">
        <f>'Baseline Price'!AG8*(1+'Price Change'!AG8)</f>
        <v>25.70064</v>
      </c>
      <c r="AH8" s="82">
        <f>'Baseline Price'!AH8*(1+'Price Change'!AH8)</f>
        <v>25.7957</v>
      </c>
      <c r="AI8" s="82">
        <f>'Baseline Price'!AI8*(1+'Price Change'!AI8)</f>
        <v>26.167466999999998</v>
      </c>
      <c r="AJ8" s="82">
        <f>'Baseline Price'!AJ8*(1+'Price Change'!AJ8)</f>
        <v>26.321366999999999</v>
      </c>
      <c r="AK8" s="82">
        <f>'Baseline Price'!AK8*(1+'Price Change'!AK8)</f>
        <v>26.442492999999999</v>
      </c>
    </row>
    <row r="9" spans="1:39">
      <c r="A9" s="57" t="str">
        <f>'Price Change'!A9</f>
        <v xml:space="preserve">   Distillate Fuel Oil</v>
      </c>
      <c r="B9" s="82">
        <f>'Baseline Price'!B9*(1+'Price Change'!B9)</f>
        <v>20.654778534439036</v>
      </c>
      <c r="C9" s="82">
        <f>'Baseline Price'!C9*(1+'Price Change'!C9)</f>
        <v>21.813877535660978</v>
      </c>
      <c r="D9" s="82">
        <f>'Baseline Price'!D9*(1+'Price Change'!D9)</f>
        <v>26.118203975052712</v>
      </c>
      <c r="E9" s="82">
        <f>'Baseline Price'!E9*(1+'Price Change'!E9)</f>
        <v>28.360250296964857</v>
      </c>
      <c r="F9" s="82">
        <f>'Baseline Price'!F9*(1+'Price Change'!F9)</f>
        <v>20.84400916446355</v>
      </c>
      <c r="G9" s="82">
        <f>'Baseline Price'!G9*(1+'Price Change'!G9)</f>
        <v>23.640661560000002</v>
      </c>
      <c r="H9" s="82">
        <f>'Baseline Price'!H9*(1+'Price Change'!H9)</f>
        <v>28.773628173599999</v>
      </c>
      <c r="I9" s="82">
        <f>'Baseline Price'!I9*(1+'Price Change'!I9)</f>
        <v>28.642387600000003</v>
      </c>
      <c r="J9" s="82">
        <f>'Baseline Price'!J9*(1+'Price Change'!J9)</f>
        <v>28.5695558</v>
      </c>
      <c r="K9" s="542">
        <f>'Baseline Price'!K9*(1+'Price Change'!K9)</f>
        <v>27.557736999999999</v>
      </c>
      <c r="L9" s="541">
        <f>'Baseline Price'!L9*(1+'Price Change'!L9)</f>
        <v>19.262710999999999</v>
      </c>
      <c r="M9" s="82">
        <f>'Baseline Price'!M9*(1+'Price Change'!M9)</f>
        <v>15.350858000000001</v>
      </c>
      <c r="N9" s="82">
        <f>'Baseline Price'!N9*(1+'Price Change'!N9)</f>
        <v>17.886963000000002</v>
      </c>
      <c r="O9" s="82">
        <f>'Baseline Price'!O9*(1+'Price Change'!O9)</f>
        <v>18.569464</v>
      </c>
      <c r="P9" s="82">
        <f>'Baseline Price'!P9*(1+'Price Change'!P9)</f>
        <v>19.599571000000001</v>
      </c>
      <c r="Q9" s="82">
        <f>'Baseline Price'!Q9*(1+'Price Change'!Q9)</f>
        <v>23.994177723058428</v>
      </c>
      <c r="R9" s="82">
        <f>'Baseline Price'!R9*(1+'Price Change'!R9)</f>
        <v>25.762750655242304</v>
      </c>
      <c r="S9" s="82">
        <f>'Baseline Price'!S9*(1+'Price Change'!S9)</f>
        <v>26.597466940317162</v>
      </c>
      <c r="T9" s="82">
        <f>'Baseline Price'!T9*(1+'Price Change'!T9)</f>
        <v>27.268679389371275</v>
      </c>
      <c r="U9" s="82">
        <f>'Baseline Price'!U9*(1+'Price Change'!U9)</f>
        <v>27.704102784980904</v>
      </c>
      <c r="V9" s="82">
        <f>'Baseline Price'!V9*(1+'Price Change'!V9)</f>
        <v>27.920078295049962</v>
      </c>
      <c r="W9" s="82">
        <f>'Baseline Price'!W9*(1+'Price Change'!W9)</f>
        <v>28.174212913305045</v>
      </c>
      <c r="X9" s="82">
        <f>'Baseline Price'!X9*(1+'Price Change'!X9)</f>
        <v>28.478411453057451</v>
      </c>
      <c r="Y9" s="82">
        <f>'Baseline Price'!Y9*(1+'Price Change'!Y9)</f>
        <v>28.830029276821787</v>
      </c>
      <c r="Z9" s="82">
        <f>'Baseline Price'!Z9*(1+'Price Change'!Z9)</f>
        <v>29.213281484375322</v>
      </c>
      <c r="AA9" s="82">
        <f>'Baseline Price'!AA9*(1+'Price Change'!AA9)</f>
        <v>27.435493000000001</v>
      </c>
      <c r="AB9" s="82">
        <f>'Baseline Price'!AB9*(1+'Price Change'!AB9)</f>
        <v>27.820596999999999</v>
      </c>
      <c r="AC9" s="82">
        <f>'Baseline Price'!AC9*(1+'Price Change'!AC9)</f>
        <v>28.01539</v>
      </c>
      <c r="AD9" s="82">
        <f>'Baseline Price'!AD9*(1+'Price Change'!AD9)</f>
        <v>28.320105000000002</v>
      </c>
      <c r="AE9" s="82">
        <f>'Baseline Price'!AE9*(1+'Price Change'!AE9)</f>
        <v>28.570540999999999</v>
      </c>
      <c r="AF9" s="82">
        <f>'Baseline Price'!AF9*(1+'Price Change'!AF9)</f>
        <v>28.694842999999999</v>
      </c>
      <c r="AG9" s="82">
        <f>'Baseline Price'!AG9*(1+'Price Change'!AG9)</f>
        <v>28.827456000000002</v>
      </c>
      <c r="AH9" s="82">
        <f>'Baseline Price'!AH9*(1+'Price Change'!AH9)</f>
        <v>29.335131000000001</v>
      </c>
      <c r="AI9" s="82">
        <f>'Baseline Price'!AI9*(1+'Price Change'!AI9)</f>
        <v>29.484455000000001</v>
      </c>
      <c r="AJ9" s="82">
        <f>'Baseline Price'!AJ9*(1+'Price Change'!AJ9)</f>
        <v>29.714451</v>
      </c>
      <c r="AK9" s="82">
        <f>'Baseline Price'!AK9*(1+'Price Change'!AK9)</f>
        <v>29.926468</v>
      </c>
    </row>
    <row r="10" spans="1:39">
      <c r="A10" s="57" t="str">
        <f>'Price Change'!A10</f>
        <v xml:space="preserve">   Natural Gas</v>
      </c>
      <c r="B10" s="82">
        <f>'Baseline Price'!B10*(1+'Price Change'!B10)</f>
        <v>14.064256366483393</v>
      </c>
      <c r="C10" s="82">
        <f>'Baseline Price'!C10*(1+'Price Change'!C10)</f>
        <v>13.948068335222674</v>
      </c>
      <c r="D10" s="82">
        <f>'Baseline Price'!D10*(1+'Price Change'!D10)</f>
        <v>13.786249584779203</v>
      </c>
      <c r="E10" s="82">
        <f>'Baseline Price'!E10*(1+'Price Change'!E10)</f>
        <v>14.349725806705393</v>
      </c>
      <c r="F10" s="82">
        <f>'Baseline Price'!F10*(1+'Price Change'!F10)</f>
        <v>13.021244137356957</v>
      </c>
      <c r="G10" s="82">
        <f>'Baseline Price'!G10*(1+'Price Change'!G10)</f>
        <v>10.983029568600001</v>
      </c>
      <c r="H10" s="82">
        <f>'Baseline Price'!H10*(1+'Price Change'!H10)</f>
        <v>10.777743023399999</v>
      </c>
      <c r="I10" s="82">
        <f>'Baseline Price'!I10*(1+'Price Change'!I10)</f>
        <v>9.7963900000000006</v>
      </c>
      <c r="J10" s="82">
        <f>'Baseline Price'!J10*(1+'Price Change'!J10)</f>
        <v>10.129775</v>
      </c>
      <c r="K10" s="542">
        <f>'Baseline Price'!K10*(1+'Price Change'!K10)</f>
        <v>11.110224000000001</v>
      </c>
      <c r="L10" s="541">
        <f>'Baseline Price'!L10*(1+'Price Change'!L10)</f>
        <v>11.529643</v>
      </c>
      <c r="M10" s="82">
        <f>'Baseline Price'!M10*(1+'Price Change'!M10)</f>
        <v>11.94908</v>
      </c>
      <c r="N10" s="82">
        <f>'Baseline Price'!N10*(1+'Price Change'!N10)</f>
        <v>12.088861</v>
      </c>
      <c r="O10" s="82">
        <f>'Baseline Price'!O10*(1+'Price Change'!O10)</f>
        <v>11.919873000000001</v>
      </c>
      <c r="P10" s="82">
        <f>'Baseline Price'!P10*(1+'Price Change'!P10)</f>
        <v>12.074678</v>
      </c>
      <c r="Q10" s="82">
        <f>'Baseline Price'!Q10*(1+'Price Change'!Q10)</f>
        <v>12.820608481837365</v>
      </c>
      <c r="R10" s="82">
        <f>'Baseline Price'!R10*(1+'Price Change'!R10)</f>
        <v>12.678728742925122</v>
      </c>
      <c r="S10" s="82">
        <f>'Baseline Price'!S10*(1+'Price Change'!S10)</f>
        <v>12.516472173753856</v>
      </c>
      <c r="T10" s="82">
        <f>'Baseline Price'!T10*(1+'Price Change'!T10)</f>
        <v>12.467040735047737</v>
      </c>
      <c r="U10" s="82">
        <f>'Baseline Price'!U10*(1+'Price Change'!U10)</f>
        <v>14.779206973367105</v>
      </c>
      <c r="V10" s="82">
        <f>'Baseline Price'!V10*(1+'Price Change'!V10)</f>
        <v>15.029980727286866</v>
      </c>
      <c r="W10" s="82">
        <f>'Baseline Price'!W10*(1+'Price Change'!W10)</f>
        <v>15.158636498522506</v>
      </c>
      <c r="X10" s="82">
        <f>'Baseline Price'!X10*(1+'Price Change'!X10)</f>
        <v>15.291117401290293</v>
      </c>
      <c r="Y10" s="82">
        <f>'Baseline Price'!Y10*(1+'Price Change'!Y10)</f>
        <v>15.361928480481769</v>
      </c>
      <c r="Z10" s="82">
        <f>'Baseline Price'!Z10*(1+'Price Change'!Z10)</f>
        <v>15.814264113228615</v>
      </c>
      <c r="AA10" s="82">
        <f>'Baseline Price'!AA10*(1+'Price Change'!AA10)</f>
        <v>14.390219999999999</v>
      </c>
      <c r="AB10" s="82">
        <f>'Baseline Price'!AB10*(1+'Price Change'!AB10)</f>
        <v>14.412317</v>
      </c>
      <c r="AC10" s="82">
        <f>'Baseline Price'!AC10*(1+'Price Change'!AC10)</f>
        <v>14.449577</v>
      </c>
      <c r="AD10" s="82">
        <f>'Baseline Price'!AD10*(1+'Price Change'!AD10)</f>
        <v>14.482034000000001</v>
      </c>
      <c r="AE10" s="82">
        <f>'Baseline Price'!AE10*(1+'Price Change'!AE10)</f>
        <v>14.528327000000001</v>
      </c>
      <c r="AF10" s="82">
        <f>'Baseline Price'!AF10*(1+'Price Change'!AF10)</f>
        <v>14.560515000000001</v>
      </c>
      <c r="AG10" s="82">
        <f>'Baseline Price'!AG10*(1+'Price Change'!AG10)</f>
        <v>14.666527</v>
      </c>
      <c r="AH10" s="82">
        <f>'Baseline Price'!AH10*(1+'Price Change'!AH10)</f>
        <v>14.721496999999999</v>
      </c>
      <c r="AI10" s="82">
        <f>'Baseline Price'!AI10*(1+'Price Change'!AI10)</f>
        <v>14.783452</v>
      </c>
      <c r="AJ10" s="82">
        <f>'Baseline Price'!AJ10*(1+'Price Change'!AJ10)</f>
        <v>14.839560000000001</v>
      </c>
      <c r="AK10" s="82">
        <f>'Baseline Price'!AK10*(1+'Price Change'!AK10)</f>
        <v>14.885216</v>
      </c>
    </row>
    <row r="11" spans="1:39">
      <c r="A11" s="57" t="str">
        <f>'Price Change'!A11</f>
        <v xml:space="preserve">   Electricity</v>
      </c>
      <c r="B11" s="82">
        <f>'Baseline Price'!B11*(1+'Price Change'!B11)</f>
        <v>24.437607720489037</v>
      </c>
      <c r="C11" s="82">
        <f>'Baseline Price'!C11*(1+'Price Change'!C11)</f>
        <v>26.748142607449822</v>
      </c>
      <c r="D11" s="82">
        <f>'Baseline Price'!D11*(1+'Price Change'!D11)</f>
        <v>26.864904992864833</v>
      </c>
      <c r="E11" s="82">
        <f>'Baseline Price'!E11*(1+'Price Change'!E11)</f>
        <v>25.673123481965842</v>
      </c>
      <c r="F11" s="82">
        <f>'Baseline Price'!F11*(1+'Price Change'!F11)</f>
        <v>24.417329661592778</v>
      </c>
      <c r="G11" s="82">
        <f>'Baseline Price'!G11*(1+'Price Change'!G11)</f>
        <v>24.222396268240214</v>
      </c>
      <c r="H11" s="82">
        <f>'Baseline Price'!H11*(1+'Price Change'!H11)</f>
        <v>24.41365919630044</v>
      </c>
      <c r="I11" s="82">
        <f>'Baseline Price'!I11*(1+'Price Change'!I11)</f>
        <v>26.010139828997268</v>
      </c>
      <c r="J11" s="82">
        <f>'Baseline Price'!J11*(1+'Price Change'!J11)</f>
        <v>26.863339111502501</v>
      </c>
      <c r="K11" s="542">
        <f>'Baseline Price'!K11*(1+'Price Change'!K11)</f>
        <v>26.574448608041504</v>
      </c>
      <c r="L11" s="541">
        <f>'Baseline Price'!L11+'Price Change'!L86</f>
        <v>27.888403746879302</v>
      </c>
      <c r="M11" s="82">
        <f>'Baseline Price'!M11+'Price Change'!M86</f>
        <v>27.323781191734788</v>
      </c>
      <c r="N11" s="444">
        <f>'Baseline Price'!N11+'Price Change'!N86</f>
        <v>27.898605514959847</v>
      </c>
      <c r="O11" s="444">
        <f>'Baseline Price'!O11+'Price Change'!O86</f>
        <v>28.707376023982224</v>
      </c>
      <c r="P11" s="444">
        <f>'Baseline Price'!P11+'Price Change'!P86</f>
        <v>28.487337439129082</v>
      </c>
      <c r="Q11" s="444">
        <f>'Baseline Price'!Q11+'Price Change'!Q86</f>
        <v>28.614472225695007</v>
      </c>
      <c r="R11" s="444">
        <f>'Baseline Price'!R11+'Price Change'!R86</f>
        <v>28.997905310372236</v>
      </c>
      <c r="S11" s="444">
        <f>'Baseline Price'!S11+'Price Change'!S86</f>
        <v>29.800682111714163</v>
      </c>
      <c r="T11" s="444">
        <f>'Baseline Price'!T11+'Price Change'!T86</f>
        <v>31.064937722233868</v>
      </c>
      <c r="U11" s="444">
        <f>'Baseline Price'!U11+'Price Change'!U86</f>
        <v>31.66550367209372</v>
      </c>
      <c r="V11" s="444">
        <f>'Baseline Price'!V11+'Price Change'!V86</f>
        <v>32.563372459839918</v>
      </c>
      <c r="W11" s="444">
        <f>'Baseline Price'!W11+'Price Change'!W86</f>
        <v>33.608501901288989</v>
      </c>
      <c r="X11" s="444">
        <f>'Baseline Price'!X11+'Price Change'!X86</f>
        <v>33.993270358951897</v>
      </c>
      <c r="Y11" s="444">
        <f>'Baseline Price'!Y11+'Price Change'!Y86</f>
        <v>34.34861880137737</v>
      </c>
      <c r="Z11" s="444">
        <f>'Baseline Price'!Z11+'Price Change'!Z86</f>
        <v>34.709840060002328</v>
      </c>
      <c r="AA11" s="444">
        <f>'Baseline Price'!AA11+'Price Change'!AA86</f>
        <v>34.361118119700478</v>
      </c>
      <c r="AB11" s="444">
        <f>'Baseline Price'!AB11+'Price Change'!AB86</f>
        <v>34.957493992669967</v>
      </c>
      <c r="AC11" s="444">
        <f>'Baseline Price'!AC11+'Price Change'!AC86</f>
        <v>35.345853583210797</v>
      </c>
      <c r="AD11" s="444">
        <f>'Baseline Price'!AD11+'Price Change'!AD86</f>
        <v>35.68371486707516</v>
      </c>
      <c r="AE11" s="444">
        <f>'Baseline Price'!AE11+'Price Change'!AE86</f>
        <v>35.992153840143565</v>
      </c>
      <c r="AF11" s="444">
        <f>'Baseline Price'!AF11+'Price Change'!AF86</f>
        <v>36.260494036222902</v>
      </c>
      <c r="AG11" s="444">
        <f>'Baseline Price'!AG11+'Price Change'!AG86</f>
        <v>36.481213057829898</v>
      </c>
      <c r="AH11" s="444">
        <f>'Baseline Price'!AH11+'Price Change'!AH86</f>
        <v>36.7197988699277</v>
      </c>
      <c r="AI11" s="444">
        <f>'Baseline Price'!AI11+'Price Change'!AI86</f>
        <v>36.936811202919763</v>
      </c>
      <c r="AJ11" s="444">
        <f>'Baseline Price'!AJ11+'Price Change'!AJ86</f>
        <v>37.100010762911303</v>
      </c>
      <c r="AK11" s="444">
        <f>'Baseline Price'!AK11+'Price Change'!AK86</f>
        <v>37.317811926357422</v>
      </c>
    </row>
    <row r="12" spans="1:39">
      <c r="A12" s="53"/>
      <c r="B12" s="82"/>
      <c r="C12" s="82"/>
      <c r="D12" s="82"/>
      <c r="E12" s="82"/>
      <c r="F12" s="82"/>
      <c r="G12" s="82"/>
      <c r="H12" s="82"/>
      <c r="I12" s="82"/>
      <c r="J12" s="82"/>
      <c r="K12" s="542"/>
      <c r="L12" s="541"/>
      <c r="M12" s="82"/>
      <c r="N12" s="82"/>
      <c r="O12" s="82"/>
      <c r="P12" s="82"/>
      <c r="Q12" s="82"/>
      <c r="R12" s="82"/>
      <c r="S12" s="82"/>
      <c r="T12" s="82"/>
      <c r="U12" s="82"/>
      <c r="V12" s="82"/>
      <c r="W12" s="82"/>
      <c r="X12" s="82"/>
      <c r="Y12" s="82"/>
      <c r="Z12" s="82"/>
      <c r="AA12" s="82">
        <f>AA11-'Baseline Price'!AA11</f>
        <v>0</v>
      </c>
      <c r="AB12" s="82"/>
      <c r="AC12" s="82"/>
      <c r="AD12" s="82"/>
      <c r="AE12" s="82"/>
      <c r="AF12" s="82"/>
      <c r="AG12" s="82"/>
      <c r="AH12" s="82"/>
      <c r="AI12" s="82"/>
      <c r="AJ12" s="82"/>
      <c r="AK12" s="82"/>
    </row>
    <row r="13" spans="1:39">
      <c r="A13" s="57" t="str">
        <f>'Price Change'!A13</f>
        <v xml:space="preserve"> Commercial</v>
      </c>
      <c r="B13" s="61"/>
      <c r="C13" s="61"/>
      <c r="D13" s="61"/>
      <c r="E13" s="61"/>
      <c r="F13" s="61"/>
      <c r="G13" s="61"/>
      <c r="H13" s="61"/>
      <c r="I13" s="76"/>
      <c r="J13" s="76"/>
      <c r="K13" s="278"/>
      <c r="L13" s="3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63">
        <v>0.70098409702424547</v>
      </c>
      <c r="AM13" s="57" t="s">
        <v>347</v>
      </c>
    </row>
    <row r="14" spans="1:39">
      <c r="A14" s="57" t="str">
        <f>'Price Change'!A14</f>
        <v xml:space="preserve">   Liquefied Petroleum Gases</v>
      </c>
      <c r="B14" s="82">
        <f>'Baseline Price'!B14*(1+'Price Change'!B14)</f>
        <v>22.273055432643208</v>
      </c>
      <c r="C14" s="82">
        <f>'Baseline Price'!C14*(1+'Price Change'!C14)</f>
        <v>27.821644812554112</v>
      </c>
      <c r="D14" s="82">
        <f>'Baseline Price'!D14*(1+'Price Change'!D14)</f>
        <v>27.880069095901991</v>
      </c>
      <c r="E14" s="82">
        <f>'Baseline Price'!E14*(1+'Price Change'!E14)</f>
        <v>31.033551188957645</v>
      </c>
      <c r="F14" s="82">
        <f>'Baseline Price'!F14*(1+'Price Change'!F14)</f>
        <v>23.517310056456335</v>
      </c>
      <c r="G14" s="82">
        <f>'Baseline Price'!G14*(1+'Price Change'!G14)</f>
        <v>26.521402959300005</v>
      </c>
      <c r="H14" s="82">
        <f>'Baseline Price'!H14*(1+'Price Change'!H14)</f>
        <v>23.188544743200001</v>
      </c>
      <c r="I14" s="82">
        <f>'Baseline Price'!I14*(1+'Price Change'!I14)</f>
        <v>22.487587600000001</v>
      </c>
      <c r="J14" s="82">
        <f>'Baseline Price'!J14*(1+'Price Change'!J14)</f>
        <v>21.482303600000002</v>
      </c>
      <c r="K14" s="542">
        <f>'Baseline Price'!K14*(1+'Price Change'!K14)</f>
        <v>21.674036000000001</v>
      </c>
      <c r="L14" s="541">
        <f>'Baseline Price'!L14*(1+'Price Change'!L14)</f>
        <v>16.138397000000001</v>
      </c>
      <c r="M14" s="82">
        <f>'Baseline Price'!M14*(1+'Price Change'!M14)</f>
        <v>15.897491</v>
      </c>
      <c r="N14" s="82">
        <f>'Baseline Price'!N14*(1+'Price Change'!N14)</f>
        <v>16.561796000000001</v>
      </c>
      <c r="O14" s="82">
        <f>'Baseline Price'!O14*(1+'Price Change'!O14)</f>
        <v>15.730867</v>
      </c>
      <c r="P14" s="82">
        <f>'Baseline Price'!P14*(1+'Price Change'!P14)</f>
        <v>15.873435000000001</v>
      </c>
      <c r="Q14" s="82">
        <f>'Baseline Price'!Q14*(1+'Price Change'!Q14)</f>
        <v>17.509644934136414</v>
      </c>
      <c r="R14" s="82">
        <f>'Baseline Price'!R14*(1+'Price Change'!R14)</f>
        <v>17.907292569630769</v>
      </c>
      <c r="S14" s="82">
        <f>'Baseline Price'!S14*(1+'Price Change'!S14)</f>
        <v>18.273092330867438</v>
      </c>
      <c r="T14" s="82">
        <f>'Baseline Price'!T14*(1+'Price Change'!T14)</f>
        <v>18.582893566917882</v>
      </c>
      <c r="U14" s="82">
        <f>'Baseline Price'!U14*(1+'Price Change'!U14)</f>
        <v>20.58452807899673</v>
      </c>
      <c r="V14" s="82">
        <f>'Baseline Price'!V14*(1+'Price Change'!V14)</f>
        <v>20.731945052436249</v>
      </c>
      <c r="W14" s="82">
        <f>'Baseline Price'!W14*(1+'Price Change'!W14)</f>
        <v>20.865868509919867</v>
      </c>
      <c r="X14" s="82">
        <f>'Baseline Price'!X14*(1+'Price Change'!X14)</f>
        <v>20.978157329000933</v>
      </c>
      <c r="Y14" s="82">
        <f>'Baseline Price'!Y14*(1+'Price Change'!Y14)</f>
        <v>21.124518533977589</v>
      </c>
      <c r="Z14" s="82">
        <f>'Baseline Price'!Z14*(1+'Price Change'!Z14)</f>
        <v>21.665105711099041</v>
      </c>
      <c r="AA14" s="82">
        <f>'Baseline Price'!AA14*(1+'Price Change'!AA14)</f>
        <v>20.075593999999999</v>
      </c>
      <c r="AB14" s="82">
        <f>'Baseline Price'!AB14*(1+'Price Change'!AB14)</f>
        <v>20.251328999999998</v>
      </c>
      <c r="AC14" s="82">
        <f>'Baseline Price'!AC14*(1+'Price Change'!AC14)</f>
        <v>20.480599999999999</v>
      </c>
      <c r="AD14" s="82">
        <f>'Baseline Price'!AD14*(1+'Price Change'!AD14)</f>
        <v>20.683347999999999</v>
      </c>
      <c r="AE14" s="82">
        <f>'Baseline Price'!AE14*(1+'Price Change'!AE14)</f>
        <v>20.839226</v>
      </c>
      <c r="AF14" s="82">
        <f>'Baseline Price'!AF14*(1+'Price Change'!AF14)</f>
        <v>21.034998000000002</v>
      </c>
      <c r="AG14" s="82">
        <f>'Baseline Price'!AG14*(1+'Price Change'!AG14)</f>
        <v>21.241484</v>
      </c>
      <c r="AH14" s="82">
        <f>'Baseline Price'!AH14*(1+'Price Change'!AH14)</f>
        <v>21.324856</v>
      </c>
      <c r="AI14" s="82">
        <f>'Baseline Price'!AI14*(1+'Price Change'!AI14)</f>
        <v>21.631920000000001</v>
      </c>
      <c r="AJ14" s="82">
        <f>'Baseline Price'!AJ14*(1+'Price Change'!AJ14)</f>
        <v>21.763601000000001</v>
      </c>
      <c r="AK14" s="82">
        <f>'Baseline Price'!AK14*(1+'Price Change'!AK14)</f>
        <v>21.869049</v>
      </c>
    </row>
    <row r="15" spans="1:39">
      <c r="A15" s="57" t="str">
        <f>'Price Change'!A15</f>
        <v xml:space="preserve">   Distillate Fuel Oil</v>
      </c>
      <c r="B15" s="82">
        <f>'Baseline Price'!B15*(1+'Price Change'!B15)</f>
        <v>18.336578255962607</v>
      </c>
      <c r="C15" s="82">
        <f>'Baseline Price'!C15*(1+'Price Change'!C15)</f>
        <v>19.362665933700775</v>
      </c>
      <c r="D15" s="82">
        <f>'Baseline Price'!D15*(1+'Price Change'!D15)</f>
        <v>21.16174832675086</v>
      </c>
      <c r="E15" s="82">
        <f>'Baseline Price'!E15*(1+'Price Change'!E15)</f>
        <v>25.764433837219542</v>
      </c>
      <c r="F15" s="82">
        <f>'Baseline Price'!F15*(1+'Price Change'!F15)</f>
        <v>18.926205218183977</v>
      </c>
      <c r="G15" s="82">
        <f>'Baseline Price'!G15*(1+'Price Change'!G15)</f>
        <v>23.231780717700001</v>
      </c>
      <c r="H15" s="82">
        <f>'Baseline Price'!H15*(1+'Price Change'!H15)</f>
        <v>28.271112897599998</v>
      </c>
      <c r="I15" s="82">
        <f>'Baseline Price'!I15*(1+'Price Change'!I15)</f>
        <v>28.130513399999998</v>
      </c>
      <c r="J15" s="82">
        <f>'Baseline Price'!J15*(1+'Price Change'!J15)</f>
        <v>28.057681600000002</v>
      </c>
      <c r="K15" s="542">
        <f>'Baseline Price'!K15*(1+'Price Change'!K15)</f>
        <v>27.081340999999998</v>
      </c>
      <c r="L15" s="541">
        <f>'Baseline Price'!L15*(1+'Price Change'!L15)</f>
        <v>17.792418000000001</v>
      </c>
      <c r="M15" s="82">
        <f>'Baseline Price'!M15*(1+'Price Change'!M15)</f>
        <v>14.611165</v>
      </c>
      <c r="N15" s="82">
        <f>'Baseline Price'!N15*(1+'Price Change'!N15)</f>
        <v>16.979787999999999</v>
      </c>
      <c r="O15" s="82">
        <f>'Baseline Price'!O15*(1+'Price Change'!O15)</f>
        <v>17.628277000000001</v>
      </c>
      <c r="P15" s="82">
        <f>'Baseline Price'!P15*(1+'Price Change'!P15)</f>
        <v>18.087745999999999</v>
      </c>
      <c r="Q15" s="82">
        <f>'Baseline Price'!Q15*(1+'Price Change'!Q15)</f>
        <v>21.927344723058425</v>
      </c>
      <c r="R15" s="82">
        <f>'Baseline Price'!R15*(1+'Price Change'!R15)</f>
        <v>23.308547655242304</v>
      </c>
      <c r="S15" s="82">
        <f>'Baseline Price'!S15*(1+'Price Change'!S15)</f>
        <v>23.844537940317167</v>
      </c>
      <c r="T15" s="82">
        <f>'Baseline Price'!T15*(1+'Price Change'!T15)</f>
        <v>24.311460389371273</v>
      </c>
      <c r="U15" s="82">
        <f>'Baseline Price'!U15*(1+'Price Change'!U15)</f>
        <v>26.754523784980904</v>
      </c>
      <c r="V15" s="82">
        <f>'Baseline Price'!V15*(1+'Price Change'!V15)</f>
        <v>27.100029295049964</v>
      </c>
      <c r="W15" s="82">
        <f>'Baseline Price'!W15*(1+'Price Change'!W15)</f>
        <v>27.355044913305044</v>
      </c>
      <c r="X15" s="82">
        <f>'Baseline Price'!X15*(1+'Price Change'!X15)</f>
        <v>27.714064453057453</v>
      </c>
      <c r="Y15" s="82">
        <f>'Baseline Price'!Y15*(1+'Price Change'!Y15)</f>
        <v>28.092206276821788</v>
      </c>
      <c r="Z15" s="82">
        <f>'Baseline Price'!Z15*(1+'Price Change'!Z15)</f>
        <v>28.784715484375322</v>
      </c>
      <c r="AA15" s="82">
        <f>'Baseline Price'!AA15*(1+'Price Change'!AA15)</f>
        <v>27.033548</v>
      </c>
      <c r="AB15" s="82">
        <f>'Baseline Price'!AB15*(1+'Price Change'!AB15)</f>
        <v>27.388763000000001</v>
      </c>
      <c r="AC15" s="82">
        <f>'Baseline Price'!AC15*(1+'Price Change'!AC15)</f>
        <v>27.553370000000001</v>
      </c>
      <c r="AD15" s="82">
        <f>'Baseline Price'!AD15*(1+'Price Change'!AD15)</f>
        <v>27.830589</v>
      </c>
      <c r="AE15" s="82">
        <f>'Baseline Price'!AE15*(1+'Price Change'!AE15)</f>
        <v>28.116720000000001</v>
      </c>
      <c r="AF15" s="82">
        <f>'Baseline Price'!AF15*(1+'Price Change'!AF15)</f>
        <v>28.259401</v>
      </c>
      <c r="AG15" s="82">
        <f>'Baseline Price'!AG15*(1+'Price Change'!AG15)</f>
        <v>28.380011</v>
      </c>
      <c r="AH15" s="82">
        <f>'Baseline Price'!AH15*(1+'Price Change'!AH15)</f>
        <v>28.861477000000001</v>
      </c>
      <c r="AI15" s="82">
        <f>'Baseline Price'!AI15*(1+'Price Change'!AI15)</f>
        <v>28.991952999999999</v>
      </c>
      <c r="AJ15" s="82">
        <f>'Baseline Price'!AJ15*(1+'Price Change'!AJ15)</f>
        <v>29.191348999999999</v>
      </c>
      <c r="AK15" s="82">
        <f>'Baseline Price'!AK15*(1+'Price Change'!AK15)</f>
        <v>29.375630999999998</v>
      </c>
    </row>
    <row r="16" spans="1:39">
      <c r="A16" s="57" t="str">
        <f>'Price Change'!A16</f>
        <v xml:space="preserve">   Residual Fuel</v>
      </c>
      <c r="B16" s="82">
        <f>'Baseline Price'!B16*(1+'Price Change'!B16)</f>
        <v>12.921112351189148</v>
      </c>
      <c r="C16" s="82">
        <f>'Baseline Price'!C16*(1+'Price Change'!C16)</f>
        <v>6.0615216361345912</v>
      </c>
      <c r="D16" s="82">
        <f>'Baseline Price'!D16*(1+'Price Change'!D16)</f>
        <v>5.8083483068085409</v>
      </c>
      <c r="E16" s="82">
        <f>'Baseline Price'!E16*(1+'Price Change'!E16)</f>
        <v>10.712581042967264</v>
      </c>
      <c r="F16" s="82">
        <f>'Baseline Price'!F16*(1+'Price Change'!F16)</f>
        <v>6.4120503501815724</v>
      </c>
      <c r="G16" s="82">
        <f>'Baseline Price'!G16*(1+'Price Change'!G16)</f>
        <v>12.935456585700001</v>
      </c>
      <c r="H16" s="82">
        <f>'Baseline Price'!H16*(1+'Price Change'!H16)</f>
        <v>21.757031170800001</v>
      </c>
      <c r="I16" s="82">
        <f>'Baseline Price'!I16*(1+'Price Change'!I16)</f>
        <v>17.627347200000003</v>
      </c>
      <c r="J16" s="82">
        <f>'Baseline Price'!J16*(1+'Price Change'!J16)</f>
        <v>17.024176799999999</v>
      </c>
      <c r="K16" s="542">
        <f>'Baseline Price'!K16*(1+'Price Change'!K16)</f>
        <v>12.55123</v>
      </c>
      <c r="L16" s="541">
        <f>'Baseline Price'!L16*(1+'Price Change'!L16)</f>
        <v>10.757339999999999</v>
      </c>
      <c r="M16" s="82">
        <f>'Baseline Price'!M16*(1+'Price Change'!M16)</f>
        <v>7.8119240000000003</v>
      </c>
      <c r="N16" s="82">
        <f>'Baseline Price'!N16*(1+'Price Change'!N16)</f>
        <v>10.441119</v>
      </c>
      <c r="O16" s="82">
        <f>'Baseline Price'!O16*(1+'Price Change'!O16)</f>
        <v>10.327628000000001</v>
      </c>
      <c r="P16" s="82">
        <f>'Baseline Price'!P16*(1+'Price Change'!P16)</f>
        <v>10.267853000000001</v>
      </c>
      <c r="Q16" s="82">
        <f>'Baseline Price'!Q16*(1+'Price Change'!Q16)</f>
        <v>12.259173000000001</v>
      </c>
      <c r="R16" s="82">
        <f>'Baseline Price'!R16*(1+'Price Change'!R16)</f>
        <v>12.630362999999999</v>
      </c>
      <c r="S16" s="82">
        <f>'Baseline Price'!S16*(1+'Price Change'!S16)</f>
        <v>12.317698</v>
      </c>
      <c r="T16" s="82">
        <f>'Baseline Price'!T16*(1+'Price Change'!T16)</f>
        <v>11.884785000000001</v>
      </c>
      <c r="U16" s="82">
        <f>'Baseline Price'!U16*(1+'Price Change'!U16)</f>
        <v>11.968275</v>
      </c>
      <c r="V16" s="82">
        <f>'Baseline Price'!V16*(1+'Price Change'!V16)</f>
        <v>11.983991</v>
      </c>
      <c r="W16" s="82">
        <f>'Baseline Price'!W16*(1+'Price Change'!W16)</f>
        <v>12.214967</v>
      </c>
      <c r="X16" s="82">
        <f>'Baseline Price'!X16*(1+'Price Change'!X16)</f>
        <v>12.421203999999999</v>
      </c>
      <c r="Y16" s="82">
        <f>'Baseline Price'!Y16*(1+'Price Change'!Y16)</f>
        <v>12.579959000000001</v>
      </c>
      <c r="Z16" s="82">
        <f>'Baseline Price'!Z16*(1+'Price Change'!Z16)</f>
        <v>12.880599999999999</v>
      </c>
      <c r="AA16" s="82">
        <f>'Baseline Price'!AA16*(1+'Price Change'!AA16)</f>
        <v>13.062250000000001</v>
      </c>
      <c r="AB16" s="82">
        <f>'Baseline Price'!AB16*(1+'Price Change'!AB16)</f>
        <v>13.338372</v>
      </c>
      <c r="AC16" s="82">
        <f>'Baseline Price'!AC16*(1+'Price Change'!AC16)</f>
        <v>13.477693</v>
      </c>
      <c r="AD16" s="82">
        <f>'Baseline Price'!AD16*(1+'Price Change'!AD16)</f>
        <v>13.677117000000001</v>
      </c>
      <c r="AE16" s="82">
        <f>'Baseline Price'!AE16*(1+'Price Change'!AE16)</f>
        <v>13.845609</v>
      </c>
      <c r="AF16" s="82">
        <f>'Baseline Price'!AF16*(1+'Price Change'!AF16)</f>
        <v>14.040692999999999</v>
      </c>
      <c r="AG16" s="82">
        <f>'Baseline Price'!AG16*(1+'Price Change'!AG16)</f>
        <v>14.108172</v>
      </c>
      <c r="AH16" s="82">
        <f>'Baseline Price'!AH16*(1+'Price Change'!AH16)</f>
        <v>14.482070999999999</v>
      </c>
      <c r="AI16" s="82">
        <f>'Baseline Price'!AI16*(1+'Price Change'!AI16)</f>
        <v>14.621357</v>
      </c>
      <c r="AJ16" s="82">
        <f>'Baseline Price'!AJ16*(1+'Price Change'!AJ16)</f>
        <v>14.809163</v>
      </c>
      <c r="AK16" s="82">
        <f>'Baseline Price'!AK16*(1+'Price Change'!AK16)</f>
        <v>14.967705</v>
      </c>
    </row>
    <row r="17" spans="1:39">
      <c r="A17" s="57" t="str">
        <f>'Price Change'!A17</f>
        <v xml:space="preserve">   Natural Gas</v>
      </c>
      <c r="B17" s="82">
        <f>'Baseline Price'!B17*(1+'Price Change'!B17)</f>
        <v>12.4588911739857</v>
      </c>
      <c r="C17" s="82">
        <f>'Baseline Price'!C17*(1+'Price Change'!C17)</f>
        <v>12.138027530451193</v>
      </c>
      <c r="D17" s="82">
        <f>'Baseline Price'!D17*(1+'Price Change'!D17)</f>
        <v>12.253838968934737</v>
      </c>
      <c r="E17" s="82">
        <f>'Baseline Price'!E17*(1+'Price Change'!E17)</f>
        <v>13.109720213375745</v>
      </c>
      <c r="F17" s="82">
        <f>'Baseline Price'!F17*(1+'Price Change'!F17)</f>
        <v>10.911478280941965</v>
      </c>
      <c r="G17" s="82">
        <f>'Baseline Price'!G17*(1+'Price Change'!G17)</f>
        <v>9.4729120800000004</v>
      </c>
      <c r="H17" s="82">
        <f>'Baseline Price'!H17*(1+'Price Change'!H17)</f>
        <v>9.3063090174000003</v>
      </c>
      <c r="I17" s="82">
        <f>'Baseline Price'!I17*(1+'Price Change'!I17)</f>
        <v>8.0032916000000007</v>
      </c>
      <c r="J17" s="82">
        <f>'Baseline Price'!J17*(1+'Price Change'!J17)</f>
        <v>8.1879356000000012</v>
      </c>
      <c r="K17" s="542">
        <f>'Baseline Price'!K17*(1+'Price Change'!K17)</f>
        <v>9.0168049999999997</v>
      </c>
      <c r="L17" s="541">
        <f>'Baseline Price'!L17*(1+'Price Change'!L17)</f>
        <v>8.688383</v>
      </c>
      <c r="M17" s="82">
        <f>'Baseline Price'!M17*(1+'Price Change'!M17)</f>
        <v>9.047186</v>
      </c>
      <c r="N17" s="82">
        <f>'Baseline Price'!N17*(1+'Price Change'!N17)</f>
        <v>9.0701850000000004</v>
      </c>
      <c r="O17" s="82">
        <f>'Baseline Price'!O17*(1+'Price Change'!O17)</f>
        <v>8.6322949999999992</v>
      </c>
      <c r="P17" s="82">
        <f>'Baseline Price'!P17*(1+'Price Change'!P17)</f>
        <v>8.9627320000000008</v>
      </c>
      <c r="Q17" s="82">
        <f>'Baseline Price'!Q17*(1+'Price Change'!Q17)</f>
        <v>10.009134481837364</v>
      </c>
      <c r="R17" s="82">
        <f>'Baseline Price'!R17*(1+'Price Change'!R17)</f>
        <v>10.203661742925121</v>
      </c>
      <c r="S17" s="82">
        <f>'Baseline Price'!S17*(1+'Price Change'!S17)</f>
        <v>10.384877173753855</v>
      </c>
      <c r="T17" s="82">
        <f>'Baseline Price'!T17*(1+'Price Change'!T17)</f>
        <v>10.681401735047739</v>
      </c>
      <c r="U17" s="82">
        <f>'Baseline Price'!U17*(1+'Price Change'!U17)</f>
        <v>12.825762973367105</v>
      </c>
      <c r="V17" s="82">
        <f>'Baseline Price'!V17*(1+'Price Change'!V17)</f>
        <v>13.046148727286866</v>
      </c>
      <c r="W17" s="82">
        <f>'Baseline Price'!W17*(1+'Price Change'!W17)</f>
        <v>13.156101498522508</v>
      </c>
      <c r="X17" s="82">
        <f>'Baseline Price'!X17*(1+'Price Change'!X17)</f>
        <v>13.278863401290295</v>
      </c>
      <c r="Y17" s="82">
        <f>'Baseline Price'!Y17*(1+'Price Change'!Y17)</f>
        <v>13.340931480481769</v>
      </c>
      <c r="Z17" s="82">
        <f>'Baseline Price'!Z17*(1+'Price Change'!Z17)</f>
        <v>13.762138113228616</v>
      </c>
      <c r="AA17" s="82">
        <f>'Baseline Price'!AA17*(1+'Price Change'!AA17)</f>
        <v>12.326641</v>
      </c>
      <c r="AB17" s="82">
        <f>'Baseline Price'!AB17*(1+'Price Change'!AB17)</f>
        <v>12.338607</v>
      </c>
      <c r="AC17" s="82">
        <f>'Baseline Price'!AC17*(1+'Price Change'!AC17)</f>
        <v>12.36623</v>
      </c>
      <c r="AD17" s="82">
        <f>'Baseline Price'!AD17*(1+'Price Change'!AD17)</f>
        <v>12.388722</v>
      </c>
      <c r="AE17" s="82">
        <f>'Baseline Price'!AE17*(1+'Price Change'!AE17)</f>
        <v>12.42376</v>
      </c>
      <c r="AF17" s="82">
        <f>'Baseline Price'!AF17*(1+'Price Change'!AF17)</f>
        <v>12.444418000000001</v>
      </c>
      <c r="AG17" s="82">
        <f>'Baseline Price'!AG17*(1+'Price Change'!AG17)</f>
        <v>12.538086</v>
      </c>
      <c r="AH17" s="82">
        <f>'Baseline Price'!AH17*(1+'Price Change'!AH17)</f>
        <v>12.581108</v>
      </c>
      <c r="AI17" s="82">
        <f>'Baseline Price'!AI17*(1+'Price Change'!AI17)</f>
        <v>12.632256999999999</v>
      </c>
      <c r="AJ17" s="82">
        <f>'Baseline Price'!AJ17*(1+'Price Change'!AJ17)</f>
        <v>12.679245999999999</v>
      </c>
      <c r="AK17" s="82">
        <f>'Baseline Price'!AK17*(1+'Price Change'!AK17)</f>
        <v>12.717772</v>
      </c>
    </row>
    <row r="18" spans="1:39">
      <c r="A18" s="57" t="str">
        <f>'Price Change'!A18</f>
        <v xml:space="preserve">   Electricity</v>
      </c>
      <c r="B18" s="82">
        <f>'Baseline Price'!B18*(1+'Price Change'!B18)</f>
        <v>23.1460737255574</v>
      </c>
      <c r="C18" s="82">
        <f>'Baseline Price'!C18*(1+'Price Change'!C18)</f>
        <v>24.624666882854779</v>
      </c>
      <c r="D18" s="82">
        <f>'Baseline Price'!D18*(1+'Price Change'!D18)</f>
        <v>24.228302186069008</v>
      </c>
      <c r="E18" s="82">
        <f>'Baseline Price'!E18*(1+'Price Change'!E18)</f>
        <v>23.393087422468135</v>
      </c>
      <c r="F18" s="82">
        <f>'Baseline Price'!F18*(1+'Price Change'!F18)</f>
        <v>22.521179950466806</v>
      </c>
      <c r="G18" s="82">
        <f>'Baseline Price'!G18*(1+'Price Change'!G18)</f>
        <v>23.088380996261964</v>
      </c>
      <c r="H18" s="82">
        <f>'Baseline Price'!H18*(1+'Price Change'!H18)</f>
        <v>21.771570740789318</v>
      </c>
      <c r="I18" s="82">
        <f>'Baseline Price'!I18*(1+'Price Change'!I18)</f>
        <v>22.849315103117643</v>
      </c>
      <c r="J18" s="82">
        <f>'Baseline Price'!J18*(1+'Price Change'!J18)</f>
        <v>23.973965877348391</v>
      </c>
      <c r="K18" s="542">
        <f>'Baseline Price'!K18*(1+'Price Change'!K18)</f>
        <v>25.288633935720732</v>
      </c>
      <c r="L18" s="541">
        <f>'Baseline Price'!L18+'Price Change'!L86</f>
        <v>25.573413851467585</v>
      </c>
      <c r="M18" s="634">
        <f>'Baseline Price'!M18+'Price Change'!M86</f>
        <v>23.743157333116049</v>
      </c>
      <c r="N18" s="542">
        <f>'Baseline Price'!N18+'Price Change'!N86</f>
        <v>24.625329298367848</v>
      </c>
      <c r="O18" s="542">
        <f>'Baseline Price'!O18+'Price Change'!O86</f>
        <v>24.706474214551257</v>
      </c>
      <c r="P18" s="542">
        <f>'Baseline Price'!P18+'Price Change'!P86</f>
        <v>24.015484730118768</v>
      </c>
      <c r="Q18" s="542">
        <f>'Baseline Price'!Q18+'Price Change'!Q86</f>
        <v>24.380302177059871</v>
      </c>
      <c r="R18" s="542">
        <f>'Baseline Price'!R18+'Price Change'!R86</f>
        <v>24.413483429089986</v>
      </c>
      <c r="S18" s="542">
        <f>'Baseline Price'!S18+'Price Change'!S86</f>
        <v>25.490385688463306</v>
      </c>
      <c r="T18" s="542">
        <f>'Baseline Price'!T18+'Price Change'!T86</f>
        <v>26.206885228244545</v>
      </c>
      <c r="U18" s="542">
        <f>'Baseline Price'!U18+'Price Change'!U86</f>
        <v>26.4915069815941</v>
      </c>
      <c r="V18" s="542">
        <f>'Baseline Price'!V18+'Price Change'!V86</f>
        <v>27.540726807074797</v>
      </c>
      <c r="W18" s="542">
        <f>'Baseline Price'!W18+'Price Change'!W86</f>
        <v>28.03672990213029</v>
      </c>
      <c r="X18" s="542">
        <f>'Baseline Price'!X18+'Price Change'!X86</f>
        <v>28.158151349020731</v>
      </c>
      <c r="Y18" s="542">
        <f>'Baseline Price'!Y18+'Price Change'!Y86</f>
        <v>28.23982759217412</v>
      </c>
      <c r="Z18" s="542">
        <f>'Baseline Price'!Z18+'Price Change'!Z86</f>
        <v>28.32541996892359</v>
      </c>
      <c r="AA18" s="542">
        <f>'Baseline Price'!AA18+'Price Change'!AA86</f>
        <v>27.769667745193878</v>
      </c>
      <c r="AB18" s="542">
        <f>'Baseline Price'!AB18+'Price Change'!AB86</f>
        <v>27.988654684159137</v>
      </c>
      <c r="AC18" s="542">
        <f>'Baseline Price'!AC18+'Price Change'!AC86</f>
        <v>28.04293624743973</v>
      </c>
      <c r="AD18" s="542">
        <f>'Baseline Price'!AD18+'Price Change'!AD86</f>
        <v>28.053375699501494</v>
      </c>
      <c r="AE18" s="542">
        <f>'Baseline Price'!AE18+'Price Change'!AE86</f>
        <v>28.059990342007755</v>
      </c>
      <c r="AF18" s="542">
        <f>'Baseline Price'!AF18+'Price Change'!AF86</f>
        <v>28.013107874904954</v>
      </c>
      <c r="AG18" s="542">
        <f>'Baseline Price'!AG18+'Price Change'!AG86</f>
        <v>27.93707864897587</v>
      </c>
      <c r="AH18" s="542">
        <f>'Baseline Price'!AH18+'Price Change'!AH86</f>
        <v>27.847891288938925</v>
      </c>
      <c r="AI18" s="542">
        <f>'Baseline Price'!AI18+'Price Change'!AI86</f>
        <v>27.74230454223817</v>
      </c>
      <c r="AJ18" s="542">
        <f>'Baseline Price'!AJ18+'Price Change'!AJ86</f>
        <v>27.594944441714556</v>
      </c>
      <c r="AK18" s="542">
        <f>'Baseline Price'!AK18+'Price Change'!AK86</f>
        <v>27.448104520073745</v>
      </c>
    </row>
    <row r="19" spans="1:39">
      <c r="A19" s="53"/>
      <c r="B19" s="82"/>
      <c r="C19" s="82"/>
      <c r="D19" s="82"/>
      <c r="E19" s="82"/>
      <c r="F19" s="82"/>
      <c r="G19" s="82"/>
      <c r="H19" s="82"/>
      <c r="I19" s="82"/>
      <c r="J19" s="82"/>
      <c r="K19" s="542"/>
      <c r="L19" s="541"/>
      <c r="M19" s="82"/>
      <c r="N19" s="82"/>
      <c r="O19" s="82"/>
      <c r="P19" s="82"/>
      <c r="Q19" s="82"/>
      <c r="R19" s="82"/>
      <c r="S19" s="82"/>
      <c r="T19" s="82"/>
      <c r="U19" s="82"/>
      <c r="V19" s="82"/>
      <c r="W19" s="82"/>
      <c r="X19" s="82"/>
      <c r="Y19" s="82"/>
      <c r="Z19" s="82"/>
      <c r="AA19" s="444">
        <f>AA18-'Baseline Price'!AA18</f>
        <v>0</v>
      </c>
      <c r="AB19" s="82"/>
      <c r="AC19" s="82"/>
      <c r="AD19" s="82"/>
      <c r="AE19" s="82"/>
      <c r="AF19" s="82"/>
      <c r="AG19" s="82"/>
      <c r="AH19" s="82"/>
      <c r="AI19" s="82"/>
      <c r="AJ19" s="82"/>
      <c r="AK19" s="82"/>
    </row>
    <row r="20" spans="1:39">
      <c r="A20" s="57" t="str">
        <f>'Price Change'!A20</f>
        <v xml:space="preserve"> Industrial 1/</v>
      </c>
      <c r="B20" s="61"/>
      <c r="C20" s="61"/>
      <c r="D20" s="61"/>
      <c r="E20" s="61"/>
      <c r="F20" s="61"/>
      <c r="G20" s="61"/>
      <c r="H20" s="61"/>
      <c r="I20" s="76"/>
      <c r="J20" s="76"/>
      <c r="K20" s="278"/>
      <c r="L20" s="3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63">
        <v>0.67559999999999998</v>
      </c>
      <c r="AM20" s="57" t="s">
        <v>347</v>
      </c>
    </row>
    <row r="21" spans="1:39">
      <c r="A21" s="57" t="str">
        <f>'Price Change'!A21</f>
        <v xml:space="preserve">   Liquefied Petroleum Gases</v>
      </c>
      <c r="B21" s="82">
        <f>'Baseline Price'!B21*(1+'Price Change'!B21)</f>
        <v>21.509851978559478</v>
      </c>
      <c r="C21" s="82">
        <f>'Baseline Price'!C21*(1+'Price Change'!C21)</f>
        <v>26.868314656148534</v>
      </c>
      <c r="D21" s="82">
        <f>'Baseline Price'!D21*(1+'Price Change'!D21)</f>
        <v>28.751324003003155</v>
      </c>
      <c r="E21" s="82">
        <f>'Baseline Price'!E21*(1+'Price Change'!E21)</f>
        <v>26.965483053909633</v>
      </c>
      <c r="F21" s="82">
        <f>'Baseline Price'!F21*(1+'Price Change'!F21)</f>
        <v>21.018354346330199</v>
      </c>
      <c r="G21" s="82">
        <f>'Baseline Price'!G21*(1+'Price Change'!G21)</f>
        <v>29.179118348100001</v>
      </c>
      <c r="H21" s="82">
        <f>'Baseline Price'!H21*(1+'Price Change'!H21)</f>
        <v>23.640283057799998</v>
      </c>
      <c r="I21" s="82">
        <f>'Baseline Price'!I21*(1+'Price Change'!I21)</f>
        <v>21.868004400000004</v>
      </c>
      <c r="J21" s="82">
        <f>'Baseline Price'!J21*(1+'Price Change'!J21)</f>
        <v>20.828869000000001</v>
      </c>
      <c r="K21" s="542">
        <f>'Baseline Price'!K21*(1+'Price Change'!K21)</f>
        <v>18.848862</v>
      </c>
      <c r="L21" s="541">
        <f>'Baseline Price'!L21*(1+'Price Change'!L21)</f>
        <v>12.432567000000001</v>
      </c>
      <c r="M21" s="82">
        <f>'Baseline Price'!M21*(1+'Price Change'!M21)</f>
        <v>11.673771</v>
      </c>
      <c r="N21" s="82">
        <f>'Baseline Price'!N21*(1+'Price Change'!N21)</f>
        <v>12.419772999999999</v>
      </c>
      <c r="O21" s="82">
        <f>'Baseline Price'!O21*(1+'Price Change'!O21)</f>
        <v>11.471807</v>
      </c>
      <c r="P21" s="82">
        <f>'Baseline Price'!P21*(1+'Price Change'!P21)</f>
        <v>11.594818</v>
      </c>
      <c r="Q21" s="82">
        <f>'Baseline Price'!Q21*(1+'Price Change'!Q21)</f>
        <v>13.306516934136413</v>
      </c>
      <c r="R21" s="82">
        <f>'Baseline Price'!R21*(1+'Price Change'!R21)</f>
        <v>13.734209569630769</v>
      </c>
      <c r="S21" s="82">
        <f>'Baseline Price'!S21*(1+'Price Change'!S21)</f>
        <v>14.126524330867436</v>
      </c>
      <c r="T21" s="82">
        <f>'Baseline Price'!T21*(1+'Price Change'!T21)</f>
        <v>14.46427356691788</v>
      </c>
      <c r="U21" s="82">
        <f>'Baseline Price'!U21*(1+'Price Change'!U21)</f>
        <v>14.69807507899673</v>
      </c>
      <c r="V21" s="82">
        <f>'Baseline Price'!V21*(1+'Price Change'!V21)</f>
        <v>14.85337805243625</v>
      </c>
      <c r="W21" s="82">
        <f>'Baseline Price'!W21*(1+'Price Change'!W21)</f>
        <v>14.994044509919867</v>
      </c>
      <c r="X21" s="82">
        <f>'Baseline Price'!X21*(1+'Price Change'!X21)</f>
        <v>15.111368329000932</v>
      </c>
      <c r="Y21" s="82">
        <f>'Baseline Price'!Y21*(1+'Price Change'!Y21)</f>
        <v>15.268686533977592</v>
      </c>
      <c r="Z21" s="82">
        <f>'Baseline Price'!Z21*(1+'Price Change'!Z21)</f>
        <v>15.586012711099041</v>
      </c>
      <c r="AA21" s="82">
        <f>'Baseline Price'!AA21*(1+'Price Change'!AA21)</f>
        <v>14.007917000000001</v>
      </c>
      <c r="AB21" s="82">
        <f>'Baseline Price'!AB21*(1+'Price Change'!AB21)</f>
        <v>14.209625000000001</v>
      </c>
      <c r="AC21" s="82">
        <f>'Baseline Price'!AC21*(1+'Price Change'!AC21)</f>
        <v>14.471892</v>
      </c>
      <c r="AD21" s="82">
        <f>'Baseline Price'!AD21*(1+'Price Change'!AD21)</f>
        <v>14.704164</v>
      </c>
      <c r="AE21" s="82">
        <f>'Baseline Price'!AE21*(1+'Price Change'!AE21)</f>
        <v>14.88274</v>
      </c>
      <c r="AF21" s="82">
        <f>'Baseline Price'!AF21*(1+'Price Change'!AF21)</f>
        <v>15.107113</v>
      </c>
      <c r="AG21" s="82">
        <f>'Baseline Price'!AG21*(1+'Price Change'!AG21)</f>
        <v>15.343349999999999</v>
      </c>
      <c r="AH21" s="82">
        <f>'Baseline Price'!AH21*(1+'Price Change'!AH21)</f>
        <v>15.438871000000001</v>
      </c>
      <c r="AI21" s="82">
        <f>'Baseline Price'!AI21*(1+'Price Change'!AI21)</f>
        <v>15.791161000000001</v>
      </c>
      <c r="AJ21" s="82">
        <f>'Baseline Price'!AJ21*(1+'Price Change'!AJ21)</f>
        <v>15.941803999999999</v>
      </c>
      <c r="AK21" s="82">
        <f>'Baseline Price'!AK21*(1+'Price Change'!AK21)</f>
        <v>16.062193000000001</v>
      </c>
    </row>
    <row r="22" spans="1:39">
      <c r="A22" s="57" t="str">
        <f>'Price Change'!A22</f>
        <v xml:space="preserve">   Distillate Fuel Oil</v>
      </c>
      <c r="B22" s="82">
        <f>'Baseline Price'!B22*(1+'Price Change'!B22)</f>
        <v>19.153648789949461</v>
      </c>
      <c r="C22" s="82">
        <f>'Baseline Price'!C22*(1+'Price Change'!C22)</f>
        <v>20.236741970904106</v>
      </c>
      <c r="D22" s="82">
        <f>'Baseline Price'!D22*(1+'Price Change'!D22)</f>
        <v>21.723221140235491</v>
      </c>
      <c r="E22" s="82">
        <f>'Baseline Price'!E22*(1+'Price Change'!E22)</f>
        <v>25.880665116088384</v>
      </c>
      <c r="F22" s="82">
        <f>'Baseline Price'!F22*(1+'Price Change'!F22)</f>
        <v>19.023063652554338</v>
      </c>
      <c r="G22" s="82">
        <f>'Baseline Price'!G22*(1+'Price Change'!G22)</f>
        <v>23.027341889100001</v>
      </c>
      <c r="H22" s="82">
        <f>'Baseline Price'!H22*(1+'Price Change'!H22)</f>
        <v>28.029164734799998</v>
      </c>
      <c r="I22" s="82">
        <f>'Baseline Price'!I22*(1+'Price Change'!I22)</f>
        <v>27.893553600000001</v>
      </c>
      <c r="J22" s="82">
        <f>'Baseline Price'!J22*(1+'Price Change'!J22)</f>
        <v>27.820721800000001</v>
      </c>
      <c r="K22" s="542">
        <f>'Baseline Price'!K22*(1+'Price Change'!K22)</f>
        <v>26.843142</v>
      </c>
      <c r="L22" s="541">
        <f>'Baseline Price'!L22*(1+'Price Change'!L22)</f>
        <v>17.866862999999999</v>
      </c>
      <c r="M22" s="82">
        <f>'Baseline Price'!M22*(1+'Price Change'!M22)</f>
        <v>14.205218</v>
      </c>
      <c r="N22" s="82">
        <f>'Baseline Price'!N22*(1+'Price Change'!N22)</f>
        <v>16.550685999999999</v>
      </c>
      <c r="O22" s="82">
        <f>'Baseline Price'!O22*(1+'Price Change'!O22)</f>
        <v>17.174883000000001</v>
      </c>
      <c r="P22" s="82">
        <f>'Baseline Price'!P22*(1+'Price Change'!P22)</f>
        <v>17.679608999999999</v>
      </c>
      <c r="Q22" s="82">
        <f>'Baseline Price'!Q22*(1+'Price Change'!Q22)</f>
        <v>21.565577723058425</v>
      </c>
      <c r="R22" s="82">
        <f>'Baseline Price'!R22*(1+'Price Change'!R22)</f>
        <v>23.051361655242303</v>
      </c>
      <c r="S22" s="82">
        <f>'Baseline Price'!S22*(1+'Price Change'!S22)</f>
        <v>23.706401940317164</v>
      </c>
      <c r="T22" s="82">
        <f>'Baseline Price'!T22*(1+'Price Change'!T22)</f>
        <v>24.307770389371278</v>
      </c>
      <c r="U22" s="82">
        <f>'Baseline Price'!U22*(1+'Price Change'!U22)</f>
        <v>24.762378784980903</v>
      </c>
      <c r="V22" s="82">
        <f>'Baseline Price'!V22*(1+'Price Change'!V22)</f>
        <v>25.129011295049963</v>
      </c>
      <c r="W22" s="82">
        <f>'Baseline Price'!W22*(1+'Price Change'!W22)</f>
        <v>25.384171913305043</v>
      </c>
      <c r="X22" s="82">
        <f>'Baseline Price'!X22*(1+'Price Change'!X22)</f>
        <v>25.752132453057452</v>
      </c>
      <c r="Y22" s="82">
        <f>'Baseline Price'!Y22*(1+'Price Change'!Y22)</f>
        <v>26.134604276821786</v>
      </c>
      <c r="Z22" s="82">
        <f>'Baseline Price'!Z22*(1+'Price Change'!Z22)</f>
        <v>26.548173484375322</v>
      </c>
      <c r="AA22" s="82">
        <f>'Baseline Price'!AA22*(1+'Price Change'!AA22)</f>
        <v>24.801348000000001</v>
      </c>
      <c r="AB22" s="82">
        <f>'Baseline Price'!AB22*(1+'Price Change'!AB22)</f>
        <v>25.151688</v>
      </c>
      <c r="AC22" s="82">
        <f>'Baseline Price'!AC22*(1+'Price Change'!AC22)</f>
        <v>25.311364999999999</v>
      </c>
      <c r="AD22" s="82">
        <f>'Baseline Price'!AD22*(1+'Price Change'!AD22)</f>
        <v>25.584105000000001</v>
      </c>
      <c r="AE22" s="82">
        <f>'Baseline Price'!AE22*(1+'Price Change'!AE22)</f>
        <v>25.876052999999999</v>
      </c>
      <c r="AF22" s="82">
        <f>'Baseline Price'!AF22*(1+'Price Change'!AF22)</f>
        <v>26.021736000000001</v>
      </c>
      <c r="AG22" s="82">
        <f>'Baseline Price'!AG22*(1+'Price Change'!AG22)</f>
        <v>26.140388000000002</v>
      </c>
      <c r="AH22" s="82">
        <f>'Baseline Price'!AH22*(1+'Price Change'!AH22)</f>
        <v>26.61758</v>
      </c>
      <c r="AI22" s="82">
        <f>'Baseline Price'!AI22*(1+'Price Change'!AI22)</f>
        <v>26.744978</v>
      </c>
      <c r="AJ22" s="82">
        <f>'Baseline Price'!AJ22*(1+'Price Change'!AJ22)</f>
        <v>26.939384</v>
      </c>
      <c r="AK22" s="82">
        <f>'Baseline Price'!AK22*(1+'Price Change'!AK22)</f>
        <v>27.119140999999999</v>
      </c>
    </row>
    <row r="23" spans="1:39">
      <c r="A23" s="57" t="str">
        <f>'Price Change'!A23</f>
        <v xml:space="preserve">   Residual Fuel Oil</v>
      </c>
      <c r="B23" s="82">
        <f>'Baseline Price'!B23*(1+'Price Change'!B23)</f>
        <v>12.712094069421742</v>
      </c>
      <c r="C23" s="82">
        <f>'Baseline Price'!C23*(1+'Price Change'!C23)</f>
        <v>8.3987233696777679</v>
      </c>
      <c r="D23" s="82">
        <f>'Baseline Price'!D23*(1+'Price Change'!D23)</f>
        <v>8.0348807831263542</v>
      </c>
      <c r="E23" s="82">
        <f>'Baseline Price'!E23*(1+'Price Change'!E23)</f>
        <v>14.838764238637486</v>
      </c>
      <c r="F23" s="82">
        <f>'Baseline Price'!F23*(1+'Price Change'!F23)</f>
        <v>8.8722638441839781</v>
      </c>
      <c r="G23" s="82">
        <f>'Baseline Price'!G23*(1+'Price Change'!G23)</f>
        <v>12.8982843453</v>
      </c>
      <c r="H23" s="82">
        <f>'Baseline Price'!H23*(1+'Price Change'!H23)</f>
        <v>21.682584618</v>
      </c>
      <c r="I23" s="82">
        <f>'Baseline Price'!I23*(1+'Price Change'!I23)</f>
        <v>17.5545154</v>
      </c>
      <c r="J23" s="82">
        <f>'Baseline Price'!J23*(1+'Price Change'!J23)</f>
        <v>16.969809399999999</v>
      </c>
      <c r="K23" s="542">
        <f>'Baseline Price'!K23*(1+'Price Change'!K23)</f>
        <v>12.514585</v>
      </c>
      <c r="L23" s="541">
        <f>'Baseline Price'!L23*(1+'Price Change'!L23)</f>
        <v>10.701506</v>
      </c>
      <c r="M23" s="82">
        <f>'Baseline Price'!M23*(1+'Price Change'!M23)</f>
        <v>7.7740939999999998</v>
      </c>
      <c r="N23" s="82">
        <f>'Baseline Price'!N23*(1+'Price Change'!N23)</f>
        <v>10.403288999999999</v>
      </c>
      <c r="O23" s="82">
        <f>'Baseline Price'!O23*(1+'Price Change'!O23)</f>
        <v>10.270883</v>
      </c>
      <c r="P23" s="82">
        <f>'Baseline Price'!P23*(1+'Price Change'!P23)</f>
        <v>10.222457</v>
      </c>
      <c r="Q23" s="82">
        <f>'Baseline Price'!Q23*(1+'Price Change'!Q23)</f>
        <v>12.225125999999999</v>
      </c>
      <c r="R23" s="82">
        <f>'Baseline Price'!R23*(1+'Price Change'!R23)</f>
        <v>12.607664</v>
      </c>
      <c r="S23" s="82">
        <f>'Baseline Price'!S23*(1+'Price Change'!S23)</f>
        <v>12.306349000000001</v>
      </c>
      <c r="T23" s="82">
        <f>'Baseline Price'!T23*(1+'Price Change'!T23)</f>
        <v>11.884785000000001</v>
      </c>
      <c r="U23" s="82">
        <f>'Baseline Price'!U23*(1+'Price Change'!U23)</f>
        <v>11.968275</v>
      </c>
      <c r="V23" s="82">
        <f>'Baseline Price'!V23*(1+'Price Change'!V23)</f>
        <v>11.983991</v>
      </c>
      <c r="W23" s="82">
        <f>'Baseline Price'!W23*(1+'Price Change'!W23)</f>
        <v>12.214967</v>
      </c>
      <c r="X23" s="82">
        <f>'Baseline Price'!X23*(1+'Price Change'!X23)</f>
        <v>12.421203999999999</v>
      </c>
      <c r="Y23" s="82">
        <f>'Baseline Price'!Y23*(1+'Price Change'!Y23)</f>
        <v>12.579959000000001</v>
      </c>
      <c r="Z23" s="82">
        <f>'Baseline Price'!Z23*(1+'Price Change'!Z23)</f>
        <v>12.880599999999999</v>
      </c>
      <c r="AA23" s="82">
        <f>'Baseline Price'!AA23*(1+'Price Change'!AA23)</f>
        <v>13.062250000000001</v>
      </c>
      <c r="AB23" s="82">
        <f>'Baseline Price'!AB23*(1+'Price Change'!AB23)</f>
        <v>13.338372</v>
      </c>
      <c r="AC23" s="82">
        <f>'Baseline Price'!AC23*(1+'Price Change'!AC23)</f>
        <v>13.477693</v>
      </c>
      <c r="AD23" s="82">
        <f>'Baseline Price'!AD23*(1+'Price Change'!AD23)</f>
        <v>13.677117000000001</v>
      </c>
      <c r="AE23" s="82">
        <f>'Baseline Price'!AE23*(1+'Price Change'!AE23)</f>
        <v>13.845609</v>
      </c>
      <c r="AF23" s="82">
        <f>'Baseline Price'!AF23*(1+'Price Change'!AF23)</f>
        <v>14.040692999999999</v>
      </c>
      <c r="AG23" s="82">
        <f>'Baseline Price'!AG23*(1+'Price Change'!AG23)</f>
        <v>14.108172</v>
      </c>
      <c r="AH23" s="82">
        <f>'Baseline Price'!AH23*(1+'Price Change'!AH23)</f>
        <v>14.482070999999999</v>
      </c>
      <c r="AI23" s="82">
        <f>'Baseline Price'!AI23*(1+'Price Change'!AI23)</f>
        <v>14.621357</v>
      </c>
      <c r="AJ23" s="82">
        <f>'Baseline Price'!AJ23*(1+'Price Change'!AJ23)</f>
        <v>14.809163</v>
      </c>
      <c r="AK23" s="82">
        <f>'Baseline Price'!AK23*(1+'Price Change'!AK23)</f>
        <v>14.967705</v>
      </c>
    </row>
    <row r="24" spans="1:39">
      <c r="A24" s="57" t="str">
        <f>'Price Change'!A24</f>
        <v xml:space="preserve">   Natural Gas 2/</v>
      </c>
      <c r="B24" s="82">
        <f>'Baseline Price'!B24*(1+'Price Change'!B24)</f>
        <v>9.6803827233946027</v>
      </c>
      <c r="C24" s="82">
        <f>'Baseline Price'!C24*(1+'Price Change'!C24)</f>
        <v>8.7916513146663533</v>
      </c>
      <c r="D24" s="82">
        <f>'Baseline Price'!D24*(1+'Price Change'!D24)</f>
        <v>9.4360966899852876</v>
      </c>
      <c r="E24" s="82">
        <f>'Baseline Price'!E24*(1+'Price Change'!E24)</f>
        <v>10.9743303406492</v>
      </c>
      <c r="F24" s="82">
        <f>'Baseline Price'!F24*(1+'Price Change'!F24)</f>
        <v>6.1526683944177361</v>
      </c>
      <c r="G24" s="82">
        <f>'Baseline Price'!G24*(1+'Price Change'!G24)</f>
        <v>6.8424346047000011</v>
      </c>
      <c r="H24" s="82">
        <f>'Baseline Price'!H24*(1+'Price Change'!H24)</f>
        <v>6.6316744380000001</v>
      </c>
      <c r="I24" s="82">
        <f>'Baseline Price'!I24*(1+'Price Change'!I24)</f>
        <v>5.144387</v>
      </c>
      <c r="J24" s="82">
        <f>'Baseline Price'!J24*(1+'Price Change'!J24)</f>
        <v>5.9116854000000005</v>
      </c>
      <c r="K24" s="542">
        <f>'Baseline Price'!K24*(1+'Price Change'!K24)</f>
        <v>6.6199209999999997</v>
      </c>
      <c r="L24" s="541">
        <f>'Baseline Price'!L24*(1+'Price Change'!L24)</f>
        <v>5.2504679999999997</v>
      </c>
      <c r="M24" s="82">
        <f>'Baseline Price'!M24*(1+'Price Change'!M24)</f>
        <v>4.0961410000000003</v>
      </c>
      <c r="N24" s="82">
        <f>'Baseline Price'!N24*(1+'Price Change'!N24)</f>
        <v>4.6249969999999996</v>
      </c>
      <c r="O24" s="82">
        <f>'Baseline Price'!O24*(1+'Price Change'!O24)</f>
        <v>4.7118919999999997</v>
      </c>
      <c r="P24" s="82">
        <f>'Baseline Price'!P24*(1+'Price Change'!P24)</f>
        <v>5.0582580000000004</v>
      </c>
      <c r="Q24" s="82">
        <f>'Baseline Price'!Q24*(1+'Price Change'!Q24)</f>
        <v>6.031284481837365</v>
      </c>
      <c r="R24" s="82">
        <f>'Baseline Price'!R24*(1+'Price Change'!R24)</f>
        <v>6.1207477429251211</v>
      </c>
      <c r="S24" s="82">
        <f>'Baseline Price'!S24*(1+'Price Change'!S24)</f>
        <v>6.2485701737538548</v>
      </c>
      <c r="T24" s="82">
        <f>'Baseline Price'!T24*(1+'Price Change'!T24)</f>
        <v>6.4628807350477375</v>
      </c>
      <c r="U24" s="82">
        <f>'Baseline Price'!U24*(1+'Price Change'!U24)</f>
        <v>6.6375479733671039</v>
      </c>
      <c r="V24" s="82">
        <f>'Baseline Price'!V24*(1+'Price Change'!V24)</f>
        <v>6.8624707272868655</v>
      </c>
      <c r="W24" s="82">
        <f>'Baseline Price'!W24*(1+'Price Change'!W24)</f>
        <v>6.990165498522507</v>
      </c>
      <c r="X24" s="82">
        <f>'Baseline Price'!X24*(1+'Price Change'!X24)</f>
        <v>7.1078394012902946</v>
      </c>
      <c r="Y24" s="82">
        <f>'Baseline Price'!Y24*(1+'Price Change'!Y24)</f>
        <v>7.1785004804817687</v>
      </c>
      <c r="Z24" s="82">
        <f>'Baseline Price'!Z24*(1+'Price Change'!Z24)</f>
        <v>7.2899281132286156</v>
      </c>
      <c r="AA24" s="82">
        <f>'Baseline Price'!AA24*(1+'Price Change'!AA24)</f>
        <v>5.8628549999999997</v>
      </c>
      <c r="AB24" s="82">
        <f>'Baseline Price'!AB24*(1+'Price Change'!AB24)</f>
        <v>5.8593140000000004</v>
      </c>
      <c r="AC24" s="82">
        <f>'Baseline Price'!AC24*(1+'Price Change'!AC24)</f>
        <v>5.8792999999999997</v>
      </c>
      <c r="AD24" s="82">
        <f>'Baseline Price'!AD24*(1+'Price Change'!AD24)</f>
        <v>5.8856679999999999</v>
      </c>
      <c r="AE24" s="82">
        <f>'Baseline Price'!AE24*(1+'Price Change'!AE24)</f>
        <v>5.9143379999999999</v>
      </c>
      <c r="AF24" s="82">
        <f>'Baseline Price'!AF24*(1+'Price Change'!AF24)</f>
        <v>5.9215280000000003</v>
      </c>
      <c r="AG24" s="82">
        <f>'Baseline Price'!AG24*(1+'Price Change'!AG24)</f>
        <v>6.0244749999999998</v>
      </c>
      <c r="AH24" s="82">
        <f>'Baseline Price'!AH24*(1+'Price Change'!AH24)</f>
        <v>6.0436740000000002</v>
      </c>
      <c r="AI24" s="82">
        <f>'Baseline Price'!AI24*(1+'Price Change'!AI24)</f>
        <v>6.1028640000000003</v>
      </c>
      <c r="AJ24" s="82">
        <f>'Baseline Price'!AJ24*(1+'Price Change'!AJ24)</f>
        <v>6.1604760000000001</v>
      </c>
      <c r="AK24" s="82">
        <f>'Baseline Price'!AK24*(1+'Price Change'!AK24)</f>
        <v>6.1995610000000001</v>
      </c>
    </row>
    <row r="25" spans="1:39">
      <c r="A25" s="57" t="str">
        <f>'Price Change'!A25</f>
        <v xml:space="preserve">   Metallurgical Coal</v>
      </c>
      <c r="B25" s="163" t="s">
        <v>345</v>
      </c>
      <c r="C25" s="163" t="s">
        <v>345</v>
      </c>
      <c r="D25" s="163" t="s">
        <v>345</v>
      </c>
      <c r="E25" s="163" t="s">
        <v>345</v>
      </c>
      <c r="F25" s="163" t="s">
        <v>345</v>
      </c>
      <c r="G25" s="163" t="s">
        <v>345</v>
      </c>
      <c r="H25" s="163" t="s">
        <v>345</v>
      </c>
      <c r="I25" s="163" t="s">
        <v>345</v>
      </c>
      <c r="J25" s="163" t="s">
        <v>345</v>
      </c>
      <c r="K25" s="574" t="s">
        <v>345</v>
      </c>
      <c r="L25" s="377" t="s">
        <v>345</v>
      </c>
      <c r="M25" s="163" t="s">
        <v>345</v>
      </c>
      <c r="N25" s="163" t="s">
        <v>345</v>
      </c>
      <c r="O25" s="163" t="s">
        <v>345</v>
      </c>
      <c r="P25" s="163" t="s">
        <v>345</v>
      </c>
      <c r="Q25" s="163" t="s">
        <v>345</v>
      </c>
      <c r="R25" s="163" t="s">
        <v>345</v>
      </c>
      <c r="S25" s="163" t="s">
        <v>345</v>
      </c>
      <c r="T25" s="163" t="s">
        <v>345</v>
      </c>
      <c r="U25" s="163" t="s">
        <v>345</v>
      </c>
      <c r="V25" s="163" t="s">
        <v>345</v>
      </c>
      <c r="W25" s="163" t="s">
        <v>345</v>
      </c>
      <c r="X25" s="163" t="s">
        <v>345</v>
      </c>
      <c r="Y25" s="163" t="s">
        <v>345</v>
      </c>
      <c r="Z25" s="163" t="s">
        <v>345</v>
      </c>
      <c r="AA25" s="163" t="s">
        <v>345</v>
      </c>
      <c r="AB25" s="163" t="s">
        <v>345</v>
      </c>
      <c r="AC25" s="163" t="s">
        <v>345</v>
      </c>
      <c r="AD25" s="163" t="s">
        <v>345</v>
      </c>
      <c r="AE25" s="163" t="s">
        <v>345</v>
      </c>
      <c r="AF25" s="163" t="s">
        <v>345</v>
      </c>
      <c r="AG25" s="163" t="s">
        <v>345</v>
      </c>
      <c r="AH25" s="163" t="s">
        <v>345</v>
      </c>
      <c r="AI25" s="163" t="s">
        <v>345</v>
      </c>
      <c r="AJ25" s="163" t="s">
        <v>345</v>
      </c>
      <c r="AK25" s="163" t="s">
        <v>345</v>
      </c>
    </row>
    <row r="26" spans="1:39">
      <c r="A26" s="57" t="str">
        <f>'Price Change'!A26</f>
        <v xml:space="preserve">   Other Industrial Coal</v>
      </c>
      <c r="B26" s="82">
        <f>'Baseline Price'!B26*(1+'Price Change'!B26)</f>
        <v>2.6853029392704197</v>
      </c>
      <c r="C26" s="82">
        <f>'Baseline Price'!C26*(1+'Price Change'!C26)</f>
        <v>3.0562250666494064</v>
      </c>
      <c r="D26" s="82">
        <f>'Baseline Price'!D26*(1+'Price Change'!D26)</f>
        <v>2.9300224949548581</v>
      </c>
      <c r="E26" s="82">
        <f>'Baseline Price'!E26*(1+'Price Change'!E26)</f>
        <v>3.7140272312924871</v>
      </c>
      <c r="F26" s="82">
        <f>'Baseline Price'!F26*(1+'Price Change'!F26)</f>
        <v>3.6157993272453006</v>
      </c>
      <c r="G26" s="82">
        <f>'Baseline Price'!G26*(1+'Price Change'!G26)</f>
        <v>3.4432300593000003</v>
      </c>
      <c r="H26" s="82">
        <f>'Baseline Price'!H26*(1+'Price Change'!H26)</f>
        <v>3.5423075435999998</v>
      </c>
      <c r="I26" s="82">
        <f>'Baseline Price'!I26*(1+'Price Change'!I26)</f>
        <v>3.857008</v>
      </c>
      <c r="J26" s="82">
        <f>'Baseline Price'!J26*(1+'Price Change'!J26)</f>
        <v>3.7451957999999999</v>
      </c>
      <c r="K26" s="542">
        <f>'Baseline Price'!K26*(1+'Price Change'!K26)</f>
        <v>3.6507230000000002</v>
      </c>
      <c r="L26" s="541">
        <f>'Baseline Price'!L26*(1+'Price Change'!L26)</f>
        <v>3.8749349999999998</v>
      </c>
      <c r="M26" s="82">
        <f>'Baseline Price'!M26*(1+'Price Change'!M26)</f>
        <v>4.0111290000000004</v>
      </c>
      <c r="N26" s="82">
        <f>'Baseline Price'!N26*(1+'Price Change'!N26)</f>
        <v>3.967587</v>
      </c>
      <c r="O26" s="82">
        <f>'Baseline Price'!O26*(1+'Price Change'!O26)</f>
        <v>4.0316559999999999</v>
      </c>
      <c r="P26" s="82">
        <f>'Baseline Price'!P26*(1+'Price Change'!P26)</f>
        <v>4.0118239999999998</v>
      </c>
      <c r="Q26" s="82">
        <f>'Baseline Price'!Q26*(1+'Price Change'!Q26)</f>
        <v>5.3475884159074889</v>
      </c>
      <c r="R26" s="82">
        <f>'Baseline Price'!R26*(1+'Price Change'!R26)</f>
        <v>5.5279290273608508</v>
      </c>
      <c r="S26" s="82">
        <f>'Baseline Price'!S26*(1+'Price Change'!S26)</f>
        <v>5.6607168762547584</v>
      </c>
      <c r="T26" s="82">
        <f>'Baseline Price'!T26*(1+'Price Change'!T26)</f>
        <v>5.8028149969030736</v>
      </c>
      <c r="U26" s="82">
        <f>'Baseline Price'!U26*(1+'Price Change'!U26)</f>
        <v>5.9575525507545013</v>
      </c>
      <c r="V26" s="82">
        <f>'Baseline Price'!V26*(1+'Price Change'!V26)</f>
        <v>6.1017359821084254</v>
      </c>
      <c r="W26" s="82">
        <f>'Baseline Price'!W26*(1+'Price Change'!W26)</f>
        <v>6.2133681748460381</v>
      </c>
      <c r="X26" s="82">
        <f>'Baseline Price'!X26*(1+'Price Change'!X26)</f>
        <v>6.3171520246690465</v>
      </c>
      <c r="Y26" s="82">
        <f>'Baseline Price'!Y26*(1+'Price Change'!Y26)</f>
        <v>6.426298413739211</v>
      </c>
      <c r="Z26" s="82">
        <f>'Baseline Price'!Z26*(1+'Price Change'!Z26)</f>
        <v>6.5257005491502778</v>
      </c>
      <c r="AA26" s="82">
        <f>'Baseline Price'!AA26*(1+'Price Change'!AA26)</f>
        <v>4.0337019999999999</v>
      </c>
      <c r="AB26" s="82">
        <f>'Baseline Price'!AB26*(1+'Price Change'!AB26)</f>
        <v>4.0278850000000004</v>
      </c>
      <c r="AC26" s="82">
        <f>'Baseline Price'!AC26*(1+'Price Change'!AC26)</f>
        <v>4.006335</v>
      </c>
      <c r="AD26" s="82">
        <f>'Baseline Price'!AD26*(1+'Price Change'!AD26)</f>
        <v>3.9977070000000001</v>
      </c>
      <c r="AE26" s="82">
        <f>'Baseline Price'!AE26*(1+'Price Change'!AE26)</f>
        <v>3.9667859999999999</v>
      </c>
      <c r="AF26" s="82">
        <f>'Baseline Price'!AF26*(1+'Price Change'!AF26)</f>
        <v>3.9582730000000002</v>
      </c>
      <c r="AG26" s="82">
        <f>'Baseline Price'!AG26*(1+'Price Change'!AG26)</f>
        <v>3.9358499999999998</v>
      </c>
      <c r="AH26" s="82">
        <f>'Baseline Price'!AH26*(1+'Price Change'!AH26)</f>
        <v>3.9384220000000001</v>
      </c>
      <c r="AI26" s="82">
        <f>'Baseline Price'!AI26*(1+'Price Change'!AI26)</f>
        <v>3.9140579999999998</v>
      </c>
      <c r="AJ26" s="82">
        <f>'Baseline Price'!AJ26*(1+'Price Change'!AJ26)</f>
        <v>3.891356</v>
      </c>
      <c r="AK26" s="82">
        <f>'Baseline Price'!AK26*(1+'Price Change'!AK26)</f>
        <v>3.8906329999999998</v>
      </c>
    </row>
    <row r="27" spans="1:39">
      <c r="A27" s="57" t="str">
        <f>'Price Change'!A27</f>
        <v xml:space="preserve">   Coal to Liquids</v>
      </c>
      <c r="B27" s="163" t="s">
        <v>345</v>
      </c>
      <c r="C27" s="163" t="s">
        <v>345</v>
      </c>
      <c r="D27" s="163" t="s">
        <v>345</v>
      </c>
      <c r="E27" s="163" t="s">
        <v>345</v>
      </c>
      <c r="F27" s="163" t="s">
        <v>345</v>
      </c>
      <c r="G27" s="163" t="s">
        <v>345</v>
      </c>
      <c r="H27" s="163" t="s">
        <v>345</v>
      </c>
      <c r="I27" s="163" t="s">
        <v>345</v>
      </c>
      <c r="J27" s="163" t="s">
        <v>345</v>
      </c>
      <c r="K27" s="574" t="s">
        <v>345</v>
      </c>
      <c r="L27" s="377" t="s">
        <v>345</v>
      </c>
      <c r="M27" s="163" t="s">
        <v>345</v>
      </c>
      <c r="N27" s="163" t="s">
        <v>345</v>
      </c>
      <c r="O27" s="163" t="s">
        <v>345</v>
      </c>
      <c r="P27" s="163" t="s">
        <v>345</v>
      </c>
      <c r="Q27" s="163" t="s">
        <v>345</v>
      </c>
      <c r="R27" s="163" t="s">
        <v>345</v>
      </c>
      <c r="S27" s="163" t="s">
        <v>345</v>
      </c>
      <c r="T27" s="163" t="s">
        <v>345</v>
      </c>
      <c r="U27" s="163" t="s">
        <v>345</v>
      </c>
      <c r="V27" s="163" t="s">
        <v>345</v>
      </c>
      <c r="W27" s="163" t="s">
        <v>345</v>
      </c>
      <c r="X27" s="163" t="s">
        <v>345</v>
      </c>
      <c r="Y27" s="163" t="s">
        <v>345</v>
      </c>
      <c r="Z27" s="163" t="s">
        <v>345</v>
      </c>
      <c r="AA27" s="163" t="s">
        <v>345</v>
      </c>
      <c r="AB27" s="163" t="s">
        <v>345</v>
      </c>
      <c r="AC27" s="163" t="s">
        <v>345</v>
      </c>
      <c r="AD27" s="163" t="s">
        <v>345</v>
      </c>
      <c r="AE27" s="163" t="s">
        <v>345</v>
      </c>
      <c r="AF27" s="163" t="s">
        <v>345</v>
      </c>
      <c r="AG27" s="163" t="s">
        <v>345</v>
      </c>
      <c r="AH27" s="163" t="s">
        <v>345</v>
      </c>
      <c r="AI27" s="163" t="s">
        <v>345</v>
      </c>
      <c r="AJ27" s="163" t="s">
        <v>345</v>
      </c>
      <c r="AK27" s="163" t="s">
        <v>345</v>
      </c>
    </row>
    <row r="28" spans="1:39">
      <c r="A28" s="57" t="str">
        <f>'Price Change'!A28</f>
        <v xml:space="preserve">   Electricity</v>
      </c>
      <c r="B28" s="82">
        <f>'Baseline Price'!B28*(1+'Price Change'!B28)</f>
        <v>14.501129517650607</v>
      </c>
      <c r="C28" s="82">
        <f>'Baseline Price'!C28*(1+'Price Change'!C28)</f>
        <v>14.97593173500983</v>
      </c>
      <c r="D28" s="82">
        <f>'Baseline Price'!D28*(1+'Price Change'!D28)</f>
        <v>14.85010796351723</v>
      </c>
      <c r="E28" s="82">
        <f>'Baseline Price'!E28*(1+'Price Change'!E28)</f>
        <v>14.628858094573284</v>
      </c>
      <c r="F28" s="82">
        <f>'Baseline Price'!F28*(1+'Price Change'!F28)</f>
        <v>13.785994920885091</v>
      </c>
      <c r="G28" s="82">
        <f>'Baseline Price'!G28*(1+'Price Change'!G28)</f>
        <v>13.017621405478318</v>
      </c>
      <c r="H28" s="82">
        <f>'Baseline Price'!H28*(1+'Price Change'!H28)</f>
        <v>12.499403010805048</v>
      </c>
      <c r="I28" s="82">
        <f>'Baseline Price'!I28*(1+'Price Change'!I28)</f>
        <v>13.049445744021567</v>
      </c>
      <c r="J28" s="82">
        <f>'Baseline Price'!J28*(1+'Price Change'!J28)</f>
        <v>13.632119706637743</v>
      </c>
      <c r="K28" s="542">
        <f>'Baseline Price'!K28*(1+'Price Change'!K28)</f>
        <v>14.718766471786052</v>
      </c>
      <c r="L28" s="541">
        <f>'Baseline Price'!L28+'Price Change'!L86</f>
        <v>14.723711930367225</v>
      </c>
      <c r="M28" s="82">
        <f>'Baseline Price'!M28+'Price Change'!M86</f>
        <v>13.463710532269946</v>
      </c>
      <c r="N28" s="444">
        <f>'Baseline Price'!N28+'Price Change'!N86</f>
        <v>14.320058280623735</v>
      </c>
      <c r="O28" s="444">
        <f>'Baseline Price'!O28+'Price Change'!O86</f>
        <v>14.529007103162726</v>
      </c>
      <c r="P28" s="444">
        <f>'Baseline Price'!P28+'Price Change'!P86</f>
        <v>13.356676709120922</v>
      </c>
      <c r="Q28" s="444">
        <f>'Baseline Price'!Q28+'Price Change'!Q86</f>
        <v>13.937793824713074</v>
      </c>
      <c r="R28" s="444">
        <f>'Baseline Price'!R28+'Price Change'!R86</f>
        <v>13.828637820305445</v>
      </c>
      <c r="S28" s="444">
        <f>'Baseline Price'!S28+'Price Change'!S86</f>
        <v>14.764709979125662</v>
      </c>
      <c r="T28" s="444">
        <f>'Baseline Price'!T28+'Price Change'!T86</f>
        <v>15.047482711196579</v>
      </c>
      <c r="U28" s="444">
        <f>'Baseline Price'!U28+'Price Change'!U86</f>
        <v>15.214199678767827</v>
      </c>
      <c r="V28" s="444">
        <f>'Baseline Price'!V28+'Price Change'!V86</f>
        <v>16.03523130534894</v>
      </c>
      <c r="W28" s="444">
        <f>'Baseline Price'!W28+'Price Change'!W86</f>
        <v>16.173690718522799</v>
      </c>
      <c r="X28" s="444">
        <f>'Baseline Price'!X28+'Price Change'!X86</f>
        <v>16.231690559091078</v>
      </c>
      <c r="Y28" s="444">
        <f>'Baseline Price'!Y28+'Price Change'!Y86</f>
        <v>16.272111613774964</v>
      </c>
      <c r="Z28" s="444">
        <f>'Baseline Price'!Z28+'Price Change'!Z86</f>
        <v>16.329825904617365</v>
      </c>
      <c r="AA28" s="444">
        <f>'Baseline Price'!AA28+'Price Change'!AA86</f>
        <v>15.689837179769349</v>
      </c>
      <c r="AB28" s="444">
        <f>'Baseline Price'!AB28+'Price Change'!AB86</f>
        <v>15.801607518285874</v>
      </c>
      <c r="AC28" s="444">
        <f>'Baseline Price'!AC28+'Price Change'!AC86</f>
        <v>15.798223362484316</v>
      </c>
      <c r="AD28" s="444">
        <f>'Baseline Price'!AD28+'Price Change'!AD86</f>
        <v>15.791701071091245</v>
      </c>
      <c r="AE28" s="444">
        <f>'Baseline Price'!AE28+'Price Change'!AE86</f>
        <v>15.786211463308923</v>
      </c>
      <c r="AF28" s="444">
        <f>'Baseline Price'!AF28+'Price Change'!AF86</f>
        <v>15.745543971848846</v>
      </c>
      <c r="AG28" s="444">
        <f>'Baseline Price'!AG28+'Price Change'!AG86</f>
        <v>15.685781103190497</v>
      </c>
      <c r="AH28" s="444">
        <f>'Baseline Price'!AH28+'Price Change'!AH86</f>
        <v>15.616777194341443</v>
      </c>
      <c r="AI28" s="444">
        <f>'Baseline Price'!AI28+'Price Change'!AI86</f>
        <v>15.543431605003722</v>
      </c>
      <c r="AJ28" s="444">
        <f>'Baseline Price'!AJ28+'Price Change'!AJ86</f>
        <v>15.44628218243172</v>
      </c>
      <c r="AK28" s="444">
        <f>'Baseline Price'!AK28+'Price Change'!AK86</f>
        <v>15.348513450328966</v>
      </c>
    </row>
    <row r="29" spans="1:39">
      <c r="A29" s="53"/>
      <c r="B29" s="82"/>
      <c r="C29" s="82"/>
      <c r="D29" s="82"/>
      <c r="E29" s="82"/>
      <c r="F29" s="82"/>
      <c r="G29" s="82"/>
      <c r="H29" s="82"/>
      <c r="I29" s="82"/>
      <c r="J29" s="82"/>
      <c r="K29" s="542"/>
      <c r="L29" s="541"/>
      <c r="M29" s="82"/>
      <c r="N29" s="82"/>
      <c r="O29" s="82"/>
      <c r="P29" s="82"/>
      <c r="Q29" s="82"/>
      <c r="R29" s="82"/>
      <c r="S29" s="82"/>
      <c r="T29" s="82"/>
      <c r="U29" s="82"/>
      <c r="V29" s="82"/>
      <c r="W29" s="82"/>
      <c r="X29" s="82"/>
      <c r="Y29" s="82"/>
      <c r="Z29" s="82"/>
      <c r="AA29" s="444">
        <f>AA28-'Baseline Price'!AA28</f>
        <v>0</v>
      </c>
      <c r="AB29" s="82"/>
      <c r="AC29" s="82"/>
      <c r="AD29" s="82"/>
      <c r="AE29" s="82"/>
      <c r="AF29" s="82"/>
      <c r="AG29" s="82"/>
      <c r="AH29" s="82"/>
      <c r="AI29" s="82"/>
      <c r="AJ29" s="82"/>
      <c r="AK29" s="82"/>
    </row>
    <row r="30" spans="1:39">
      <c r="A30" s="57" t="str">
        <f>'Price Change'!A30</f>
        <v xml:space="preserve"> Transportation</v>
      </c>
      <c r="B30" s="61"/>
      <c r="C30" s="61"/>
      <c r="D30" s="61"/>
      <c r="E30" s="61"/>
      <c r="F30" s="61"/>
      <c r="G30" s="61"/>
      <c r="H30" s="61"/>
      <c r="I30" s="76"/>
      <c r="J30" s="76"/>
      <c r="K30" s="278"/>
      <c r="L30" s="3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63">
        <v>0.6155653414911384</v>
      </c>
      <c r="AM30" s="57" t="s">
        <v>347</v>
      </c>
    </row>
    <row r="31" spans="1:39">
      <c r="A31" s="57" t="str">
        <f>'Price Change'!A31</f>
        <v xml:space="preserve">   Liquefied Petroleum Gases 3/</v>
      </c>
      <c r="B31" s="82">
        <f>'Baseline Price'!B31*(1+'Price Change'!B31)</f>
        <v>23.581029927118582</v>
      </c>
      <c r="C31" s="82">
        <f>'Baseline Price'!C31*(1+'Price Change'!C31)</f>
        <v>25.158165491875451</v>
      </c>
      <c r="D31" s="82">
        <f>'Baseline Price'!D31*(1+'Price Change'!D31)</f>
        <v>26.679676788537343</v>
      </c>
      <c r="E31" s="82">
        <f>'Baseline Price'!E31*(1+'Price Change'!E31)</f>
        <v>33.455022466836319</v>
      </c>
      <c r="F31" s="82">
        <f>'Baseline Price'!F31*(1+'Price Change'!F31)</f>
        <v>28.166532270599728</v>
      </c>
      <c r="G31" s="82">
        <f>'Baseline Price'!G31*(1+'Price Change'!G31)</f>
        <v>33.068190690999998</v>
      </c>
      <c r="H31" s="82">
        <f>'Baseline Price'!H31*(1+'Price Change'!H31)</f>
        <v>27.4650159696</v>
      </c>
      <c r="I31" s="82">
        <f>'Baseline Price'!I31*(1+'Price Change'!I31)</f>
        <v>25.942482000000002</v>
      </c>
      <c r="J31" s="82">
        <f>'Baseline Price'!J31*(1+'Price Change'!J31)</f>
        <v>25.177235200000002</v>
      </c>
      <c r="K31" s="542">
        <f>'Baseline Price'!K31*(1+'Price Change'!K31)</f>
        <v>24.355412999999999</v>
      </c>
      <c r="L31" s="541">
        <f>'Baseline Price'!L31*(1+'Price Change'!L31)</f>
        <v>18.216522000000001</v>
      </c>
      <c r="M31" s="82">
        <f>'Baseline Price'!M31*(1+'Price Change'!M31)</f>
        <v>18.082048</v>
      </c>
      <c r="N31" s="82">
        <f>'Baseline Price'!N31*(1+'Price Change'!N31)</f>
        <v>18.830143</v>
      </c>
      <c r="O31" s="82">
        <f>'Baseline Price'!O31*(1+'Price Change'!O31)</f>
        <v>17.934799000000002</v>
      </c>
      <c r="P31" s="82">
        <f>'Baseline Price'!P31*(1+'Price Change'!P31)</f>
        <v>18.082011999999999</v>
      </c>
      <c r="Q31" s="82">
        <f>'Baseline Price'!Q31*(1+'Price Change'!Q31)</f>
        <v>19.798787934136417</v>
      </c>
      <c r="R31" s="82">
        <f>'Baseline Price'!R31*(1+'Price Change'!R31)</f>
        <v>20.218589569630765</v>
      </c>
      <c r="S31" s="82">
        <f>'Baseline Price'!S31*(1+'Price Change'!S31)</f>
        <v>20.603732330867434</v>
      </c>
      <c r="T31" s="82">
        <f>'Baseline Price'!T31*(1+'Price Change'!T31)</f>
        <v>20.936140566917882</v>
      </c>
      <c r="U31" s="82">
        <f>'Baseline Price'!U31*(1+'Price Change'!U31)</f>
        <v>23.322334078996729</v>
      </c>
      <c r="V31" s="82">
        <f>'Baseline Price'!V31*(1+'Price Change'!V31)</f>
        <v>23.47648605243625</v>
      </c>
      <c r="W31" s="82">
        <f>'Baseline Price'!W31*(1+'Price Change'!W31)</f>
        <v>23.616107509919868</v>
      </c>
      <c r="X31" s="82">
        <f>'Baseline Price'!X31*(1+'Price Change'!X31)</f>
        <v>23.732804329000931</v>
      </c>
      <c r="Y31" s="82">
        <f>'Baseline Price'!Y31*(1+'Price Change'!Y31)</f>
        <v>23.887873533977594</v>
      </c>
      <c r="Z31" s="82">
        <f>'Baseline Price'!Z31*(1+'Price Change'!Z31)</f>
        <v>24.505327711099042</v>
      </c>
      <c r="AA31" s="82">
        <f>'Baseline Price'!AA31*(1+'Price Change'!AA31)</f>
        <v>22.924804999999999</v>
      </c>
      <c r="AB31" s="82">
        <f>'Baseline Price'!AB31*(1+'Price Change'!AB31)</f>
        <v>23.121113000000001</v>
      </c>
      <c r="AC31" s="82">
        <f>'Baseline Price'!AC31*(1+'Price Change'!AC31)</f>
        <v>23.376373000000001</v>
      </c>
      <c r="AD31" s="82">
        <f>'Baseline Price'!AD31*(1+'Price Change'!AD31)</f>
        <v>23.602467000000001</v>
      </c>
      <c r="AE31" s="82">
        <f>'Baseline Price'!AE31*(1+'Price Change'!AE31)</f>
        <v>23.776357999999998</v>
      </c>
      <c r="AF31" s="82">
        <f>'Baseline Price'!AF31*(1+'Price Change'!AF31)</f>
        <v>23.994793000000001</v>
      </c>
      <c r="AG31" s="82">
        <f>'Baseline Price'!AG31*(1+'Price Change'!AG31)</f>
        <v>24.224799999999998</v>
      </c>
      <c r="AH31" s="82">
        <f>'Baseline Price'!AH31*(1+'Price Change'!AH31)</f>
        <v>24.318083000000001</v>
      </c>
      <c r="AI31" s="82">
        <f>'Baseline Price'!AI31*(1+'Price Change'!AI31)</f>
        <v>24.660979999999999</v>
      </c>
      <c r="AJ31" s="82">
        <f>'Baseline Price'!AJ31*(1+'Price Change'!AJ31)</f>
        <v>24.807874999999999</v>
      </c>
      <c r="AK31" s="82">
        <f>'Baseline Price'!AK31*(1+'Price Change'!AK31)</f>
        <v>24.925362</v>
      </c>
    </row>
    <row r="32" spans="1:39">
      <c r="A32" s="57" t="str">
        <f>'Price Change'!A32</f>
        <v xml:space="preserve">   E85 4/</v>
      </c>
      <c r="B32" s="82">
        <f>'Baseline Price'!B32*(1+'Price Change'!B32)</f>
        <v>28.50245344808981</v>
      </c>
      <c r="C32" s="82">
        <f>'Baseline Price'!C32*(1+'Price Change'!C32)</f>
        <v>31.960750134705297</v>
      </c>
      <c r="D32" s="82">
        <f>'Baseline Price'!D32*(1+'Price Change'!D32)</f>
        <v>33.572252010082465</v>
      </c>
      <c r="E32" s="82">
        <f>'Baseline Price'!E32*(1+'Price Change'!E32)</f>
        <v>33.59062427495482</v>
      </c>
      <c r="F32" s="82">
        <f>'Baseline Price'!F32*(1+'Price Change'!F32)</f>
        <v>30.529886172607366</v>
      </c>
      <c r="G32" s="82">
        <f>'Baseline Price'!G32*(1+'Price Change'!G32)</f>
        <v>29.803621808999999</v>
      </c>
      <c r="H32" s="82">
        <f>'Baseline Price'!H32*(1+'Price Change'!H32)</f>
        <v>48.911446820999998</v>
      </c>
      <c r="I32" s="82">
        <f>'Baseline Price'!I32*(1+'Price Change'!I32)</f>
        <v>38.798833399999999</v>
      </c>
      <c r="J32" s="82">
        <f>'Baseline Price'!J32*(1+'Price Change'!J32)</f>
        <v>36.077386000000004</v>
      </c>
      <c r="K32" s="542">
        <f>'Baseline Price'!K32*(1+'Price Change'!K32)</f>
        <v>36.462696000000001</v>
      </c>
      <c r="L32" s="541">
        <f>'Baseline Price'!L32*(1+'Price Change'!L32)</f>
        <v>30.690058000000001</v>
      </c>
      <c r="M32" s="82">
        <f>'Baseline Price'!M32*(1+'Price Change'!M32)</f>
        <v>25.474024</v>
      </c>
      <c r="N32" s="82">
        <f>'Baseline Price'!N32*(1+'Price Change'!N32)</f>
        <v>26.090434999999999</v>
      </c>
      <c r="O32" s="82">
        <f>'Baseline Price'!O32*(1+'Price Change'!O32)</f>
        <v>31.700970000000002</v>
      </c>
      <c r="P32" s="82">
        <f>'Baseline Price'!P32*(1+'Price Change'!P32)</f>
        <v>30.308520999999999</v>
      </c>
      <c r="Q32" s="82">
        <f>'Baseline Price'!Q32*(1+'Price Change'!Q32)</f>
        <v>33.994026521449541</v>
      </c>
      <c r="R32" s="82">
        <f>'Baseline Price'!R32*(1+'Price Change'!R32)</f>
        <v>34.880338677662799</v>
      </c>
      <c r="S32" s="82">
        <f>'Baseline Price'!S32*(1+'Price Change'!S32)</f>
        <v>33.926326710557632</v>
      </c>
      <c r="T32" s="82">
        <f>'Baseline Price'!T32*(1+'Price Change'!T32)</f>
        <v>31.589545646190039</v>
      </c>
      <c r="U32" s="82">
        <f>'Baseline Price'!U32*(1+'Price Change'!U32)</f>
        <v>31.408510248528611</v>
      </c>
      <c r="V32" s="82">
        <f>'Baseline Price'!V32*(1+'Price Change'!V32)</f>
        <v>29.263590446941748</v>
      </c>
      <c r="W32" s="82">
        <f>'Baseline Price'!W32*(1+'Price Change'!W32)</f>
        <v>28.706693283906787</v>
      </c>
      <c r="X32" s="82">
        <f>'Baseline Price'!X32*(1+'Price Change'!X32)</f>
        <v>27.904163344507445</v>
      </c>
      <c r="Y32" s="82">
        <f>'Baseline Price'!Y32*(1+'Price Change'!Y32)</f>
        <v>27.699754306960962</v>
      </c>
      <c r="Z32" s="82">
        <f>'Baseline Price'!Z32*(1+'Price Change'!Z32)</f>
        <v>27.890106344687776</v>
      </c>
      <c r="AA32" s="82">
        <f>'Baseline Price'!AA32*(1+'Price Change'!AA32)</f>
        <v>27.265657000000001</v>
      </c>
      <c r="AB32" s="82">
        <f>'Baseline Price'!AB32*(1+'Price Change'!AB32)</f>
        <v>28.028704000000001</v>
      </c>
      <c r="AC32" s="82">
        <f>'Baseline Price'!AC32*(1+'Price Change'!AC32)</f>
        <v>28.132866</v>
      </c>
      <c r="AD32" s="82">
        <f>'Baseline Price'!AD32*(1+'Price Change'!AD32)</f>
        <v>27.788345</v>
      </c>
      <c r="AE32" s="82">
        <f>'Baseline Price'!AE32*(1+'Price Change'!AE32)</f>
        <v>27.603521000000001</v>
      </c>
      <c r="AF32" s="82">
        <f>'Baseline Price'!AF32*(1+'Price Change'!AF32)</f>
        <v>27.350156999999999</v>
      </c>
      <c r="AG32" s="82">
        <f>'Baseline Price'!AG32*(1+'Price Change'!AG32)</f>
        <v>27.276244999999999</v>
      </c>
      <c r="AH32" s="82">
        <f>'Baseline Price'!AH32*(1+'Price Change'!AH32)</f>
        <v>27.644812000000002</v>
      </c>
      <c r="AI32" s="82">
        <f>'Baseline Price'!AI32*(1+'Price Change'!AI32)</f>
        <v>27.774061</v>
      </c>
      <c r="AJ32" s="82">
        <f>'Baseline Price'!AJ32*(1+'Price Change'!AJ32)</f>
        <v>28.160803000000001</v>
      </c>
      <c r="AK32" s="82">
        <f>'Baseline Price'!AK32*(1+'Price Change'!AK32)</f>
        <v>28.683347999999999</v>
      </c>
    </row>
    <row r="33" spans="1:41">
      <c r="A33" s="57" t="str">
        <f>'Price Change'!A33</f>
        <v xml:space="preserve">   Motor Gasoline 5/</v>
      </c>
      <c r="B33" s="82">
        <f>'Baseline Price'!B33*(1+'Price Change'!B33)</f>
        <v>25.215170995092052</v>
      </c>
      <c r="C33" s="82">
        <f>'Baseline Price'!C33*(1+'Price Change'!C33)</f>
        <v>26.545286505964025</v>
      </c>
      <c r="D33" s="82">
        <f>'Baseline Price'!D33*(1+'Price Change'!D33)</f>
        <v>28.731961754408683</v>
      </c>
      <c r="E33" s="82">
        <f>'Baseline Price'!E33*(1+'Price Change'!E33)</f>
        <v>31.537219678181152</v>
      </c>
      <c r="F33" s="82">
        <f>'Baseline Price'!F33*(1+'Price Change'!F33)</f>
        <v>22.548723397503924</v>
      </c>
      <c r="G33" s="82">
        <f>'Baseline Price'!G33*(1+'Price Change'!G33)</f>
        <v>26.558251523999999</v>
      </c>
      <c r="H33" s="82">
        <f>'Baseline Price'!H33*(1+'Price Change'!H33)</f>
        <v>32.520299452742321</v>
      </c>
      <c r="I33" s="82">
        <f>'Baseline Price'!I33*(1+'Price Change'!I33)</f>
        <v>31.700946531883368</v>
      </c>
      <c r="J33" s="82">
        <f>'Baseline Price'!J33*(1+'Price Change'!J33)</f>
        <v>30.011539011306155</v>
      </c>
      <c r="K33" s="542">
        <f>'Baseline Price'!K33*(1+'Price Change'!K33)</f>
        <v>28.640116270973003</v>
      </c>
      <c r="L33" s="541">
        <f>'Baseline Price'!L33*(1+'Price Change'!L33)</f>
        <v>20.793419703219829</v>
      </c>
      <c r="M33" s="82">
        <f>'Baseline Price'!M33*(1+'Price Change'!M33)</f>
        <v>20.369113535381949</v>
      </c>
      <c r="N33" s="82">
        <f>'Baseline Price'!N33*(1+'Price Change'!N33)</f>
        <v>22.111402786252139</v>
      </c>
      <c r="O33" s="82">
        <f>'Baseline Price'!O33*(1+'Price Change'!O33)</f>
        <v>21.836510149872083</v>
      </c>
      <c r="P33" s="82">
        <f>'Baseline Price'!P33*(1+'Price Change'!P33)</f>
        <v>22.402248780085525</v>
      </c>
      <c r="Q33" s="82">
        <f>'Baseline Price'!Q33*(1+'Price Change'!Q33)</f>
        <v>26.164773795217947</v>
      </c>
      <c r="R33" s="82">
        <f>'Baseline Price'!R33*(1+'Price Change'!R33)</f>
        <v>27.687881668952706</v>
      </c>
      <c r="S33" s="82">
        <f>'Baseline Price'!S33*(1+'Price Change'!S33)</f>
        <v>28.40638774610898</v>
      </c>
      <c r="T33" s="82">
        <f>'Baseline Price'!T33*(1+'Price Change'!T33)</f>
        <v>28.991335699605649</v>
      </c>
      <c r="U33" s="82">
        <f>'Baseline Price'!U33*(1+'Price Change'!U33)</f>
        <v>32.070940964392904</v>
      </c>
      <c r="V33" s="82">
        <f>'Baseline Price'!V33*(1+'Price Change'!V33)</f>
        <v>32.232904254266295</v>
      </c>
      <c r="W33" s="82">
        <f>'Baseline Price'!W33*(1+'Price Change'!W33)</f>
        <v>32.420181900163826</v>
      </c>
      <c r="X33" s="82">
        <f>'Baseline Price'!X33*(1+'Price Change'!X33)</f>
        <v>32.666083580658444</v>
      </c>
      <c r="Y33" s="82">
        <f>'Baseline Price'!Y33*(1+'Price Change'!Y33)</f>
        <v>33.021874512571486</v>
      </c>
      <c r="Z33" s="82">
        <f>'Baseline Price'!Z33*(1+'Price Change'!Z33)</f>
        <v>33.732910055108576</v>
      </c>
      <c r="AA33" s="82">
        <f>'Baseline Price'!AA33*(1+'Price Change'!AA33)</f>
        <v>31.962823115399441</v>
      </c>
      <c r="AB33" s="82">
        <f>'Baseline Price'!AB33*(1+'Price Change'!AB33)</f>
        <v>32.317548979730439</v>
      </c>
      <c r="AC33" s="82">
        <f>'Baseline Price'!AC33*(1+'Price Change'!AC33)</f>
        <v>32.452617195998812</v>
      </c>
      <c r="AD33" s="82">
        <f>'Baseline Price'!AD33*(1+'Price Change'!AD33)</f>
        <v>32.511381133805244</v>
      </c>
      <c r="AE33" s="82">
        <f>'Baseline Price'!AE33*(1+'Price Change'!AE33)</f>
        <v>32.690715930565538</v>
      </c>
      <c r="AF33" s="82">
        <f>'Baseline Price'!AF33*(1+'Price Change'!AF33)</f>
        <v>32.828419943695394</v>
      </c>
      <c r="AG33" s="82">
        <f>'Baseline Price'!AG33*(1+'Price Change'!AG33)</f>
        <v>32.86266442153682</v>
      </c>
      <c r="AH33" s="82">
        <f>'Baseline Price'!AH33*(1+'Price Change'!AH33)</f>
        <v>33.25646215400004</v>
      </c>
      <c r="AI33" s="82">
        <f>'Baseline Price'!AI33*(1+'Price Change'!AI33)</f>
        <v>33.360265282541569</v>
      </c>
      <c r="AJ33" s="82">
        <f>'Baseline Price'!AJ33*(1+'Price Change'!AJ33)</f>
        <v>33.557703267468654</v>
      </c>
      <c r="AK33" s="82">
        <f>'Baseline Price'!AK33*(1+'Price Change'!AK33)</f>
        <v>33.787692441940109</v>
      </c>
    </row>
    <row r="34" spans="1:41">
      <c r="A34" s="57" t="str">
        <f>'Price Change'!A34</f>
        <v xml:space="preserve">   Jet Fuel 6/</v>
      </c>
      <c r="B34" s="82">
        <f>'Baseline Price'!B34*(1+'Price Change'!B34)</f>
        <v>16.702437187989137</v>
      </c>
      <c r="C34" s="82">
        <f>'Baseline Price'!C34*(1+'Price Change'!C34)</f>
        <v>17.975547195644388</v>
      </c>
      <c r="D34" s="82">
        <f>'Baseline Price'!D34*(1+'Price Change'!D34)</f>
        <v>18.52862945579167</v>
      </c>
      <c r="E34" s="82">
        <f>'Baseline Price'!E34*(1+'Price Change'!E34)</f>
        <v>26.326216229440853</v>
      </c>
      <c r="F34" s="82">
        <f>'Baseline Price'!F34*(1+'Price Change'!F34)</f>
        <v>14.548188935526408</v>
      </c>
      <c r="G34" s="82">
        <f>'Baseline Price'!G34*(1+'Price Change'!G34)</f>
        <v>18.012754261000001</v>
      </c>
      <c r="H34" s="82">
        <f>'Baseline Price'!H34*(1+'Price Change'!H34)</f>
        <v>23.841538827600001</v>
      </c>
      <c r="I34" s="82">
        <f>'Baseline Price'!I34*(1+'Price Change'!I34)</f>
        <v>23.3636208</v>
      </c>
      <c r="J34" s="82">
        <f>'Baseline Price'!J34*(1+'Price Change'!J34)</f>
        <v>22.157280000000004</v>
      </c>
      <c r="K34" s="542">
        <f>'Baseline Price'!K34*(1+'Price Change'!K34)</f>
        <v>20.741593999999999</v>
      </c>
      <c r="L34" s="541">
        <f>'Baseline Price'!L34*(1+'Price Change'!L34)</f>
        <v>12.171799999999999</v>
      </c>
      <c r="M34" s="82">
        <f>'Baseline Price'!M34*(1+'Price Change'!M34)</f>
        <v>9.9814690000000006</v>
      </c>
      <c r="N34" s="82">
        <f>'Baseline Price'!N34*(1+'Price Change'!N34)</f>
        <v>11.951191</v>
      </c>
      <c r="O34" s="82">
        <f>'Baseline Price'!O34*(1+'Price Change'!O34)</f>
        <v>12.256513</v>
      </c>
      <c r="P34" s="82">
        <f>'Baseline Price'!P34*(1+'Price Change'!P34)</f>
        <v>13.308604000000001</v>
      </c>
      <c r="Q34" s="82">
        <f>'Baseline Price'!Q34*(1+'Price Change'!Q34)</f>
        <v>16.655777</v>
      </c>
      <c r="R34" s="82">
        <f>'Baseline Price'!R34*(1+'Price Change'!R34)</f>
        <v>18.258929999999999</v>
      </c>
      <c r="S34" s="82">
        <f>'Baseline Price'!S34*(1+'Price Change'!S34)</f>
        <v>18.930979000000001</v>
      </c>
      <c r="T34" s="82">
        <f>'Baseline Price'!T34*(1+'Price Change'!T34)</f>
        <v>19.509972000000001</v>
      </c>
      <c r="U34" s="82">
        <f>'Baseline Price'!U34*(1+'Price Change'!U34)</f>
        <v>20.100172000000001</v>
      </c>
      <c r="V34" s="82">
        <f>'Baseline Price'!V34*(1+'Price Change'!V34)</f>
        <v>20.224865000000001</v>
      </c>
      <c r="W34" s="82">
        <f>'Baseline Price'!W34*(1+'Price Change'!W34)</f>
        <v>20.325897000000001</v>
      </c>
      <c r="X34" s="82">
        <f>'Baseline Price'!X34*(1+'Price Change'!X34)</f>
        <v>20.659405</v>
      </c>
      <c r="Y34" s="82">
        <f>'Baseline Price'!Y34*(1+'Price Change'!Y34)</f>
        <v>20.953747</v>
      </c>
      <c r="Z34" s="82">
        <f>'Baseline Price'!Z34*(1+'Price Change'!Z34)</f>
        <v>21.510567000000002</v>
      </c>
      <c r="AA34" s="82">
        <f>'Baseline Price'!AA34*(1+'Price Change'!AA34)</f>
        <v>21.723246</v>
      </c>
      <c r="AB34" s="82">
        <f>'Baseline Price'!AB34*(1+'Price Change'!AB34)</f>
        <v>22.113056</v>
      </c>
      <c r="AC34" s="82">
        <f>'Baseline Price'!AC34*(1+'Price Change'!AC34)</f>
        <v>22.350823999999999</v>
      </c>
      <c r="AD34" s="82">
        <f>'Baseline Price'!AD34*(1+'Price Change'!AD34)</f>
        <v>22.687228999999999</v>
      </c>
      <c r="AE34" s="82">
        <f>'Baseline Price'!AE34*(1+'Price Change'!AE34)</f>
        <v>22.910995</v>
      </c>
      <c r="AF34" s="82">
        <f>'Baseline Price'!AF34*(1+'Price Change'!AF34)</f>
        <v>23.109155999999999</v>
      </c>
      <c r="AG34" s="82">
        <f>'Baseline Price'!AG34*(1+'Price Change'!AG34)</f>
        <v>23.296961</v>
      </c>
      <c r="AH34" s="82">
        <f>'Baseline Price'!AH34*(1+'Price Change'!AH34)</f>
        <v>23.794943</v>
      </c>
      <c r="AI34" s="82">
        <f>'Baseline Price'!AI34*(1+'Price Change'!AI34)</f>
        <v>24.056287999999999</v>
      </c>
      <c r="AJ34" s="82">
        <f>'Baseline Price'!AJ34*(1+'Price Change'!AJ34)</f>
        <v>24.244046999999998</v>
      </c>
      <c r="AK34" s="82">
        <f>'Baseline Price'!AK34*(1+'Price Change'!AK34)</f>
        <v>24.428225999999999</v>
      </c>
    </row>
    <row r="35" spans="1:41">
      <c r="A35" s="57" t="str">
        <f>'Price Change'!A35</f>
        <v xml:space="preserve">   Diesel Fuel (distillate fuel oil) 7/</v>
      </c>
      <c r="B35" s="82">
        <f>'Baseline Price'!B35*(1+'Price Change'!B35)</f>
        <v>23.581029927118582</v>
      </c>
      <c r="C35" s="82">
        <f>'Baseline Price'!C35*(1+'Price Change'!C35)</f>
        <v>24.455105964321913</v>
      </c>
      <c r="D35" s="82">
        <f>'Baseline Price'!D35*(1+'Price Change'!D35)</f>
        <v>25.885869718822821</v>
      </c>
      <c r="E35" s="82">
        <f>'Baseline Price'!E35*(1+'Price Change'!E35)</f>
        <v>33.59062427495482</v>
      </c>
      <c r="F35" s="82">
        <f>'Baseline Price'!F35*(1+'Price Change'!F35)</f>
        <v>21.580136738551513</v>
      </c>
      <c r="G35" s="82">
        <f>'Baseline Price'!G35*(1+'Price Change'!G35)</f>
        <v>24.676323889999999</v>
      </c>
      <c r="H35" s="82">
        <f>'Baseline Price'!H35*(1+'Price Change'!H35)</f>
        <v>29.8158830466</v>
      </c>
      <c r="I35" s="82">
        <f>'Baseline Price'!I35*(1+'Price Change'!I35)</f>
        <v>28.88661750530779</v>
      </c>
      <c r="J35" s="82">
        <f>'Baseline Price'!J35*(1+'Price Change'!J35)</f>
        <v>28.314804721683004</v>
      </c>
      <c r="K35" s="542">
        <f>'Baseline Price'!K35*(1+'Price Change'!K35)</f>
        <v>27.273304140532964</v>
      </c>
      <c r="L35" s="541">
        <f>'Baseline Price'!L35*(1+'Price Change'!L35)</f>
        <v>19.487834277933494</v>
      </c>
      <c r="M35" s="82">
        <f>'Baseline Price'!M35*(1+'Price Change'!M35)</f>
        <v>17.748760678199574</v>
      </c>
      <c r="N35" s="82">
        <f>'Baseline Price'!N35*(1+'Price Change'!N35)</f>
        <v>19.847168253125517</v>
      </c>
      <c r="O35" s="82">
        <f>'Baseline Price'!O35*(1+'Price Change'!O35)</f>
        <v>20.536328040223609</v>
      </c>
      <c r="P35" s="82">
        <f>'Baseline Price'!P35*(1+'Price Change'!P35)</f>
        <v>20.918116609662636</v>
      </c>
      <c r="Q35" s="82">
        <f>'Baseline Price'!Q35*(1+'Price Change'!Q35)</f>
        <v>24.561043714979292</v>
      </c>
      <c r="R35" s="82">
        <f>'Baseline Price'!R35*(1+'Price Change'!R35)</f>
        <v>25.841190710399506</v>
      </c>
      <c r="S35" s="82">
        <f>'Baseline Price'!S35*(1+'Price Change'!S35)</f>
        <v>26.357571077962014</v>
      </c>
      <c r="T35" s="82">
        <f>'Baseline Price'!T35*(1+'Price Change'!T35)</f>
        <v>26.894074114689239</v>
      </c>
      <c r="U35" s="82">
        <f>'Baseline Price'!U35*(1+'Price Change'!U35)</f>
        <v>29.971068908336914</v>
      </c>
      <c r="V35" s="82">
        <f>'Baseline Price'!V35*(1+'Price Change'!V35)</f>
        <v>30.395347579137933</v>
      </c>
      <c r="W35" s="82">
        <f>'Baseline Price'!W35*(1+'Price Change'!W35)</f>
        <v>30.634575994547216</v>
      </c>
      <c r="X35" s="82">
        <f>'Baseline Price'!X35*(1+'Price Change'!X35)</f>
        <v>31.022129726440852</v>
      </c>
      <c r="Y35" s="82">
        <f>'Baseline Price'!Y35*(1+'Price Change'!Y35)</f>
        <v>31.422756606271367</v>
      </c>
      <c r="Z35" s="82">
        <f>'Baseline Price'!Z35*(1+'Price Change'!Z35)</f>
        <v>32.224347424872938</v>
      </c>
      <c r="AA35" s="82">
        <f>'Baseline Price'!AA35*(1+'Price Change'!AA35)</f>
        <v>30.468056089509627</v>
      </c>
      <c r="AB35" s="82">
        <f>'Baseline Price'!AB35*(1+'Price Change'!AB35)</f>
        <v>30.792472546629558</v>
      </c>
      <c r="AC35" s="82">
        <f>'Baseline Price'!AC35*(1+'Price Change'!AC35)</f>
        <v>30.905538300900933</v>
      </c>
      <c r="AD35" s="82">
        <f>'Baseline Price'!AD35*(1+'Price Change'!AD35)</f>
        <v>31.201307443243117</v>
      </c>
      <c r="AE35" s="82">
        <f>'Baseline Price'!AE35*(1+'Price Change'!AE35)</f>
        <v>31.468782785916563</v>
      </c>
      <c r="AF35" s="82">
        <f>'Baseline Price'!AF35*(1+'Price Change'!AF35)</f>
        <v>31.6005567534629</v>
      </c>
      <c r="AG35" s="82">
        <f>'Baseline Price'!AG35*(1+'Price Change'!AG35)</f>
        <v>31.740761814225152</v>
      </c>
      <c r="AH35" s="82">
        <f>'Baseline Price'!AH35*(1+'Price Change'!AH35)</f>
        <v>32.14829790601361</v>
      </c>
      <c r="AI35" s="82">
        <f>'Baseline Price'!AI35*(1+'Price Change'!AI35)</f>
        <v>32.313866949445398</v>
      </c>
      <c r="AJ35" s="82">
        <f>'Baseline Price'!AJ35*(1+'Price Change'!AJ35)</f>
        <v>32.4656992674227</v>
      </c>
      <c r="AK35" s="82">
        <f>'Baseline Price'!AK35*(1+'Price Change'!AK35)</f>
        <v>32.610071932332914</v>
      </c>
    </row>
    <row r="36" spans="1:41">
      <c r="A36" s="57" t="str">
        <f>'Price Change'!A36</f>
        <v xml:space="preserve">   Residual Fuel Oil</v>
      </c>
      <c r="B36" s="82">
        <f>'Baseline Price'!B36*(1+'Price Change'!B36)</f>
        <v>10.868934719680732</v>
      </c>
      <c r="C36" s="82">
        <f>'Baseline Price'!C36*(1+'Price Change'!C36)</f>
        <v>11.781013667017787</v>
      </c>
      <c r="D36" s="82">
        <f>'Baseline Price'!D36*(1+'Price Change'!D36)</f>
        <v>11.945835170871824</v>
      </c>
      <c r="E36" s="82">
        <f>'Baseline Price'!E36*(1+'Price Change'!E36)</f>
        <v>20.824636319965069</v>
      </c>
      <c r="F36" s="82">
        <f>'Baseline Price'!F36*(1+'Price Change'!F36)</f>
        <v>11.526194206927102</v>
      </c>
      <c r="G36" s="82">
        <f>'Baseline Price'!G36*(1+'Price Change'!G36)</f>
        <v>15.439504906</v>
      </c>
      <c r="H36" s="82">
        <f>'Baseline Price'!H36*(1+'Price Change'!H36)</f>
        <v>25.107132314400001</v>
      </c>
      <c r="I36" s="82">
        <f>'Baseline Price'!I36*(1+'Price Change'!I36)</f>
        <v>20.331356</v>
      </c>
      <c r="J36" s="82">
        <f>'Baseline Price'!J36*(1+'Price Change'!J36)</f>
        <v>19.655353800000004</v>
      </c>
      <c r="K36" s="542">
        <f>'Baseline Price'!K36*(1+'Price Change'!K36)</f>
        <v>14.493463999999999</v>
      </c>
      <c r="L36" s="541">
        <f>'Baseline Price'!L36*(1+'Price Change'!L36)</f>
        <v>12.395135</v>
      </c>
      <c r="M36" s="82">
        <f>'Baseline Price'!M36*(1+'Price Change'!M36)</f>
        <v>9.0035729999999994</v>
      </c>
      <c r="N36" s="82">
        <f>'Baseline Price'!N36*(1+'Price Change'!N36)</f>
        <v>12.029985</v>
      </c>
      <c r="O36" s="82">
        <f>'Baseline Price'!O36*(1+'Price Change'!O36)</f>
        <v>11.897579</v>
      </c>
      <c r="P36" s="82">
        <f>'Baseline Price'!P36*(1+'Price Change'!P36)</f>
        <v>15.248987</v>
      </c>
      <c r="Q36" s="82">
        <f>'Baseline Price'!Q36*(1+'Price Change'!Q36)</f>
        <v>15.380401000000001</v>
      </c>
      <c r="R36" s="82">
        <f>'Baseline Price'!R36*(1+'Price Change'!R36)</f>
        <v>16.985220000000002</v>
      </c>
      <c r="S36" s="82">
        <f>'Baseline Price'!S36*(1+'Price Change'!S36)</f>
        <v>18.720980000000001</v>
      </c>
      <c r="T36" s="82">
        <f>'Baseline Price'!T36*(1+'Price Change'!T36)</f>
        <v>19.134377000000001</v>
      </c>
      <c r="U36" s="82">
        <f>'Baseline Price'!U36*(1+'Price Change'!U36)</f>
        <v>19.106483000000001</v>
      </c>
      <c r="V36" s="82">
        <f>'Baseline Price'!V36*(1+'Price Change'!V36)</f>
        <v>19.133807999999998</v>
      </c>
      <c r="W36" s="82">
        <f>'Baseline Price'!W36*(1+'Price Change'!W36)</f>
        <v>19.553170999999999</v>
      </c>
      <c r="X36" s="82">
        <f>'Baseline Price'!X36*(1+'Price Change'!X36)</f>
        <v>19.710277999999999</v>
      </c>
      <c r="Y36" s="82">
        <f>'Baseline Price'!Y36*(1+'Price Change'!Y36)</f>
        <v>19.886894000000002</v>
      </c>
      <c r="Z36" s="82">
        <f>'Baseline Price'!Z36*(1+'Price Change'!Z36)</f>
        <v>20.164287999999999</v>
      </c>
      <c r="AA36" s="82">
        <f>'Baseline Price'!AA36*(1+'Price Change'!AA36)</f>
        <v>20.338757000000001</v>
      </c>
      <c r="AB36" s="82">
        <f>'Baseline Price'!AB36*(1+'Price Change'!AB36)</f>
        <v>20.608881</v>
      </c>
      <c r="AC36" s="82">
        <f>'Baseline Price'!AC36*(1+'Price Change'!AC36)</f>
        <v>20.777021000000001</v>
      </c>
      <c r="AD36" s="82">
        <f>'Baseline Price'!AD36*(1+'Price Change'!AD36)</f>
        <v>20.970106000000001</v>
      </c>
      <c r="AE36" s="82">
        <f>'Baseline Price'!AE36*(1+'Price Change'!AE36)</f>
        <v>21.154682000000001</v>
      </c>
      <c r="AF36" s="82">
        <f>'Baseline Price'!AF36*(1+'Price Change'!AF36)</f>
        <v>21.319182999999999</v>
      </c>
      <c r="AG36" s="82">
        <f>'Baseline Price'!AG36*(1+'Price Change'!AG36)</f>
        <v>21.416967</v>
      </c>
      <c r="AH36" s="82">
        <f>'Baseline Price'!AH36*(1+'Price Change'!AH36)</f>
        <v>21.795977000000001</v>
      </c>
      <c r="AI36" s="82">
        <f>'Baseline Price'!AI36*(1+'Price Change'!AI36)</f>
        <v>21.921675</v>
      </c>
      <c r="AJ36" s="82">
        <f>'Baseline Price'!AJ36*(1+'Price Change'!AJ36)</f>
        <v>22.075838000000001</v>
      </c>
      <c r="AK36" s="82">
        <f>'Baseline Price'!AK36*(1+'Price Change'!AK36)</f>
        <v>22.220699</v>
      </c>
    </row>
    <row r="37" spans="1:41">
      <c r="A37" s="57" t="str">
        <f>'Price Change'!A37</f>
        <v xml:space="preserve">   Natural Gas 8/</v>
      </c>
      <c r="B37" s="82">
        <f>'Baseline Price'!B37*(1+'Price Change'!B37)</f>
        <v>14.347516543540372</v>
      </c>
      <c r="C37" s="82">
        <f>'Baseline Price'!C37*(1+'Price Change'!C37)</f>
        <v>13.450918029411255</v>
      </c>
      <c r="D37" s="82">
        <f>'Baseline Price'!D37*(1+'Price Change'!D37)</f>
        <v>12.714585281051809</v>
      </c>
      <c r="E37" s="82">
        <f>'Baseline Price'!E37*(1+'Price Change'!E37)</f>
        <v>15.022166673886632</v>
      </c>
      <c r="F37" s="82">
        <f>'Baseline Price'!F37*(1+'Price Change'!F37)</f>
        <v>10.607329831625647</v>
      </c>
      <c r="G37" s="82">
        <f>'Baseline Price'!G37*(1+'Price Change'!G37)</f>
        <v>15.702759674999999</v>
      </c>
      <c r="H37" s="82">
        <f>'Baseline Price'!H37*(1+'Price Change'!H37)</f>
        <v>16.275761133</v>
      </c>
      <c r="I37" s="82">
        <f>'Baseline Price'!I37*(1+'Price Change'!I37)</f>
        <v>15.559334399999999</v>
      </c>
      <c r="J37" s="82">
        <f>'Baseline Price'!J37*(1+'Price Change'!J37)</f>
        <v>15.365458199999999</v>
      </c>
      <c r="K37" s="542">
        <f>'Baseline Price'!K37*(1+'Price Change'!K37)</f>
        <v>19.085505000000001</v>
      </c>
      <c r="L37" s="541">
        <f>'Baseline Price'!L37*(1+'Price Change'!L37)</f>
        <v>17.802166</v>
      </c>
      <c r="M37" s="82">
        <f>'Baseline Price'!M37*(1+'Price Change'!M37)</f>
        <v>15.690949</v>
      </c>
      <c r="N37" s="82">
        <f>'Baseline Price'!N37*(1+'Price Change'!N37)</f>
        <v>15.951169999999999</v>
      </c>
      <c r="O37" s="82">
        <f>'Baseline Price'!O37*(1+'Price Change'!O37)</f>
        <v>15.54055</v>
      </c>
      <c r="P37" s="82">
        <f>'Baseline Price'!P37*(1+'Price Change'!P37)</f>
        <v>15.461475</v>
      </c>
      <c r="Q37" s="82">
        <f>'Baseline Price'!Q37*(1+'Price Change'!Q37)</f>
        <v>16.267951481837365</v>
      </c>
      <c r="R37" s="82">
        <f>'Baseline Price'!R37*(1+'Price Change'!R37)</f>
        <v>15.491796742925121</v>
      </c>
      <c r="S37" s="82">
        <f>'Baseline Price'!S37*(1+'Price Change'!S37)</f>
        <v>15.433365173753854</v>
      </c>
      <c r="T37" s="82">
        <f>'Baseline Price'!T37*(1+'Price Change'!T37)</f>
        <v>15.559072735047739</v>
      </c>
      <c r="U37" s="82">
        <f>'Baseline Price'!U37*(1+'Price Change'!U37)</f>
        <v>18.432060973367104</v>
      </c>
      <c r="V37" s="82">
        <f>'Baseline Price'!V37*(1+'Price Change'!V37)</f>
        <v>18.587867727286866</v>
      </c>
      <c r="W37" s="82">
        <f>'Baseline Price'!W37*(1+'Price Change'!W37)</f>
        <v>18.598151498522505</v>
      </c>
      <c r="X37" s="82">
        <f>'Baseline Price'!X37*(1+'Price Change'!X37)</f>
        <v>18.622691401290293</v>
      </c>
      <c r="Y37" s="82">
        <f>'Baseline Price'!Y37*(1+'Price Change'!Y37)</f>
        <v>18.588475480481765</v>
      </c>
      <c r="Z37" s="82">
        <f>'Baseline Price'!Z37*(1+'Price Change'!Z37)</f>
        <v>19.003812113228619</v>
      </c>
      <c r="AA37" s="82">
        <f>'Baseline Price'!AA37*(1+'Price Change'!AA37)</f>
        <v>17.482697000000002</v>
      </c>
      <c r="AB37" s="82">
        <f>'Baseline Price'!AB37*(1+'Price Change'!AB37)</f>
        <v>17.390416999999999</v>
      </c>
      <c r="AC37" s="82">
        <f>'Baseline Price'!AC37*(1+'Price Change'!AC37)</f>
        <v>17.333994000000001</v>
      </c>
      <c r="AD37" s="82">
        <f>'Baseline Price'!AD37*(1+'Price Change'!AD37)</f>
        <v>17.264631000000001</v>
      </c>
      <c r="AE37" s="82">
        <f>'Baseline Price'!AE37*(1+'Price Change'!AE37)</f>
        <v>17.222916000000001</v>
      </c>
      <c r="AF37" s="82">
        <f>'Baseline Price'!AF37*(1+'Price Change'!AF37)</f>
        <v>17.164318000000002</v>
      </c>
      <c r="AG37" s="82">
        <f>'Baseline Price'!AG37*(1+'Price Change'!AG37)</f>
        <v>17.218857</v>
      </c>
      <c r="AH37" s="82">
        <f>'Baseline Price'!AH37*(1+'Price Change'!AH37)</f>
        <v>17.173249999999999</v>
      </c>
      <c r="AI37" s="82">
        <f>'Baseline Price'!AI37*(1+'Price Change'!AI37)</f>
        <v>17.185514000000001</v>
      </c>
      <c r="AJ37" s="82">
        <f>'Baseline Price'!AJ37*(1+'Price Change'!AJ37)</f>
        <v>17.192053000000001</v>
      </c>
      <c r="AK37" s="82">
        <f>'Baseline Price'!AK37*(1+'Price Change'!AK37)</f>
        <v>17.183734999999999</v>
      </c>
    </row>
    <row r="38" spans="1:41">
      <c r="A38" s="57" t="str">
        <f>'Price Change'!A38</f>
        <v xml:space="preserve">   Electricity</v>
      </c>
      <c r="B38" s="82">
        <f>'Baseline Price'!B38*(1+'Price Change'!B38)</f>
        <v>25.273055569087418</v>
      </c>
      <c r="C38" s="82">
        <f>'Baseline Price'!C38*(1+'Price Change'!C38)</f>
        <v>23.968927249238199</v>
      </c>
      <c r="D38" s="82">
        <f>'Baseline Price'!D38*(1+'Price Change'!D38)</f>
        <v>23.728557758441507</v>
      </c>
      <c r="E38" s="82">
        <f>'Baseline Price'!E38*(1+'Price Change'!E38)</f>
        <v>24.586978211291097</v>
      </c>
      <c r="F38" s="82">
        <f>'Baseline Price'!F38*(1+'Price Change'!F38)</f>
        <v>23.563944028004737</v>
      </c>
      <c r="G38" s="82">
        <f>'Baseline Price'!G38*(1+'Price Change'!G38)</f>
        <v>25.051514399860356</v>
      </c>
      <c r="H38" s="82">
        <f>'Baseline Price'!H38*(1+'Price Change'!H38)</f>
        <v>24.211661054755247</v>
      </c>
      <c r="I38" s="82">
        <f>'Baseline Price'!I38*(1+'Price Change'!I38)</f>
        <v>21.242036654265814</v>
      </c>
      <c r="J38" s="82">
        <f>'Baseline Price'!J38*(1+'Price Change'!J38)</f>
        <v>21.485177834325871</v>
      </c>
      <c r="K38" s="542">
        <f>'Baseline Price'!K38*(1+'Price Change'!K38)</f>
        <v>22.631162053794682</v>
      </c>
      <c r="L38" s="541">
        <f>'Baseline Price'!L38+'Price Change'!L86</f>
        <v>20.524528828361394</v>
      </c>
      <c r="M38" s="542">
        <f>'Baseline Price'!M38+'Price Change'!M86</f>
        <v>22.188918030250495</v>
      </c>
      <c r="N38" s="542">
        <f>'Baseline Price'!N38+'Price Change'!N86</f>
        <v>27.954380549803759</v>
      </c>
      <c r="O38" s="542">
        <f>'Baseline Price'!O38+'Price Change'!O86</f>
        <v>29.640141964888709</v>
      </c>
      <c r="P38" s="542">
        <f>'Baseline Price'!P38+'Price Change'!P86</f>
        <v>29.672832792999262</v>
      </c>
      <c r="Q38" s="542">
        <f>'Baseline Price'!Q38+'Price Change'!Q86</f>
        <v>31.377129781938411</v>
      </c>
      <c r="R38" s="542">
        <f>'Baseline Price'!R38+'Price Change'!R86</f>
        <v>32.884513259107706</v>
      </c>
      <c r="S38" s="542">
        <f>'Baseline Price'!S38+'Price Change'!S86</f>
        <v>34.556635541921999</v>
      </c>
      <c r="T38" s="542">
        <f>'Baseline Price'!T38+'Price Change'!T86</f>
        <v>36.458487610719381</v>
      </c>
      <c r="U38" s="542">
        <f>'Baseline Price'!U38+'Price Change'!U86</f>
        <v>37.201240932423296</v>
      </c>
      <c r="V38" s="542">
        <f>'Baseline Price'!V38+'Price Change'!V86</f>
        <v>38.418060963096302</v>
      </c>
      <c r="W38" s="542">
        <f>'Baseline Price'!W38+'Price Change'!W86</f>
        <v>39.490393292390181</v>
      </c>
      <c r="X38" s="542">
        <f>'Baseline Price'!X38+'Price Change'!X86</f>
        <v>39.814348056757886</v>
      </c>
      <c r="Y38" s="542">
        <f>'Baseline Price'!Y38+'Price Change'!Y86</f>
        <v>40.03831758955743</v>
      </c>
      <c r="Z38" s="542">
        <f>'Baseline Price'!Z38+'Price Change'!Z86</f>
        <v>40.218305900570556</v>
      </c>
      <c r="AA38" s="542">
        <f>'Baseline Price'!AA38+'Price Change'!AA86</f>
        <v>39.671454969350506</v>
      </c>
      <c r="AB38" s="542">
        <f>'Baseline Price'!AB38+'Price Change'!AB86</f>
        <v>39.999249598761978</v>
      </c>
      <c r="AC38" s="542">
        <f>'Baseline Price'!AC38+'Price Change'!AC86</f>
        <v>40.098550129372647</v>
      </c>
      <c r="AD38" s="542">
        <f>'Baseline Price'!AD38+'Price Change'!AD86</f>
        <v>40.067119819918702</v>
      </c>
      <c r="AE38" s="542">
        <f>'Baseline Price'!AE38+'Price Change'!AE86</f>
        <v>40.023770671879205</v>
      </c>
      <c r="AF38" s="542">
        <f>'Baseline Price'!AF38+'Price Change'!AF86</f>
        <v>39.923225120792132</v>
      </c>
      <c r="AG38" s="542">
        <f>'Baseline Price'!AG38+'Price Change'!AG86</f>
        <v>39.763323015540443</v>
      </c>
      <c r="AH38" s="542">
        <f>'Baseline Price'!AH38+'Price Change'!AH86</f>
        <v>39.609567045752563</v>
      </c>
      <c r="AI38" s="542">
        <f>'Baseline Price'!AI38+'Price Change'!AI86</f>
        <v>39.385160776482763</v>
      </c>
      <c r="AJ38" s="542">
        <f>'Baseline Price'!AJ38+'Price Change'!AJ86</f>
        <v>39.104539655578307</v>
      </c>
      <c r="AK38" s="542">
        <f>'Baseline Price'!AK38+'Price Change'!AK86</f>
        <v>38.802035104225645</v>
      </c>
    </row>
    <row r="39" spans="1:41">
      <c r="L39" s="18"/>
    </row>
    <row r="40" spans="1:41" s="439" customFormat="1">
      <c r="A40" s="439" t="s">
        <v>1314</v>
      </c>
      <c r="B40" s="320"/>
      <c r="C40" s="320"/>
      <c r="D40" s="320"/>
      <c r="E40" s="320"/>
      <c r="F40" s="320"/>
      <c r="G40" s="320"/>
      <c r="H40" s="320"/>
      <c r="I40" s="320"/>
      <c r="J40" s="320"/>
      <c r="K40" s="320"/>
      <c r="L40" s="376"/>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0"/>
      <c r="AM40" s="320"/>
      <c r="AN40" s="320"/>
      <c r="AO40" s="320"/>
    </row>
    <row r="41" spans="1:41" s="439" customFormat="1">
      <c r="A41" s="77" t="s">
        <v>466</v>
      </c>
      <c r="B41" s="68"/>
      <c r="C41" s="68"/>
      <c r="D41" s="68"/>
      <c r="E41" s="68"/>
      <c r="F41" s="68"/>
      <c r="G41" s="68"/>
      <c r="H41" s="68"/>
      <c r="I41" s="68"/>
      <c r="J41" s="68"/>
      <c r="K41" s="68"/>
      <c r="L41" s="438">
        <f>'Baseline Price'!L50*(1+'Price Change'!L41)</f>
        <v>22.287000346800003</v>
      </c>
      <c r="M41" s="68">
        <f>'Baseline Price'!M50*(1+'Price Change'!M41)</f>
        <v>20.752323797399999</v>
      </c>
      <c r="N41" s="68">
        <f>'Baseline Price'!N50*(1+'Price Change'!N41)</f>
        <v>20.589386416480004</v>
      </c>
      <c r="O41" s="68">
        <f>'Baseline Price'!O50*(1+'Price Change'!O41)</f>
        <v>21.103319651040003</v>
      </c>
      <c r="P41" s="68">
        <f>'Baseline Price'!P50*(1+'Price Change'!P41)</f>
        <v>21.623717201856007</v>
      </c>
      <c r="Q41" s="68">
        <f>'Baseline Price'!Q50*(1+'Price Change'!Q41)</f>
        <v>35.79086400041934</v>
      </c>
      <c r="R41" s="68">
        <f>'Baseline Price'!R50*(1+'Price Change'!R41)</f>
        <v>37.868109150303255</v>
      </c>
      <c r="S41" s="68">
        <f>'Baseline Price'!S50*(1+'Price Change'!S41)</f>
        <v>39.803793560602436</v>
      </c>
      <c r="T41" s="68">
        <f>'Baseline Price'!T50*(1+'Price Change'!T41)</f>
        <v>41.548205775104165</v>
      </c>
      <c r="U41" s="68">
        <f>'Baseline Price'!U50*(1+'Price Change'!U41)</f>
        <v>43.386246917023669</v>
      </c>
      <c r="V41" s="68">
        <f>'Baseline Price'!V50*(1+'Price Change'!V41)</f>
        <v>45.14576560391265</v>
      </c>
      <c r="W41" s="68">
        <f>'Baseline Price'!W50*(1+'Price Change'!W41)</f>
        <v>46.5917843375789</v>
      </c>
      <c r="X41" s="68">
        <f>'Baseline Price'!X50*(1+'Price Change'!X41)</f>
        <v>47.967088170600356</v>
      </c>
      <c r="Y41" s="68">
        <f>'Baseline Price'!Y50*(1+'Price Change'!Y41)</f>
        <v>49.188861265644441</v>
      </c>
      <c r="Z41" s="68">
        <f>'Baseline Price'!Z50*(1+'Price Change'!Z41)</f>
        <v>50.521999726351517</v>
      </c>
      <c r="AA41" s="68">
        <f>'Baseline Price'!AA50*(1+'Price Change'!AA41)</f>
        <v>24.016450057564718</v>
      </c>
      <c r="AB41" s="68">
        <f>'Baseline Price'!AB50*(1+'Price Change'!AB41)</f>
        <v>24.215377888636638</v>
      </c>
      <c r="AC41" s="68">
        <f>'Baseline Price'!AC50*(1+'Price Change'!AC41)</f>
        <v>24.295770032309655</v>
      </c>
      <c r="AD41" s="68">
        <f>'Baseline Price'!AD50*(1+'Price Change'!AD41)</f>
        <v>24.435082110117666</v>
      </c>
      <c r="AE41" s="68">
        <f>'Baseline Price'!AE50*(1+'Price Change'!AE41)</f>
        <v>24.750994837991641</v>
      </c>
      <c r="AF41" s="68">
        <f>'Baseline Price'!AF50*(1+'Price Change'!AF41)</f>
        <v>25.162052698245137</v>
      </c>
      <c r="AG41" s="68">
        <f>'Baseline Price'!AG50*(1+'Price Change'!AG41)</f>
        <v>25.475863609243678</v>
      </c>
      <c r="AH41" s="68">
        <f>'Baseline Price'!AH50*(1+'Price Change'!AH41)</f>
        <v>25.906582779019896</v>
      </c>
      <c r="AI41" s="68">
        <f>'Baseline Price'!AI50*(1+'Price Change'!AI41)</f>
        <v>26.135756620910563</v>
      </c>
      <c r="AJ41" s="68">
        <f>'Baseline Price'!AJ50*(1+'Price Change'!AJ41)</f>
        <v>26.409888034026437</v>
      </c>
      <c r="AK41" s="68">
        <f>'Baseline Price'!AK50*(1+'Price Change'!AK41)</f>
        <v>26.492547021605279</v>
      </c>
    </row>
    <row r="42" spans="1:41" s="439" customFormat="1">
      <c r="A42" s="77" t="s">
        <v>513</v>
      </c>
      <c r="B42" s="68"/>
      <c r="C42" s="68"/>
      <c r="D42" s="68"/>
      <c r="E42" s="68"/>
      <c r="F42" s="68"/>
      <c r="G42" s="68"/>
      <c r="H42" s="68"/>
      <c r="I42" s="68"/>
      <c r="J42" s="68"/>
      <c r="K42" s="68"/>
      <c r="L42" s="438">
        <f>'Baseline Price'!L51*(1+'Price Change'!L42)</f>
        <v>26.119044432585998</v>
      </c>
      <c r="M42" s="68">
        <f>'Baseline Price'!M51*(1+'Price Change'!M42)</f>
        <v>22.601077469146869</v>
      </c>
      <c r="N42" s="68">
        <f>'Baseline Price'!N51*(1+'Price Change'!N42)</f>
        <v>27.683198428349129</v>
      </c>
      <c r="O42" s="68">
        <f>'Baseline Price'!O51*(1+'Price Change'!O42)</f>
        <v>28.750887212517235</v>
      </c>
      <c r="P42" s="68">
        <f>'Baseline Price'!P51*(1+'Price Change'!P42)</f>
        <v>31.26282702242203</v>
      </c>
      <c r="Q42" s="68">
        <f>'Baseline Price'!Q51*(1+'Price Change'!Q42)</f>
        <v>37.918256797616486</v>
      </c>
      <c r="R42" s="68">
        <f>'Baseline Price'!R51*(1+'Price Change'!R42)</f>
        <v>38.478124386805099</v>
      </c>
      <c r="S42" s="68">
        <f>'Baseline Price'!S51*(1+'Price Change'!S42)</f>
        <v>39.125305787369349</v>
      </c>
      <c r="T42" s="68">
        <f>'Baseline Price'!T51*(1+'Price Change'!T42)</f>
        <v>40.526865180921611</v>
      </c>
      <c r="U42" s="68">
        <f>'Baseline Price'!U51*(1+'Price Change'!U42)</f>
        <v>41.969339243050662</v>
      </c>
      <c r="V42" s="68">
        <f>'Baseline Price'!V51*(1+'Price Change'!V42)</f>
        <v>43.966749304793773</v>
      </c>
      <c r="W42" s="68">
        <f>'Baseline Price'!W51*(1+'Price Change'!W42)</f>
        <v>45.002876162978765</v>
      </c>
      <c r="X42" s="68">
        <f>'Baseline Price'!X51*(1+'Price Change'!X42)</f>
        <v>45.78681944373163</v>
      </c>
      <c r="Y42" s="68">
        <f>'Baseline Price'!Y51*(1+'Price Change'!Y42)</f>
        <v>46.138739808561745</v>
      </c>
      <c r="Z42" s="68">
        <f>'Baseline Price'!Z51*(1+'Price Change'!Z42)</f>
        <v>46.882695042600545</v>
      </c>
      <c r="AA42" s="68">
        <f>'Baseline Price'!AA51*(1+'Price Change'!AA42)</f>
        <v>35.642082974958278</v>
      </c>
      <c r="AB42" s="68">
        <f>'Baseline Price'!AB51*(1+'Price Change'!AB42)</f>
        <v>35.291827526435029</v>
      </c>
      <c r="AC42" s="68">
        <f>'Baseline Price'!AC51*(1+'Price Change'!AC42)</f>
        <v>35.30875762814884</v>
      </c>
      <c r="AD42" s="68">
        <f>'Baseline Price'!AD51*(1+'Price Change'!AD42)</f>
        <v>35.176773123591609</v>
      </c>
      <c r="AE42" s="68">
        <f>'Baseline Price'!AE51*(1+'Price Change'!AE42)</f>
        <v>35.360938000852137</v>
      </c>
      <c r="AF42" s="68">
        <f>'Baseline Price'!AF51*(1+'Price Change'!AF42)</f>
        <v>35.311178874197282</v>
      </c>
      <c r="AG42" s="68">
        <f>'Baseline Price'!AG51*(1+'Price Change'!AG42)</f>
        <v>36.139660132317353</v>
      </c>
      <c r="AH42" s="68">
        <f>'Baseline Price'!AH51*(1+'Price Change'!AH42)</f>
        <v>36.140551639366436</v>
      </c>
      <c r="AI42" s="68">
        <f>'Baseline Price'!AI51*(1+'Price Change'!AI42)</f>
        <v>36.567097858559016</v>
      </c>
      <c r="AJ42" s="68">
        <f>'Baseline Price'!AJ51*(1+'Price Change'!AJ42)</f>
        <v>36.970208076458341</v>
      </c>
      <c r="AK42" s="68">
        <f>'Baseline Price'!AK51*(1+'Price Change'!AK42)</f>
        <v>37.265327839231574</v>
      </c>
    </row>
    <row r="43" spans="1:41" s="439" customFormat="1">
      <c r="A43" s="77" t="s">
        <v>1151</v>
      </c>
      <c r="B43" s="68"/>
      <c r="C43" s="68"/>
      <c r="D43" s="68"/>
      <c r="E43" s="68"/>
      <c r="F43" s="68"/>
      <c r="G43" s="68"/>
      <c r="H43" s="68"/>
      <c r="I43" s="68"/>
      <c r="J43" s="68"/>
      <c r="K43" s="68"/>
      <c r="L43" s="438">
        <f>'Baseline Price'!L52*(1+'Price Change'!L43)</f>
        <v>26.119044432585998</v>
      </c>
      <c r="M43" s="68">
        <f>'Baseline Price'!M52*(1+'Price Change'!M43)</f>
        <v>22.601077469146869</v>
      </c>
      <c r="N43" s="68">
        <f>'Baseline Price'!N52*(1+'Price Change'!N43)</f>
        <v>27.683198428349129</v>
      </c>
      <c r="O43" s="68">
        <f>'Baseline Price'!O52*(1+'Price Change'!O43)</f>
        <v>28.750887212517235</v>
      </c>
      <c r="P43" s="68">
        <f>'Baseline Price'!P52*(1+'Price Change'!P43)</f>
        <v>31.26282702242203</v>
      </c>
      <c r="Q43" s="68">
        <f>'Baseline Price'!Q52*(1+'Price Change'!Q43)</f>
        <v>37.918256797616486</v>
      </c>
      <c r="R43" s="68">
        <f>'Baseline Price'!R52*(1+'Price Change'!R43)</f>
        <v>38.478124386805099</v>
      </c>
      <c r="S43" s="68">
        <f>'Baseline Price'!S52*(1+'Price Change'!S43)</f>
        <v>39.125305787369349</v>
      </c>
      <c r="T43" s="68">
        <f>'Baseline Price'!T52*(1+'Price Change'!T43)</f>
        <v>40.526865180921611</v>
      </c>
      <c r="U43" s="68">
        <f>'Baseline Price'!U52*(1+'Price Change'!U43)</f>
        <v>41.969339243050662</v>
      </c>
      <c r="V43" s="68">
        <f>'Baseline Price'!V52*(1+'Price Change'!V43)</f>
        <v>43.966749304793773</v>
      </c>
      <c r="W43" s="68">
        <f>'Baseline Price'!W52*(1+'Price Change'!W43)</f>
        <v>45.002876162978765</v>
      </c>
      <c r="X43" s="68">
        <f>'Baseline Price'!X52*(1+'Price Change'!X43)</f>
        <v>45.78681944373163</v>
      </c>
      <c r="Y43" s="68">
        <f>'Baseline Price'!Y52*(1+'Price Change'!Y43)</f>
        <v>46.138739808561745</v>
      </c>
      <c r="Z43" s="68">
        <f>'Baseline Price'!Z52*(1+'Price Change'!Z43)</f>
        <v>46.882695042600545</v>
      </c>
      <c r="AA43" s="68">
        <f>'Baseline Price'!AA52*(1+'Price Change'!AA43)</f>
        <v>35.642082974958278</v>
      </c>
      <c r="AB43" s="68">
        <f>'Baseline Price'!AB52*(1+'Price Change'!AB43)</f>
        <v>35.291827526435029</v>
      </c>
      <c r="AC43" s="68">
        <f>'Baseline Price'!AC52*(1+'Price Change'!AC43)</f>
        <v>35.30875762814884</v>
      </c>
      <c r="AD43" s="68">
        <f>'Baseline Price'!AD52*(1+'Price Change'!AD43)</f>
        <v>35.176773123591609</v>
      </c>
      <c r="AE43" s="68">
        <f>'Baseline Price'!AE52*(1+'Price Change'!AE43)</f>
        <v>35.360938000852137</v>
      </c>
      <c r="AF43" s="68">
        <f>'Baseline Price'!AF52*(1+'Price Change'!AF43)</f>
        <v>35.311178874197282</v>
      </c>
      <c r="AG43" s="68">
        <f>'Baseline Price'!AG52*(1+'Price Change'!AG43)</f>
        <v>36.139660132317353</v>
      </c>
      <c r="AH43" s="68">
        <f>'Baseline Price'!AH52*(1+'Price Change'!AH43)</f>
        <v>36.140551639366436</v>
      </c>
      <c r="AI43" s="68">
        <f>'Baseline Price'!AI52*(1+'Price Change'!AI43)</f>
        <v>36.567097858559016</v>
      </c>
      <c r="AJ43" s="68">
        <f>'Baseline Price'!AJ52*(1+'Price Change'!AJ43)</f>
        <v>36.970208076458341</v>
      </c>
      <c r="AK43" s="68">
        <f>'Baseline Price'!AK52*(1+'Price Change'!AK43)</f>
        <v>37.265327839231574</v>
      </c>
    </row>
    <row r="44" spans="1:41" s="439" customFormat="1">
      <c r="A44" s="77" t="s">
        <v>465</v>
      </c>
      <c r="B44" s="68"/>
      <c r="C44" s="68"/>
      <c r="D44" s="68"/>
      <c r="E44" s="68"/>
      <c r="F44" s="68"/>
      <c r="G44" s="68"/>
      <c r="H44" s="68"/>
      <c r="I44" s="68"/>
      <c r="J44" s="68"/>
      <c r="K44" s="68"/>
      <c r="L44" s="438">
        <f>'Baseline Price'!L53*(1+'Price Change'!L44)</f>
        <v>138.72787568266685</v>
      </c>
      <c r="M44" s="68">
        <f>'Baseline Price'!M53*(1+'Price Change'!M44)</f>
        <v>116.39212567144452</v>
      </c>
      <c r="N44" s="68">
        <f>'Baseline Price'!N53*(1+'Price Change'!N44)</f>
        <v>137.52809354524928</v>
      </c>
      <c r="O44" s="68">
        <f>'Baseline Price'!O53*(1+'Price Change'!O44)</f>
        <v>133.44565791870056</v>
      </c>
      <c r="P44" s="68">
        <f>'Baseline Price'!P53*(1+'Price Change'!P44)</f>
        <v>136.55625283609015</v>
      </c>
      <c r="Q44" s="68">
        <f>'Baseline Price'!Q53*(1+'Price Change'!Q44)</f>
        <v>168.9423877232025</v>
      </c>
      <c r="R44" s="68">
        <f>'Baseline Price'!R53*(1+'Price Change'!R44)</f>
        <v>176.78395451423728</v>
      </c>
      <c r="S44" s="68">
        <f>'Baseline Price'!S53*(1+'Price Change'!S44)</f>
        <v>177.33179366147135</v>
      </c>
      <c r="T44" s="68">
        <f>'Baseline Price'!T53*(1+'Price Change'!T44)</f>
        <v>176.45614081705489</v>
      </c>
      <c r="U44" s="68">
        <f>'Baseline Price'!U53*(1+'Price Change'!U44)</f>
        <v>177.55519122812984</v>
      </c>
      <c r="V44" s="68">
        <f>'Baseline Price'!V53*(1+'Price Change'!V44)</f>
        <v>177.67417168587914</v>
      </c>
      <c r="W44" s="68">
        <f>'Baseline Price'!W53*(1+'Price Change'!W44)</f>
        <v>180.30620405344911</v>
      </c>
      <c r="X44" s="68">
        <f>'Baseline Price'!X53*(1+'Price Change'!X44)</f>
        <v>182.45140388502514</v>
      </c>
      <c r="Y44" s="68">
        <f>'Baseline Price'!Y53*(1+'Price Change'!Y44)</f>
        <v>183.94884516281437</v>
      </c>
      <c r="Z44" s="68">
        <f>'Baseline Price'!Z53*(1+'Price Change'!Z44)</f>
        <v>187.0800299232171</v>
      </c>
      <c r="AA44" s="68">
        <f>'Baseline Price'!AA53*(1+'Price Change'!AA44)</f>
        <v>173.43233657684894</v>
      </c>
      <c r="AB44" s="68">
        <f>'Baseline Price'!AB53*(1+'Price Change'!AB44)</f>
        <v>175.59853311121714</v>
      </c>
      <c r="AC44" s="68">
        <f>'Baseline Price'!AC53*(1+'Price Change'!AC44)</f>
        <v>176.3228866615911</v>
      </c>
      <c r="AD44" s="68">
        <f>'Baseline Price'!AD53*(1+'Price Change'!AD44)</f>
        <v>177.66066647781005</v>
      </c>
      <c r="AE44" s="68">
        <f>'Baseline Price'!AE53*(1+'Price Change'!AE44)</f>
        <v>178.67351151585797</v>
      </c>
      <c r="AF44" s="68">
        <f>'Baseline Price'!AF53*(1+'Price Change'!AF44)</f>
        <v>179.93682320752896</v>
      </c>
      <c r="AG44" s="68">
        <f>'Baseline Price'!AG53*(1+'Price Change'!AG44)</f>
        <v>179.9166576250197</v>
      </c>
      <c r="AH44" s="68">
        <f>'Baseline Price'!AH53*(1+'Price Change'!AH44)</f>
        <v>182.9209748550025</v>
      </c>
      <c r="AI44" s="68">
        <f>'Baseline Price'!AI53*(1+'Price Change'!AI44)</f>
        <v>183.59021317616524</v>
      </c>
      <c r="AJ44" s="68">
        <f>'Baseline Price'!AJ53*(1+'Price Change'!AJ44)</f>
        <v>184.72134478431516</v>
      </c>
      <c r="AK44" s="68">
        <f>'Baseline Price'!AK53*(1+'Price Change'!AK44)</f>
        <v>185.55156977257406</v>
      </c>
    </row>
    <row r="45" spans="1:41">
      <c r="L45" s="18"/>
    </row>
    <row r="46" spans="1:41">
      <c r="A46" s="194" t="s">
        <v>1339</v>
      </c>
      <c r="L46" s="18"/>
      <c r="O46"/>
      <c r="P46"/>
      <c r="Q46"/>
      <c r="R46"/>
    </row>
    <row r="47" spans="1:41">
      <c r="A47" s="77" t="str">
        <f>'Baseline Price'!A41</f>
        <v xml:space="preserve">   Distillate Fuel Oil</v>
      </c>
      <c r="L47" s="411">
        <f>'Baseline Price'!L41</f>
        <v>15.726561</v>
      </c>
      <c r="M47" s="410">
        <f>'Baseline Price'!M41*(1+'Price Change'!M44)</f>
        <v>12.502862</v>
      </c>
      <c r="N47" s="410">
        <f>'Baseline Price'!N41*(1+'Price Change'!N44)</f>
        <v>14.564603999999999</v>
      </c>
      <c r="O47" s="410">
        <f>'Baseline Price'!O41*(1+'Price Change'!O44)</f>
        <v>15.113141000000001</v>
      </c>
      <c r="P47" s="410">
        <f>'Baseline Price'!P41*(1+'Price Change'!P44)</f>
        <v>15.982727000000001</v>
      </c>
      <c r="Q47" s="410">
        <f>'Baseline Price'!Q41*(1+'Price Change'!Q44)</f>
        <v>20.216730723058422</v>
      </c>
      <c r="R47" s="410">
        <f>'Baseline Price'!R41*(1+'Price Change'!R44)</f>
        <v>21.826419655242304</v>
      </c>
      <c r="S47" s="410">
        <f>'Baseline Price'!S41*(1+'Price Change'!S44)</f>
        <v>22.502250940317165</v>
      </c>
      <c r="T47" s="410">
        <f>'Baseline Price'!T41*(1+'Price Change'!T44)</f>
        <v>23.014574389371276</v>
      </c>
      <c r="U47" s="410">
        <f>'Baseline Price'!U41*(1+'Price Change'!U44)</f>
        <v>23.321236784980908</v>
      </c>
      <c r="V47" s="410">
        <f>'Baseline Price'!V41*(1+'Price Change'!V44)</f>
        <v>23.537211295049961</v>
      </c>
      <c r="W47" s="410">
        <f>'Baseline Price'!W41*(1+'Price Change'!W44)</f>
        <v>23.791346913305048</v>
      </c>
      <c r="X47" s="410">
        <f>'Baseline Price'!X41*(1+'Price Change'!X44)</f>
        <v>24.095545453057454</v>
      </c>
      <c r="Y47" s="410">
        <f>'Baseline Price'!Y41*(1+'Price Change'!Y44)</f>
        <v>24.447161276821792</v>
      </c>
      <c r="Z47" s="410">
        <f>'Baseline Price'!Z41*(1+'Price Change'!Z44)</f>
        <v>24.812099484375317</v>
      </c>
      <c r="AA47" s="410">
        <f>'Baseline Price'!AA41*(1+'Price Change'!AA44)</f>
        <v>23.034313000000001</v>
      </c>
      <c r="AB47" s="410">
        <f>'Baseline Price'!AB41*(1+'Price Change'!AB44)</f>
        <v>23.419415000000001</v>
      </c>
      <c r="AC47" s="410">
        <f>'Baseline Price'!AC41*(1+'Price Change'!AC44)</f>
        <v>23.614208000000001</v>
      </c>
      <c r="AD47" s="410">
        <f>'Baseline Price'!AD41*(1+'Price Change'!AD44)</f>
        <v>23.918925999999999</v>
      </c>
      <c r="AE47" s="410">
        <f>'Baseline Price'!AE41*(1+'Price Change'!AE44)</f>
        <v>24.169363000000001</v>
      </c>
      <c r="AF47" s="410">
        <f>'Baseline Price'!AF41*(1+'Price Change'!AF44)</f>
        <v>24.293665000000001</v>
      </c>
      <c r="AG47" s="410">
        <f>'Baseline Price'!AG41*(1+'Price Change'!AG44)</f>
        <v>24.426276999999999</v>
      </c>
      <c r="AH47" s="410">
        <f>'Baseline Price'!AH41*(1+'Price Change'!AH44)</f>
        <v>24.933948999999998</v>
      </c>
      <c r="AI47" s="410">
        <f>'Baseline Price'!AI41*(1+'Price Change'!AI44)</f>
        <v>25.083275</v>
      </c>
      <c r="AJ47" s="410">
        <f>'Baseline Price'!AJ41*(1+'Price Change'!AJ44)</f>
        <v>25.313271</v>
      </c>
      <c r="AK47" s="410">
        <f>'Baseline Price'!AK41*(1+'Price Change'!AK44)</f>
        <v>25.525286000000001</v>
      </c>
    </row>
    <row r="48" spans="1:41">
      <c r="A48" s="77" t="str">
        <f>'Baseline Price'!A42</f>
        <v xml:space="preserve">   Residual Fuel Oil</v>
      </c>
      <c r="L48" s="411">
        <f>'Baseline Price'!L42</f>
        <v>12.897640000000001</v>
      </c>
      <c r="M48" s="410">
        <f>'Baseline Price'!M42*(1+'Price Change'!M44)</f>
        <v>10.876165</v>
      </c>
      <c r="N48" s="410">
        <f>'Baseline Price'!N42*(1+'Price Change'!N44)</f>
        <v>12.881163000000001</v>
      </c>
      <c r="O48" s="410">
        <f>'Baseline Price'!O42*(1+'Price Change'!O44)</f>
        <v>12.578522</v>
      </c>
      <c r="P48" s="410">
        <f>'Baseline Price'!P42*(1+'Price Change'!P44)</f>
        <v>12.866784000000001</v>
      </c>
      <c r="Q48" s="410">
        <f>'Baseline Price'!Q42*(1+'Price Change'!Q44)</f>
        <v>16.016524994430938</v>
      </c>
      <c r="R48" s="410">
        <f>'Baseline Price'!R42*(1+'Price Change'!R44)</f>
        <v>16.815121967496943</v>
      </c>
      <c r="S48" s="410">
        <f>'Baseline Price'!S42*(1+'Price Change'!S44)</f>
        <v>16.924198619214447</v>
      </c>
      <c r="T48" s="410">
        <f>'Baseline Price'!T42*(1+'Price Change'!T44)</f>
        <v>16.904365280052399</v>
      </c>
      <c r="U48" s="410">
        <f>'Baseline Price'!U42*(1+'Price Change'!U44)</f>
        <v>17.065905501517452</v>
      </c>
      <c r="V48" s="410">
        <f>'Baseline Price'!V42*(1+'Price Change'!V44)</f>
        <v>17.152850376327002</v>
      </c>
      <c r="W48" s="410">
        <f>'Baseline Price'!W42*(1+'Price Change'!W44)</f>
        <v>17.462881146307279</v>
      </c>
      <c r="X48" s="410">
        <f>'Baseline Price'!X42*(1+'Price Change'!X44)</f>
        <v>17.737720007712131</v>
      </c>
      <c r="Y48" s="410">
        <f>'Baseline Price'!Y42*(1+'Price Change'!Y44)</f>
        <v>17.951283304236767</v>
      </c>
      <c r="Z48" s="410">
        <f>'Baseline Price'!Z42*(1+'Price Change'!Z44)</f>
        <v>18.3254050450834</v>
      </c>
      <c r="AA48" s="410">
        <f>'Baseline Price'!AA42*(1+'Price Change'!AA44)</f>
        <v>17.053331</v>
      </c>
      <c r="AB48" s="410">
        <f>'Baseline Price'!AB42*(1+'Price Change'!AB44)</f>
        <v>17.329453000000001</v>
      </c>
      <c r="AC48" s="410">
        <f>'Baseline Price'!AC42*(1+'Price Change'!AC44)</f>
        <v>17.468775000000001</v>
      </c>
      <c r="AD48" s="410">
        <f>'Baseline Price'!AD42*(1+'Price Change'!AD44)</f>
        <v>17.668195999999998</v>
      </c>
      <c r="AE48" s="410">
        <f>'Baseline Price'!AE42*(1+'Price Change'!AE44)</f>
        <v>17.836690999999998</v>
      </c>
      <c r="AF48" s="410">
        <f>'Baseline Price'!AF42*(1+'Price Change'!AF44)</f>
        <v>18.031775</v>
      </c>
      <c r="AG48" s="410">
        <f>'Baseline Price'!AG42*(1+'Price Change'!AG44)</f>
        <v>18.099253000000001</v>
      </c>
      <c r="AH48" s="410">
        <f>'Baseline Price'!AH42*(1+'Price Change'!AH44)</f>
        <v>18.47315</v>
      </c>
      <c r="AI48" s="410">
        <f>'Baseline Price'!AI42*(1+'Price Change'!AI44)</f>
        <v>18.612435999999999</v>
      </c>
      <c r="AJ48" s="410">
        <f>'Baseline Price'!AJ42*(1+'Price Change'!AJ44)</f>
        <v>18.800241</v>
      </c>
      <c r="AK48" s="410">
        <f>'Baseline Price'!AK42*(1+'Price Change'!AK44)</f>
        <v>18.958786</v>
      </c>
    </row>
    <row r="49" spans="1:37">
      <c r="A49" s="77" t="str">
        <f>'Baseline Price'!A43</f>
        <v xml:space="preserve">   Natural Gas</v>
      </c>
      <c r="L49" s="411">
        <f>'Baseline Price'!L43</f>
        <v>3.309901</v>
      </c>
      <c r="M49" s="410">
        <f>'Baseline Price'!M43*(1+'Price Change'!M42)</f>
        <v>2.869831</v>
      </c>
      <c r="N49" s="410">
        <f>'Baseline Price'!N43*(1+'Price Change'!N42)</f>
        <v>3.5221909999999998</v>
      </c>
      <c r="O49" s="410">
        <f>'Baseline Price'!O43*(1+'Price Change'!O42)</f>
        <v>3.6653660000000001</v>
      </c>
      <c r="P49" s="410">
        <f>'Baseline Price'!P43*(1+'Price Change'!P42)</f>
        <v>3.9935930000000002</v>
      </c>
      <c r="Q49" s="410">
        <f>'Baseline Price'!Q43*(1+'Price Change'!Q42)</f>
        <v>4.8534814818373642</v>
      </c>
      <c r="R49" s="410">
        <f>'Baseline Price'!R43*(1+'Price Change'!R42)</f>
        <v>4.9350137429251202</v>
      </c>
      <c r="S49" s="410">
        <f>'Baseline Price'!S43*(1+'Price Change'!S42)</f>
        <v>5.0280741737538541</v>
      </c>
      <c r="T49" s="410">
        <f>'Baseline Price'!T43*(1+'Price Change'!T42)</f>
        <v>5.2186287350477381</v>
      </c>
      <c r="U49" s="410">
        <f>'Baseline Price'!U43*(1+'Price Change'!U42)</f>
        <v>5.4152059733671036</v>
      </c>
      <c r="V49" s="410">
        <f>'Baseline Price'!V43*(1+'Price Change'!V42)</f>
        <v>5.6842957272868659</v>
      </c>
      <c r="W49" s="410">
        <f>'Baseline Price'!W43*(1+'Price Change'!W42)</f>
        <v>5.829912498522507</v>
      </c>
      <c r="X49" s="410">
        <f>'Baseline Price'!X43*(1+'Price Change'!X42)</f>
        <v>5.9433554012902929</v>
      </c>
      <c r="Y49" s="410">
        <f>'Baseline Price'!Y43*(1+'Price Change'!Y42)</f>
        <v>6.0010384804817685</v>
      </c>
      <c r="Z49" s="410">
        <f>'Baseline Price'!Z43*(1+'Price Change'!Z42)</f>
        <v>6.1100211132286155</v>
      </c>
      <c r="AA49" s="410">
        <f>'Baseline Price'!AA43*(1+'Price Change'!AA42)</f>
        <v>4.6543890000000001</v>
      </c>
      <c r="AB49" s="410">
        <f>'Baseline Price'!AB43*(1+'Price Change'!AB42)</f>
        <v>4.6178860000000004</v>
      </c>
      <c r="AC49" s="410">
        <f>'Baseline Price'!AC43*(1+'Price Change'!AC42)</f>
        <v>4.6293600000000001</v>
      </c>
      <c r="AD49" s="410">
        <f>'Baseline Price'!AD43*(1+'Price Change'!AD42)</f>
        <v>4.6212980000000003</v>
      </c>
      <c r="AE49" s="410">
        <f>'Baseline Price'!AE43*(1+'Price Change'!AE42)</f>
        <v>4.6548020000000001</v>
      </c>
      <c r="AF49" s="410">
        <f>'Baseline Price'!AF43*(1+'Price Change'!AF42)</f>
        <v>4.6575670000000002</v>
      </c>
      <c r="AG49" s="410">
        <f>'Baseline Price'!AG43*(1+'Price Change'!AG42)</f>
        <v>4.7763970000000002</v>
      </c>
      <c r="AH49" s="410">
        <f>'Baseline Price'!AH43*(1+'Price Change'!AH42)</f>
        <v>4.7860870000000002</v>
      </c>
      <c r="AI49" s="410">
        <f>'Baseline Price'!AI43*(1+'Price Change'!AI42)</f>
        <v>4.8522790000000002</v>
      </c>
      <c r="AJ49" s="410">
        <f>'Baseline Price'!AJ43*(1+'Price Change'!AJ42)</f>
        <v>4.9156009999999997</v>
      </c>
      <c r="AK49" s="410">
        <f>'Baseline Price'!AK43*(1+'Price Change'!AK42)</f>
        <v>4.9647699999999997</v>
      </c>
    </row>
    <row r="50" spans="1:37">
      <c r="A50" s="77" t="str">
        <f>'Baseline Price'!A44</f>
        <v xml:space="preserve">   Steam Coal</v>
      </c>
      <c r="L50" s="411">
        <f>'Baseline Price'!L44</f>
        <v>2.1289380000000002</v>
      </c>
      <c r="M50" s="410">
        <f>'Baseline Price'!M44*(1+'Price Change'!M41)</f>
        <v>1.982037</v>
      </c>
      <c r="N50" s="410">
        <f>'Baseline Price'!N44*(1+'Price Change'!N41)</f>
        <v>1.9679260000000001</v>
      </c>
      <c r="O50" s="410">
        <f>'Baseline Price'!O44*(1+'Price Change'!O41)</f>
        <v>2.0186760000000001</v>
      </c>
      <c r="P50" s="410">
        <f>'Baseline Price'!P44*(1+'Price Change'!P41)</f>
        <v>2.0662739999999999</v>
      </c>
      <c r="Q50" s="410">
        <f>'Baseline Price'!Q44*(1+'Price Change'!Q41)</f>
        <v>3.4179424159074889</v>
      </c>
      <c r="R50" s="410">
        <f>'Baseline Price'!R44*(1+'Price Change'!R41)</f>
        <v>3.6187690273608508</v>
      </c>
      <c r="S50" s="410">
        <f>'Baseline Price'!S44*(1+'Price Change'!S41)</f>
        <v>3.8033398762547588</v>
      </c>
      <c r="T50" s="410">
        <f>'Baseline Price'!T44*(1+'Price Change'!T41)</f>
        <v>3.9686679969030738</v>
      </c>
      <c r="U50" s="410">
        <f>'Baseline Price'!U44*(1+'Price Change'!U41)</f>
        <v>4.1431375507545019</v>
      </c>
      <c r="V50" s="410">
        <f>'Baseline Price'!V44*(1+'Price Change'!V41)</f>
        <v>4.3116499821084258</v>
      </c>
      <c r="W50" s="410">
        <f>'Baseline Price'!W44*(1+'Price Change'!W41)</f>
        <v>4.4496031748460387</v>
      </c>
      <c r="X50" s="410">
        <f>'Baseline Price'!X44*(1+'Price Change'!X41)</f>
        <v>4.5796890246690465</v>
      </c>
      <c r="Y50" s="410">
        <f>'Baseline Price'!Y44*(1+'Price Change'!Y41)</f>
        <v>4.695845413739212</v>
      </c>
      <c r="Z50" s="410">
        <f>'Baseline Price'!Z44*(1+'Price Change'!Z41)</f>
        <v>4.8228705491502772</v>
      </c>
      <c r="AA50" s="410">
        <f>'Baseline Price'!AA44*(1+'Price Change'!AA41)</f>
        <v>2.2924349999999998</v>
      </c>
      <c r="AB50" s="410">
        <f>'Baseline Price'!AB44*(1+'Price Change'!AB41)</f>
        <v>2.3110539999999999</v>
      </c>
      <c r="AC50" s="410">
        <f>'Baseline Price'!AC44*(1+'Price Change'!AC41)</f>
        <v>2.318451</v>
      </c>
      <c r="AD50" s="410">
        <f>'Baseline Price'!AD44*(1+'Price Change'!AD41)</f>
        <v>2.331572</v>
      </c>
      <c r="AE50" s="410">
        <f>'Baseline Price'!AE44*(1+'Price Change'!AE41)</f>
        <v>2.361453</v>
      </c>
      <c r="AF50" s="410">
        <f>'Baseline Price'!AF44*(1+'Price Change'!AF41)</f>
        <v>2.4003760000000001</v>
      </c>
      <c r="AG50" s="410">
        <f>'Baseline Price'!AG44*(1+'Price Change'!AG41)</f>
        <v>2.43004</v>
      </c>
      <c r="AH50" s="410">
        <f>'Baseline Price'!AH44*(1+'Price Change'!AH41)</f>
        <v>2.4708830000000002</v>
      </c>
      <c r="AI50" s="410">
        <f>'Baseline Price'!AI44*(1+'Price Change'!AI41)</f>
        <v>2.4924710000000001</v>
      </c>
      <c r="AJ50" s="410">
        <f>'Baseline Price'!AJ44*(1+'Price Change'!AJ41)</f>
        <v>2.5183209999999998</v>
      </c>
      <c r="AK50" s="410">
        <f>'Baseline Price'!AK44*(1+'Price Change'!AK41)</f>
        <v>2.5259299999999998</v>
      </c>
    </row>
    <row r="51" spans="1:37">
      <c r="L51" s="18"/>
    </row>
    <row r="52" spans="1:37" ht="14.45" customHeight="1">
      <c r="A52" s="57" t="s">
        <v>1382</v>
      </c>
      <c r="L52" s="18"/>
      <c r="M52" s="752">
        <f>M6</f>
        <v>2016</v>
      </c>
      <c r="N52" s="47">
        <f t="shared" ref="N52:AK52" si="0">N6</f>
        <v>2017</v>
      </c>
      <c r="O52" s="47">
        <f t="shared" si="0"/>
        <v>2018</v>
      </c>
      <c r="P52" s="47">
        <f t="shared" si="0"/>
        <v>2019</v>
      </c>
      <c r="Q52" s="47">
        <f t="shared" si="0"/>
        <v>2020</v>
      </c>
      <c r="R52" s="47">
        <f t="shared" si="0"/>
        <v>2021</v>
      </c>
      <c r="S52" s="47">
        <f t="shared" si="0"/>
        <v>2022</v>
      </c>
      <c r="T52" s="47">
        <f t="shared" si="0"/>
        <v>2023</v>
      </c>
      <c r="U52" s="47">
        <f t="shared" si="0"/>
        <v>2024</v>
      </c>
      <c r="V52" s="47">
        <f t="shared" si="0"/>
        <v>2025</v>
      </c>
      <c r="W52" s="47">
        <f t="shared" si="0"/>
        <v>2026</v>
      </c>
      <c r="X52" s="47">
        <f t="shared" si="0"/>
        <v>2027</v>
      </c>
      <c r="Y52" s="47">
        <f t="shared" si="0"/>
        <v>2028</v>
      </c>
      <c r="Z52" s="47">
        <f t="shared" si="0"/>
        <v>2029</v>
      </c>
      <c r="AA52" s="47">
        <f t="shared" si="0"/>
        <v>2030</v>
      </c>
      <c r="AB52" s="47">
        <f t="shared" si="0"/>
        <v>2031</v>
      </c>
      <c r="AC52" s="47">
        <f t="shared" si="0"/>
        <v>2032</v>
      </c>
      <c r="AD52" s="47">
        <f t="shared" si="0"/>
        <v>2033</v>
      </c>
      <c r="AE52" s="47">
        <f t="shared" si="0"/>
        <v>2034</v>
      </c>
      <c r="AF52" s="47">
        <f t="shared" si="0"/>
        <v>2035</v>
      </c>
      <c r="AG52" s="47">
        <f t="shared" si="0"/>
        <v>2036</v>
      </c>
      <c r="AH52" s="47">
        <f t="shared" si="0"/>
        <v>2037</v>
      </c>
      <c r="AI52" s="47">
        <f t="shared" si="0"/>
        <v>2038</v>
      </c>
      <c r="AJ52" s="47">
        <f t="shared" si="0"/>
        <v>2039</v>
      </c>
      <c r="AK52" s="47">
        <f t="shared" si="0"/>
        <v>2040</v>
      </c>
    </row>
    <row r="53" spans="1:37" s="743" customFormat="1" ht="15" customHeight="1">
      <c r="A53" s="743" t="s">
        <v>1378</v>
      </c>
      <c r="L53" s="18"/>
      <c r="M53" s="60">
        <f>'Baseline Consumption'!M88/'Baseline Consumption'!M87</f>
        <v>0.53255855157197252</v>
      </c>
      <c r="N53" s="60">
        <f>'Baseline Consumption'!N88/'Baseline Consumption'!N87</f>
        <v>0.591064957598469</v>
      </c>
      <c r="O53" s="60">
        <f>'Baseline Consumption'!O88/'Baseline Consumption'!O87</f>
        <v>0.61818897470470691</v>
      </c>
      <c r="P53" s="60">
        <f>'Baseline Consumption'!P88/'Baseline Consumption'!P87</f>
        <v>0.64645961953050557</v>
      </c>
      <c r="Q53" s="60">
        <f>'Baseline Consumption'!Q88/'Baseline Consumption'!Q87</f>
        <v>0.6775868246366713</v>
      </c>
      <c r="R53" s="60">
        <f>'Baseline Consumption'!R88/'Baseline Consumption'!R87</f>
        <v>0.98211834744455673</v>
      </c>
      <c r="S53" s="60">
        <f>'Baseline Consumption'!S88/'Baseline Consumption'!S87</f>
        <v>1.0354917575682707</v>
      </c>
      <c r="T53" s="60">
        <f>'Baseline Consumption'!T88/'Baseline Consumption'!T87</f>
        <v>1.344055888905008</v>
      </c>
      <c r="U53" s="60">
        <f>'Baseline Consumption'!U88/'Baseline Consumption'!U87</f>
        <v>1.421600162702499</v>
      </c>
      <c r="V53" s="60">
        <f>'Baseline Consumption'!V88/'Baseline Consumption'!V87</f>
        <v>1.5034576806432802</v>
      </c>
      <c r="W53" s="60">
        <f>'Baseline Consumption'!W88/'Baseline Consumption'!W87</f>
        <v>2.5478025731148026</v>
      </c>
      <c r="X53" s="60">
        <f>'Baseline Consumption'!X88/'Baseline Consumption'!X87</f>
        <v>2.5622950219417762</v>
      </c>
      <c r="Y53" s="60">
        <f>'Baseline Consumption'!Y88/'Baseline Consumption'!Y87</f>
        <v>2.570667988284256</v>
      </c>
      <c r="Z53" s="60">
        <f>'Baseline Consumption'!Z88/'Baseline Consumption'!Z87</f>
        <v>2.5594600653571504</v>
      </c>
      <c r="AA53" s="60">
        <f>'Baseline Consumption'!AA88/'Baseline Consumption'!AA87</f>
        <v>2.525577560879595</v>
      </c>
      <c r="AB53" s="60">
        <f>'Baseline Consumption'!AB88/'Baseline Consumption'!AB87</f>
        <v>2.4965565161347962</v>
      </c>
      <c r="AC53" s="60">
        <f>'Baseline Consumption'!AC88/'Baseline Consumption'!AC87</f>
        <v>2.455639428293189</v>
      </c>
      <c r="AD53" s="60">
        <f>'Baseline Consumption'!AD88/'Baseline Consumption'!AD87</f>
        <v>2.4148446714202216</v>
      </c>
      <c r="AE53" s="60">
        <f>'Baseline Consumption'!AE88/'Baseline Consumption'!AE87</f>
        <v>2.3741561876550472</v>
      </c>
      <c r="AF53" s="60">
        <f>'Baseline Consumption'!AF88/'Baseline Consumption'!AF87</f>
        <v>2.3333426664762724</v>
      </c>
      <c r="AG53" s="60">
        <f>'Baseline Consumption'!AG88/'Baseline Consumption'!AG87</f>
        <v>2.2984214486213919</v>
      </c>
      <c r="AH53" s="60">
        <f>'Baseline Consumption'!AH88/'Baseline Consumption'!AH87</f>
        <v>2.2633777526274543</v>
      </c>
      <c r="AI53" s="60">
        <f>'Baseline Consumption'!AI88/'Baseline Consumption'!AI87</f>
        <v>2.2297165610856391</v>
      </c>
      <c r="AJ53" s="60">
        <f>'Baseline Consumption'!AJ88/'Baseline Consumption'!AJ87</f>
        <v>2.1973575768894005</v>
      </c>
      <c r="AK53" s="60">
        <f>'Baseline Consumption'!AK88/'Baseline Consumption'!AK87</f>
        <v>2.1662571213494179</v>
      </c>
    </row>
    <row r="54" spans="1:37" s="705" customFormat="1" ht="15" customHeight="1">
      <c r="A54" s="194" t="s">
        <v>1375</v>
      </c>
      <c r="L54" s="18"/>
      <c r="M54" s="60">
        <f>'Baseline Price'!M43/'Baseline Price'!M44</f>
        <v>1.4479199934209099</v>
      </c>
      <c r="N54" s="60">
        <f>'Baseline Price'!N43/'Baseline Price'!N44</f>
        <v>1.7897984985207775</v>
      </c>
      <c r="O54" s="60">
        <f>'Baseline Price'!O43/'Baseline Price'!O44</f>
        <v>1.8157277344160232</v>
      </c>
      <c r="P54" s="60">
        <f>'Baseline Price'!P43/'Baseline Price'!P44</f>
        <v>1.9327509323545669</v>
      </c>
      <c r="Q54" s="60">
        <f>'Baseline Price'!Q43/'Baseline Price'!Q44</f>
        <v>1.9637807799130245</v>
      </c>
      <c r="R54" s="60">
        <f>'Baseline Price'!R43/'Baseline Price'!R44</f>
        <v>1.9294224069813326</v>
      </c>
      <c r="S54" s="60">
        <f>'Baseline Price'!S43/'Baseline Price'!S44</f>
        <v>1.9109728329584996</v>
      </c>
      <c r="T54" s="60">
        <f>'Baseline Price'!T43/'Baseline Price'!T44</f>
        <v>1.9495419993209304</v>
      </c>
      <c r="U54" s="60">
        <f>'Baseline Price'!U43/'Baseline Price'!U44</f>
        <v>1.9759306269091603</v>
      </c>
      <c r="V54" s="60">
        <f>'Baseline Price'!V43/'Baseline Price'!V44</f>
        <v>2.0330367188299068</v>
      </c>
      <c r="W54" s="60">
        <f>'Baseline Price'!W43/'Baseline Price'!W44</f>
        <v>2.0547501335735046</v>
      </c>
      <c r="X54" s="60">
        <f>'Baseline Price'!X43/'Baseline Price'!X44</f>
        <v>2.0622323217275489</v>
      </c>
      <c r="Y54" s="60">
        <f>'Baseline Price'!Y43/'Baseline Price'!Y44</f>
        <v>2.049904967335284</v>
      </c>
      <c r="Z54" s="60">
        <f>'Baseline Price'!Z43/'Baseline Price'!Z44</f>
        <v>2.0584599653053455</v>
      </c>
      <c r="AA54" s="60">
        <f>'Baseline Price'!AA43/'Baseline Price'!AA44</f>
        <v>2.0303253963580215</v>
      </c>
      <c r="AB54" s="60">
        <f>'Baseline Price'!AB43/'Baseline Price'!AB44</f>
        <v>1.998173127932104</v>
      </c>
      <c r="AC54" s="60">
        <f>'Baseline Price'!AC43/'Baseline Price'!AC44</f>
        <v>1.9967469659699515</v>
      </c>
      <c r="AD54" s="60">
        <f>'Baseline Price'!AD43/'Baseline Price'!AD44</f>
        <v>1.9820524521653204</v>
      </c>
      <c r="AE54" s="60">
        <f>'Baseline Price'!AE43/'Baseline Price'!AE44</f>
        <v>1.971160128954504</v>
      </c>
      <c r="AF54" s="60">
        <f>'Baseline Price'!AF43/'Baseline Price'!AF44</f>
        <v>1.9403489286678421</v>
      </c>
      <c r="AG54" s="60">
        <f>'Baseline Price'!AG43/'Baseline Price'!AG44</f>
        <v>1.9655631183025795</v>
      </c>
      <c r="AH54" s="60">
        <f>'Baseline Price'!AH43/'Baseline Price'!AH44</f>
        <v>1.9369945885742059</v>
      </c>
      <c r="AI54" s="60">
        <f>'Baseline Price'!AI43/'Baseline Price'!AI44</f>
        <v>1.9467745061025785</v>
      </c>
      <c r="AJ54" s="60">
        <f>'Baseline Price'!AJ43/'Baseline Price'!AJ44</f>
        <v>1.9519358334382313</v>
      </c>
      <c r="AK54" s="60">
        <f>'Baseline Price'!AK43/'Baseline Price'!AK44</f>
        <v>1.9655216098625061</v>
      </c>
    </row>
    <row r="55" spans="1:37" ht="15" customHeight="1">
      <c r="A55" s="194" t="s">
        <v>1376</v>
      </c>
      <c r="L55" s="18"/>
      <c r="M55" s="450">
        <f>M49/M50</f>
        <v>1.4479199934209099</v>
      </c>
      <c r="N55" s="450">
        <f t="shared" ref="N55:AK55" si="1">N49/N50</f>
        <v>1.7897984985207775</v>
      </c>
      <c r="O55" s="450">
        <f t="shared" si="1"/>
        <v>1.8157277344160232</v>
      </c>
      <c r="P55" s="450">
        <f t="shared" si="1"/>
        <v>1.9327509323545669</v>
      </c>
      <c r="Q55" s="450">
        <f t="shared" si="1"/>
        <v>1.4200009512298144</v>
      </c>
      <c r="R55" s="450">
        <f t="shared" si="1"/>
        <v>1.3637271971801417</v>
      </c>
      <c r="S55" s="450">
        <f t="shared" si="1"/>
        <v>1.3220154751736575</v>
      </c>
      <c r="T55" s="450">
        <f t="shared" si="1"/>
        <v>1.3149572448791542</v>
      </c>
      <c r="U55" s="450">
        <f t="shared" si="1"/>
        <v>1.3070302173242949</v>
      </c>
      <c r="V55" s="450">
        <f t="shared" si="1"/>
        <v>1.3183574155774136</v>
      </c>
      <c r="W55" s="450">
        <f t="shared" si="1"/>
        <v>1.3102095331735348</v>
      </c>
      <c r="X55" s="450">
        <f t="shared" si="1"/>
        <v>1.2977639680938364</v>
      </c>
      <c r="Y55" s="450">
        <f t="shared" si="1"/>
        <v>1.2779463444268826</v>
      </c>
      <c r="Z55" s="450">
        <f t="shared" si="1"/>
        <v>1.266884742387522</v>
      </c>
      <c r="AA55" s="450">
        <f t="shared" si="1"/>
        <v>2.0303253963580215</v>
      </c>
      <c r="AB55" s="450">
        <f t="shared" si="1"/>
        <v>1.998173127932104</v>
      </c>
      <c r="AC55" s="450">
        <f t="shared" si="1"/>
        <v>1.9967469659699515</v>
      </c>
      <c r="AD55" s="450">
        <f t="shared" si="1"/>
        <v>1.9820524521653204</v>
      </c>
      <c r="AE55" s="450">
        <f t="shared" si="1"/>
        <v>1.971160128954504</v>
      </c>
      <c r="AF55" s="450">
        <f t="shared" si="1"/>
        <v>1.9403489286678421</v>
      </c>
      <c r="AG55" s="450">
        <f t="shared" si="1"/>
        <v>1.9655631183025795</v>
      </c>
      <c r="AH55" s="450">
        <f t="shared" si="1"/>
        <v>1.9369945885742059</v>
      </c>
      <c r="AI55" s="450">
        <f t="shared" si="1"/>
        <v>1.9467745061025785</v>
      </c>
      <c r="AJ55" s="450">
        <f t="shared" si="1"/>
        <v>1.9519358334382313</v>
      </c>
      <c r="AK55" s="450">
        <f t="shared" si="1"/>
        <v>1.9655216098625061</v>
      </c>
    </row>
    <row r="56" spans="1:37" ht="15" customHeight="1">
      <c r="A56" t="s">
        <v>1377</v>
      </c>
      <c r="L56" s="18"/>
      <c r="M56" s="742">
        <f>M54/M55-1</f>
        <v>0</v>
      </c>
      <c r="N56" s="742">
        <f>N54/N55-1</f>
        <v>0</v>
      </c>
      <c r="O56" s="742">
        <f>O54/O55-1</f>
        <v>0</v>
      </c>
      <c r="P56" s="742">
        <f>P54/P55-1</f>
        <v>0</v>
      </c>
      <c r="Q56" s="742">
        <f t="shared" ref="Q56:AK56" si="2">Q54/Q55-1</f>
        <v>0.38294328480009887</v>
      </c>
      <c r="R56" s="742">
        <f t="shared" si="2"/>
        <v>0.41481552246733222</v>
      </c>
      <c r="S56" s="742">
        <f t="shared" si="2"/>
        <v>0.44549959425208541</v>
      </c>
      <c r="T56" s="742">
        <f t="shared" si="2"/>
        <v>0.48258964838061713</v>
      </c>
      <c r="U56" s="742">
        <f t="shared" si="2"/>
        <v>0.51177118992261272</v>
      </c>
      <c r="V56" s="742">
        <f t="shared" si="2"/>
        <v>0.54209829201702342</v>
      </c>
      <c r="W56" s="742">
        <f t="shared" si="2"/>
        <v>0.5682607106334927</v>
      </c>
      <c r="X56" s="742">
        <f t="shared" si="2"/>
        <v>0.58906578733000892</v>
      </c>
      <c r="Y56" s="742">
        <f t="shared" si="2"/>
        <v>0.60406184209134373</v>
      </c>
      <c r="Z56" s="742">
        <f t="shared" si="2"/>
        <v>0.62482023536415121</v>
      </c>
      <c r="AA56" s="742">
        <f t="shared" si="2"/>
        <v>0</v>
      </c>
      <c r="AB56" s="742">
        <f t="shared" si="2"/>
        <v>0</v>
      </c>
      <c r="AC56" s="742">
        <f t="shared" si="2"/>
        <v>0</v>
      </c>
      <c r="AD56" s="742">
        <f t="shared" si="2"/>
        <v>0</v>
      </c>
      <c r="AE56" s="742">
        <f t="shared" si="2"/>
        <v>0</v>
      </c>
      <c r="AF56" s="742">
        <f t="shared" si="2"/>
        <v>0</v>
      </c>
      <c r="AG56" s="742">
        <f t="shared" si="2"/>
        <v>0</v>
      </c>
      <c r="AH56" s="742">
        <f t="shared" si="2"/>
        <v>0</v>
      </c>
      <c r="AI56" s="742">
        <f t="shared" si="2"/>
        <v>0</v>
      </c>
      <c r="AJ56" s="742">
        <f t="shared" si="2"/>
        <v>0</v>
      </c>
      <c r="AK56" s="742">
        <f t="shared" si="2"/>
        <v>0</v>
      </c>
    </row>
    <row r="57" spans="1:37" s="743" customFormat="1" ht="15" customHeight="1">
      <c r="A57" s="743" t="s">
        <v>1379</v>
      </c>
      <c r="L57" s="18"/>
      <c r="M57" s="60">
        <f>(1-M56*ramps!N54)*M53</f>
        <v>0.53255855157197252</v>
      </c>
      <c r="N57" s="60">
        <f>(1-N56*ramps!O54)*N53</f>
        <v>0.591064957598469</v>
      </c>
      <c r="O57" s="60">
        <f>(1-O56*ramps!P54)*O53</f>
        <v>0.61818897470470691</v>
      </c>
      <c r="P57" s="60">
        <f>(1-P56*ramps!Q54)*P53</f>
        <v>0.64645961953050557</v>
      </c>
      <c r="Q57" s="60">
        <f>(1-Q56*ramps!R54)*Q53</f>
        <v>0.69211755480103498</v>
      </c>
      <c r="R57" s="60">
        <f>(1-R56*ramps!S54)*R53</f>
        <v>1.0277469162115931</v>
      </c>
      <c r="S57" s="60">
        <f>(1-S56*ramps!T54)*S53</f>
        <v>1.1129920320867419</v>
      </c>
      <c r="T57" s="60">
        <f>(1-T56*ramps!U54)*T53</f>
        <v>1.489348439683055</v>
      </c>
      <c r="U57" s="60">
        <f>(1-U56*ramps!V54)*U53</f>
        <v>1.6253096846234216</v>
      </c>
      <c r="V57" s="60">
        <f>(1-V56*ramps!W54)*V53</f>
        <v>1.7316637960663277</v>
      </c>
      <c r="W57" s="60">
        <f>(1-W56*ramps!X54)*W53</f>
        <v>2.9531910813253792</v>
      </c>
      <c r="X57" s="60">
        <f>(1-X56*ramps!Y54)*X53</f>
        <v>2.9849159155939065</v>
      </c>
      <c r="Y57" s="60">
        <f>(1-Y56*ramps!Z54)*Y53</f>
        <v>3.005463871598562</v>
      </c>
      <c r="Z57" s="60">
        <f>(1-Z56*ramps!AA54)*Z53</f>
        <v>3.0072367486807985</v>
      </c>
      <c r="AA57" s="60">
        <f>(1-AA56*ramps!AB54)*AA53</f>
        <v>2.525577560879595</v>
      </c>
      <c r="AB57" s="60">
        <f>(1-AB56*ramps!AC54)*AB53</f>
        <v>2.4965565161347962</v>
      </c>
      <c r="AC57" s="60">
        <f>(1-AC56*ramps!AD54)*AC53</f>
        <v>2.455639428293189</v>
      </c>
      <c r="AD57" s="60">
        <f>(1-AD56*ramps!AE54)*AD53</f>
        <v>2.4148446714202216</v>
      </c>
      <c r="AE57" s="60">
        <f>(1-AE56*ramps!AF54)*AE53</f>
        <v>2.3741561876550472</v>
      </c>
      <c r="AF57" s="60">
        <f>(1-AF56*ramps!AG54)*AF53</f>
        <v>2.3333426664762724</v>
      </c>
      <c r="AG57" s="60">
        <f>(1-AG56*ramps!AH54)*AG53</f>
        <v>2.2984214486213919</v>
      </c>
      <c r="AH57" s="60">
        <f>(1-AH56*ramps!AI54)*AH53</f>
        <v>2.2633777526274543</v>
      </c>
      <c r="AI57" s="60">
        <f>(1-AI56*ramps!AJ54)*AI53</f>
        <v>2.2297165610856391</v>
      </c>
      <c r="AJ57" s="60">
        <f>(1-AJ56*ramps!AK54)*AJ53</f>
        <v>2.1973575768894005</v>
      </c>
      <c r="AK57" s="60">
        <f>(1-AK56*ramps!AL54)*AK53</f>
        <v>2.1662571213494179</v>
      </c>
    </row>
    <row r="58" spans="1:37" ht="15" customHeight="1">
      <c r="A58" t="s">
        <v>1380</v>
      </c>
      <c r="L58" s="18"/>
      <c r="M58" s="60">
        <f>M57*('Baseline Consumption'!M87+'Baseline Consumption'!M88)/(1+M57)</f>
        <v>7.5264671075957135E-2</v>
      </c>
      <c r="N58" s="60">
        <f>N57*('Baseline Consumption'!N87+'Baseline Consumption'!N88)/(1+N57)</f>
        <v>7.1671376365202946E-2</v>
      </c>
      <c r="O58" s="60">
        <f>O57*('Baseline Consumption'!O87+'Baseline Consumption'!O88)/(1+O57)</f>
        <v>7.2041207519307107E-2</v>
      </c>
      <c r="P58" s="60">
        <f>P57*('Baseline Consumption'!P87+'Baseline Consumption'!P88)/(1+P57)</f>
        <v>7.1834789479685246E-2</v>
      </c>
      <c r="Q58" s="60">
        <f>Q57*('Baseline Consumption'!Q87+'Baseline Consumption'!Q88)/(1+Q57)</f>
        <v>7.2386233164472763E-2</v>
      </c>
      <c r="R58" s="60">
        <f>R57*('Baseline Consumption'!R87+'Baseline Consumption'!R88)/(1+R57)</f>
        <v>8.3941966434620249E-2</v>
      </c>
      <c r="S58" s="60">
        <f>S57*('Baseline Consumption'!S87+'Baseline Consumption'!S88)/(1+S57)</f>
        <v>8.6889505662077537E-2</v>
      </c>
      <c r="T58" s="60">
        <f>T57*('Baseline Consumption'!T87+'Baseline Consumption'!T88)/(1+T57)</f>
        <v>9.4607867642206175E-2</v>
      </c>
      <c r="U58" s="60">
        <f>U57*('Baseline Consumption'!U87+'Baseline Consumption'!U88)/(1+U57)</f>
        <v>9.7465754880569092E-2</v>
      </c>
      <c r="V58" s="60">
        <f>V57*('Baseline Consumption'!V87+'Baseline Consumption'!V88)/(1+V57)</f>
        <v>9.9436331602220832E-2</v>
      </c>
      <c r="W58" s="60">
        <f>W57*('Baseline Consumption'!W87+'Baseline Consumption'!W88)/(1+W57)</f>
        <v>0.10874355140788766</v>
      </c>
      <c r="X58" s="60">
        <f>X57*('Baseline Consumption'!X87+'Baseline Consumption'!X88)/(1+X57)</f>
        <v>0.10817074564672421</v>
      </c>
      <c r="Y58" s="60">
        <f>Y57*('Baseline Consumption'!Y87+'Baseline Consumption'!Y88)/(1+Y57)</f>
        <v>0.1077254247545964</v>
      </c>
      <c r="Z58" s="60">
        <f>Z57*('Baseline Consumption'!Z87+'Baseline Consumption'!Z88)/(1+Z57)</f>
        <v>0.10779334578988105</v>
      </c>
      <c r="AA58" s="60">
        <f>AA57*('Baseline Consumption'!AA87+'Baseline Consumption'!AA88)/(1+AA57)</f>
        <v>0.10371596430500771</v>
      </c>
      <c r="AB58" s="60">
        <f>AB57*('Baseline Consumption'!AB87+'Baseline Consumption'!AB88)/(1+AB57)</f>
        <v>0.10405283655290387</v>
      </c>
      <c r="AC58" s="60">
        <f>AC57*('Baseline Consumption'!AC87+'Baseline Consumption'!AC88)/(1+AC57)</f>
        <v>0.10469890615652083</v>
      </c>
      <c r="AD58" s="60">
        <f>AD57*('Baseline Consumption'!AD87+'Baseline Consumption'!AD88)/(1+AD57)</f>
        <v>0.10538563943266151</v>
      </c>
      <c r="AE58" s="60">
        <f>AE57*('Baseline Consumption'!AE87+'Baseline Consumption'!AE88)/(1+AE57)</f>
        <v>0.10611126031310303</v>
      </c>
      <c r="AF58" s="60">
        <f>AF57*('Baseline Consumption'!AF87+'Baseline Consumption'!AF88)/(1+AF57)</f>
        <v>0.10688689630364318</v>
      </c>
      <c r="AG58" s="60">
        <f>AG57*('Baseline Consumption'!AG87+'Baseline Consumption'!AG88)/(1+AG57)</f>
        <v>0.1075400685162002</v>
      </c>
      <c r="AH58" s="60">
        <f>AH57*('Baseline Consumption'!AH87+'Baseline Consumption'!AH88)/(1+AH57)</f>
        <v>0.10823683467555788</v>
      </c>
      <c r="AI58" s="60">
        <f>AI57*('Baseline Consumption'!AI87+'Baseline Consumption'!AI88)/(1+AI57)</f>
        <v>0.10893038361000415</v>
      </c>
      <c r="AJ58" s="60">
        <f>AJ57*('Baseline Consumption'!AJ87+'Baseline Consumption'!AJ88)/(1+AJ57)</f>
        <v>0.10962072540137398</v>
      </c>
      <c r="AK58" s="60">
        <f>AK57*('Baseline Consumption'!AK87+'Baseline Consumption'!AK88)/(1+AK57)</f>
        <v>0.11030787010404393</v>
      </c>
    </row>
    <row r="59" spans="1:37" ht="15" customHeight="1">
      <c r="A59" s="743" t="s">
        <v>1381</v>
      </c>
      <c r="L59" s="18"/>
      <c r="M59" s="745">
        <f>('Baseline Consumption'!M87+'Baseline Consumption'!M88)-M58</f>
        <v>0.14132656560259083</v>
      </c>
      <c r="N59" s="745">
        <f>('Baseline Consumption'!N87+'Baseline Consumption'!N88)-N58</f>
        <v>0.12125803677553119</v>
      </c>
      <c r="O59" s="745">
        <f>('Baseline Consumption'!O87+'Baseline Consumption'!O88)-O58</f>
        <v>0.11653589835328161</v>
      </c>
      <c r="P59" s="745">
        <f>('Baseline Consumption'!P87+'Baseline Consumption'!P88)-P58</f>
        <v>0.11112030405217826</v>
      </c>
      <c r="Q59" s="745">
        <f>('Baseline Consumption'!Q87+'Baseline Consumption'!Q88)-Q58</f>
        <v>0.10458661633756974</v>
      </c>
      <c r="R59" s="745">
        <f>('Baseline Consumption'!R87+'Baseline Consumption'!R88)-R58</f>
        <v>8.1675717154220354E-2</v>
      </c>
      <c r="S59" s="745">
        <f>('Baseline Consumption'!S87+'Baseline Consumption'!S88)-S58</f>
        <v>7.8068398656160137E-2</v>
      </c>
      <c r="T59" s="745">
        <f>('Baseline Consumption'!T87+'Baseline Consumption'!T88)-T58</f>
        <v>6.3522991075439308E-2</v>
      </c>
      <c r="U59" s="745">
        <f>('Baseline Consumption'!U87+'Baseline Consumption'!U88)-U58</f>
        <v>5.9967497765296071E-2</v>
      </c>
      <c r="V59" s="745">
        <f>('Baseline Consumption'!V87+'Baseline Consumption'!V88)-V58</f>
        <v>5.7422423352674931E-2</v>
      </c>
      <c r="W59" s="745">
        <f>('Baseline Consumption'!W87+'Baseline Consumption'!W88)-W58</f>
        <v>3.6822389209940326E-2</v>
      </c>
      <c r="X59" s="745">
        <f>('Baseline Consumption'!X87+'Baseline Consumption'!X88)-X58</f>
        <v>3.6239126563537227E-2</v>
      </c>
      <c r="Y59" s="745">
        <f>('Baseline Consumption'!Y87+'Baseline Consumption'!Y88)-Y58</f>
        <v>3.5843194048211541E-2</v>
      </c>
      <c r="Z59" s="745">
        <f>('Baseline Consumption'!Z87+'Baseline Consumption'!Z88)-Z58</f>
        <v>3.5844649024446548E-2</v>
      </c>
      <c r="AA59" s="745">
        <f>('Baseline Consumption'!AA87+'Baseline Consumption'!AA88)-AA58</f>
        <v>4.1066236060826433E-2</v>
      </c>
      <c r="AB59" s="745">
        <f>('Baseline Consumption'!AB87+'Baseline Consumption'!AB88)-AB58</f>
        <v>4.1678542376440947E-2</v>
      </c>
      <c r="AC59" s="745">
        <f>('Baseline Consumption'!AC87+'Baseline Consumption'!AC88)-AC58</f>
        <v>4.2636107300693005E-2</v>
      </c>
      <c r="AD59" s="745">
        <f>('Baseline Consumption'!AD87+'Baseline Consumption'!AD88)-AD58</f>
        <v>4.3640752831809251E-2</v>
      </c>
      <c r="AE59" s="745">
        <f>('Baseline Consumption'!AE87+'Baseline Consumption'!AE88)-AE58</f>
        <v>4.4694304808104907E-2</v>
      </c>
      <c r="AF59" s="745">
        <f>('Baseline Consumption'!AF87+'Baseline Consumption'!AF88)-AF58</f>
        <v>4.5808486614209915E-2</v>
      </c>
      <c r="AG59" s="745">
        <f>('Baseline Consumption'!AG87+'Baseline Consumption'!AG88)-AG58</f>
        <v>4.678866383739301E-2</v>
      </c>
      <c r="AH59" s="745">
        <f>('Baseline Consumption'!AH87+'Baseline Consumption'!AH88)-AH58</f>
        <v>4.7820932475770142E-2</v>
      </c>
      <c r="AI59" s="745">
        <f>('Baseline Consumption'!AI87+'Baseline Consumption'!AI88)-AI58</f>
        <v>4.8853915116891106E-2</v>
      </c>
      <c r="AJ59" s="745">
        <f>('Baseline Consumption'!AJ87+'Baseline Consumption'!AJ88)-AJ58</f>
        <v>4.9887522428895756E-2</v>
      </c>
      <c r="AK59" s="745">
        <f>('Baseline Consumption'!AK87+'Baseline Consumption'!AK88)-AK58</f>
        <v>5.0920949787959732E-2</v>
      </c>
    </row>
    <row r="60" spans="1:37" ht="15" customHeight="1">
      <c r="A60" s="743" t="s">
        <v>1383</v>
      </c>
      <c r="L60" s="18"/>
      <c r="M60" s="63">
        <f>(M58-'Baseline Consumption'!M88)/'Baseline Consumption'!M88</f>
        <v>1.8438648052828121E-16</v>
      </c>
      <c r="N60" s="63">
        <f>(N58-'Baseline Consumption'!N88)/'Baseline Consumption'!N88</f>
        <v>0</v>
      </c>
      <c r="O60" s="63">
        <f>(O58-'Baseline Consumption'!O88)/'Baseline Consumption'!O88</f>
        <v>0</v>
      </c>
      <c r="P60" s="63">
        <f>(P58-'Baseline Consumption'!P88)/'Baseline Consumption'!P88</f>
        <v>-1.9319034562966274E-16</v>
      </c>
      <c r="Q60" s="63">
        <f>(Q58-'Baseline Consumption'!Q88)/'Baseline Consumption'!Q88</f>
        <v>1.2673365327344227E-2</v>
      </c>
      <c r="R60" s="63">
        <f>(R58-'Baseline Consumption'!R88)/'Baseline Consumption'!R88</f>
        <v>2.2911803314754921E-2</v>
      </c>
      <c r="S60" s="63">
        <f>(S58-'Baseline Consumption'!S88)/'Baseline Consumption'!S88</f>
        <v>3.5420830129887455E-2</v>
      </c>
      <c r="T60" s="63">
        <f>(T58-'Baseline Consumption'!T88)/'Baseline Consumption'!T88</f>
        <v>4.3425050311969055E-2</v>
      </c>
      <c r="U60" s="63">
        <f>(U58-'Baseline Consumption'!U88)/'Baseline Consumption'!U88</f>
        <v>5.4582487550944268E-2</v>
      </c>
      <c r="V60" s="63">
        <f>(V58-'Baseline Consumption'!V88)/'Baseline Consumption'!V88</f>
        <v>5.5565960197351189E-2</v>
      </c>
      <c r="W60" s="63">
        <f>(W58-'Baseline Consumption'!W88)/'Baseline Consumption'!W88</f>
        <v>4.0249255779468258E-2</v>
      </c>
      <c r="X60" s="63">
        <f>(X58-'Baseline Consumption'!X88)/'Baseline Consumption'!X88</f>
        <v>4.1390690279551452E-2</v>
      </c>
      <c r="Y60" s="63">
        <f>(Y58-'Baseline Consumption'!Y88)/'Baseline Consumption'!Y88</f>
        <v>4.2226648699760748E-2</v>
      </c>
      <c r="Z60" s="63">
        <f>(Z58-'Baseline Consumption'!Z88)/'Baseline Consumption'!Z88</f>
        <v>4.3658430203695253E-2</v>
      </c>
      <c r="AA60" s="63">
        <f>(AA58-'Baseline Consumption'!AA88)/'Baseline Consumption'!AA88</f>
        <v>0</v>
      </c>
      <c r="AB60" s="63">
        <f>(AB58-'Baseline Consumption'!AB88)/'Baseline Consumption'!AB88</f>
        <v>0</v>
      </c>
      <c r="AC60" s="63">
        <f>(AC58-'Baseline Consumption'!AC88)/'Baseline Consumption'!AC88</f>
        <v>0</v>
      </c>
      <c r="AD60" s="63">
        <f>(AD58-'Baseline Consumption'!AD88)/'Baseline Consumption'!AD88</f>
        <v>0</v>
      </c>
      <c r="AE60" s="63">
        <f>(AE58-'Baseline Consumption'!AE88)/'Baseline Consumption'!AE88</f>
        <v>1.3078525094193773E-16</v>
      </c>
      <c r="AF60" s="63">
        <f>(AF58-'Baseline Consumption'!AF88)/'Baseline Consumption'!AF88</f>
        <v>0</v>
      </c>
      <c r="AG60" s="63">
        <f>(AG58-'Baseline Consumption'!AG88)/'Baseline Consumption'!AG88</f>
        <v>1.2904760057618766E-16</v>
      </c>
      <c r="AH60" s="63">
        <f>(AH58-'Baseline Consumption'!AH88)/'Baseline Consumption'!AH88</f>
        <v>0</v>
      </c>
      <c r="AI60" s="63">
        <f>(AI58-'Baseline Consumption'!AI88)/'Baseline Consumption'!AI88</f>
        <v>-1.2740052268153328E-16</v>
      </c>
      <c r="AJ60" s="63">
        <f>(AJ58-'Baseline Consumption'!AJ88)/'Baseline Consumption'!AJ88</f>
        <v>-1.2659821176151889E-16</v>
      </c>
      <c r="AK60" s="63">
        <f>(AK58-'Baseline Consumption'!AK88)/'Baseline Consumption'!AK88</f>
        <v>1.2580958905946362E-16</v>
      </c>
    </row>
    <row r="61" spans="1:37" ht="15" customHeight="1">
      <c r="A61" s="705" t="s">
        <v>1234</v>
      </c>
      <c r="L61" s="18"/>
      <c r="M61" s="63">
        <f>(M59-'Baseline Consumption'!M87)/'Baseline Consumption'!M87</f>
        <v>0</v>
      </c>
      <c r="N61" s="63">
        <f>(N59-'Baseline Consumption'!N87)/'Baseline Consumption'!N87</f>
        <v>-1.1444839597316382E-16</v>
      </c>
      <c r="O61" s="63">
        <f>(O59-'Baseline Consumption'!O87)/'Baseline Consumption'!O87</f>
        <v>0</v>
      </c>
      <c r="P61" s="63">
        <f>(P59-'Baseline Consumption'!P87)/'Baseline Consumption'!P87</f>
        <v>0</v>
      </c>
      <c r="Q61" s="63">
        <f>(Q59-'Baseline Consumption'!Q87)/'Baseline Consumption'!Q87</f>
        <v>-8.5873053696156627E-3</v>
      </c>
      <c r="R61" s="63">
        <f>(R59-'Baseline Consumption'!R87)/'Baseline Consumption'!R87</f>
        <v>-2.2502102408461823E-2</v>
      </c>
      <c r="S61" s="63">
        <f>(S59-'Baseline Consumption'!S87)/'Baseline Consumption'!S87</f>
        <v>-3.6677977645724322E-2</v>
      </c>
      <c r="T61" s="63">
        <f>(T59-'Baseline Consumption'!T87)/'Baseline Consumption'!T87</f>
        <v>-5.8365694597798473E-2</v>
      </c>
      <c r="U61" s="63">
        <f>(U59-'Baseline Consumption'!U87)/'Baseline Consumption'!U87</f>
        <v>-7.7594473183129703E-2</v>
      </c>
      <c r="V61" s="63">
        <f>(V59-'Baseline Consumption'!V87)/'Baseline Consumption'!V87</f>
        <v>-8.354106964102645E-2</v>
      </c>
      <c r="W61" s="63">
        <f>(W59-'Baseline Consumption'!W87)/'Baseline Consumption'!W87</f>
        <v>-0.10254715744088524</v>
      </c>
      <c r="X61" s="63">
        <f>(X59-'Baseline Consumption'!X87)/'Baseline Consumption'!X87</f>
        <v>-0.10605515965802872</v>
      </c>
      <c r="Y61" s="63">
        <f>(Y59-'Baseline Consumption'!Y87)/'Baseline Consumption'!Y87</f>
        <v>-0.10855069406500012</v>
      </c>
      <c r="Z61" s="63">
        <f>(Z59-'Baseline Consumption'!Z87)/'Baseline Consumption'!Z87</f>
        <v>-0.11174200862254009</v>
      </c>
      <c r="AA61" s="63">
        <f>(AA59-'Baseline Consumption'!AA87)/'Baseline Consumption'!AA87</f>
        <v>-1.6896834405835211E-16</v>
      </c>
      <c r="AB61" s="63">
        <f>(AB59-'Baseline Consumption'!AB87)/'Baseline Consumption'!AB87</f>
        <v>1.6648600234708501E-16</v>
      </c>
      <c r="AC61" s="63">
        <f>(AC59-'Baseline Consumption'!AC87)/'Baseline Consumption'!AC87</f>
        <v>0</v>
      </c>
      <c r="AD61" s="63">
        <f>(AD59-'Baseline Consumption'!AD87)/'Baseline Consumption'!AD87</f>
        <v>1.5900032546756499E-16</v>
      </c>
      <c r="AE61" s="63">
        <f>(AE59-'Baseline Consumption'!AE87)/'Baseline Consumption'!AE87</f>
        <v>-1.5525230638890979E-16</v>
      </c>
      <c r="AF61" s="63">
        <f>(AF59-'Baseline Consumption'!AF87)/'Baseline Consumption'!AF87</f>
        <v>1.5147616559231113E-16</v>
      </c>
      <c r="AG61" s="63">
        <f>(AG59-'Baseline Consumption'!AG87)/'Baseline Consumption'!AG87</f>
        <v>-1.48302886528718E-16</v>
      </c>
      <c r="AH61" s="63">
        <f>(AH59-'Baseline Consumption'!AH87)/'Baseline Consumption'!AH87</f>
        <v>-1.4510160184398368E-16</v>
      </c>
      <c r="AI61" s="63">
        <f>(AI59-'Baseline Consumption'!AI87)/'Baseline Consumption'!AI87</f>
        <v>0</v>
      </c>
      <c r="AJ61" s="63">
        <f>(AJ59-'Baseline Consumption'!AJ87)/'Baseline Consumption'!AJ87</f>
        <v>1.3909076991741119E-16</v>
      </c>
      <c r="AK61" s="63">
        <f>(AK59-'Baseline Consumption'!AK87)/'Baseline Consumption'!AK87</f>
        <v>0</v>
      </c>
    </row>
    <row r="62" spans="1:37" ht="15" customHeight="1">
      <c r="A62" s="57" t="s">
        <v>1385</v>
      </c>
      <c r="L62" s="18"/>
      <c r="M62" s="60">
        <f>(M58-'Baseline Consumption'!M88)*'Baseline Consumption'!M82/'Baseline Consumption'!M81</f>
        <v>1.0438499785130765E-17</v>
      </c>
      <c r="N62" s="60">
        <f>(N58-'Baseline Consumption'!N88)*'Baseline Consumption'!N82/'Baseline Consumption'!N81</f>
        <v>0</v>
      </c>
      <c r="O62" s="60">
        <f>(O58-'Baseline Consumption'!O88)*'Baseline Consumption'!O82/'Baseline Consumption'!O81</f>
        <v>0</v>
      </c>
      <c r="P62" s="60">
        <f>(P58-'Baseline Consumption'!P88)*'Baseline Consumption'!P82/'Baseline Consumption'!P81</f>
        <v>-1.0381073025170931E-17</v>
      </c>
      <c r="Q62" s="60">
        <f>(Q58-'Baseline Consumption'!Q88)*'Baseline Consumption'!Q82/'Baseline Consumption'!Q81</f>
        <v>6.7587454411198249E-4</v>
      </c>
      <c r="R62" s="60">
        <f>(R58-'Baseline Consumption'!R88)*'Baseline Consumption'!R82/'Baseline Consumption'!R81</f>
        <v>1.4009188969222504E-3</v>
      </c>
      <c r="S62" s="60">
        <f>(S58-'Baseline Consumption'!S88)*'Baseline Consumption'!S82/'Baseline Consumption'!S81</f>
        <v>2.210069365434619E-3</v>
      </c>
      <c r="T62" s="60">
        <f>(T58-'Baseline Consumption'!T88)*'Baseline Consumption'!T82/'Baseline Consumption'!T81</f>
        <v>2.9206897798975365E-3</v>
      </c>
      <c r="U62" s="60">
        <f>(U58-'Baseline Consumption'!U88)*'Baseline Consumption'!U82/'Baseline Consumption'!U81</f>
        <v>3.7335265162585524E-3</v>
      </c>
      <c r="V62" s="60">
        <f>(V58-'Baseline Consumption'!V88)*'Baseline Consumption'!V82/'Baseline Consumption'!V81</f>
        <v>3.8667198609004878E-3</v>
      </c>
      <c r="W62" s="60">
        <f>(W58-'Baseline Consumption'!W88)*'Baseline Consumption'!W82/'Baseline Consumption'!W81</f>
        <v>3.1018023859175473E-3</v>
      </c>
      <c r="X62" s="60">
        <f>(X58-'Baseline Consumption'!X88)*'Baseline Consumption'!X82/'Baseline Consumption'!X81</f>
        <v>3.1622791952449279E-3</v>
      </c>
      <c r="Y62" s="60">
        <f>(Y58-'Baseline Consumption'!Y88)*'Baseline Consumption'!Y82/'Baseline Consumption'!Y81</f>
        <v>3.2035314848048047E-3</v>
      </c>
      <c r="Z62" s="60">
        <f>(Z58-'Baseline Consumption'!Z88)*'Baseline Consumption'!Z82/'Baseline Consumption'!Z81</f>
        <v>3.3029090410775356E-3</v>
      </c>
      <c r="AA62" s="60">
        <f>(AA58-'Baseline Consumption'!AA88)*'Baseline Consumption'!AA82/'Baseline Consumption'!AA81</f>
        <v>0</v>
      </c>
      <c r="AB62" s="60">
        <f>(AB58-'Baseline Consumption'!AB88)*'Baseline Consumption'!AB82/'Baseline Consumption'!AB81</f>
        <v>0</v>
      </c>
      <c r="AC62" s="60">
        <f>(AC58-'Baseline Consumption'!AC88)*'Baseline Consumption'!AC82/'Baseline Consumption'!AC81</f>
        <v>0</v>
      </c>
      <c r="AD62" s="60">
        <f>(AD58-'Baseline Consumption'!AD88)*'Baseline Consumption'!AD82/'Baseline Consumption'!AD81</f>
        <v>0</v>
      </c>
      <c r="AE62" s="60">
        <f>(AE58-'Baseline Consumption'!AE88)*'Baseline Consumption'!AE82/'Baseline Consumption'!AE81</f>
        <v>1.0058412772011387E-17</v>
      </c>
      <c r="AF62" s="60">
        <f>(AF58-'Baseline Consumption'!AF88)*'Baseline Consumption'!AF82/'Baseline Consumption'!AF81</f>
        <v>0</v>
      </c>
      <c r="AG62" s="60">
        <f>(AG58-'Baseline Consumption'!AG88)*'Baseline Consumption'!AG82/'Baseline Consumption'!AG81</f>
        <v>1.0015863501234956E-17</v>
      </c>
      <c r="AH62" s="60">
        <f>(AH58-'Baseline Consumption'!AH88)*'Baseline Consumption'!AH82/'Baseline Consumption'!AH81</f>
        <v>0</v>
      </c>
      <c r="AI62" s="60">
        <f>(AI58-'Baseline Consumption'!AI88)*'Baseline Consumption'!AI82/'Baseline Consumption'!AI81</f>
        <v>-9.9737851629102382E-18</v>
      </c>
      <c r="AJ62" s="60">
        <f>(AJ58-'Baseline Consumption'!AJ88)*'Baseline Consumption'!AJ82/'Baseline Consumption'!AJ81</f>
        <v>-9.9526800007573603E-18</v>
      </c>
      <c r="AK62" s="60">
        <f>(AK58-'Baseline Consumption'!AK88)*'Baseline Consumption'!AK82/'Baseline Consumption'!AK81</f>
        <v>9.9317013623646315E-18</v>
      </c>
    </row>
    <row r="63" spans="1:37" ht="15" customHeight="1">
      <c r="A63" s="743" t="s">
        <v>1384</v>
      </c>
      <c r="L63" s="18"/>
      <c r="M63" s="60">
        <f>M59-'Baseline Consumption'!M87</f>
        <v>0</v>
      </c>
      <c r="N63" s="60">
        <f>N59-'Baseline Consumption'!N87</f>
        <v>0</v>
      </c>
      <c r="O63" s="60">
        <f>O59-'Baseline Consumption'!O87</f>
        <v>0</v>
      </c>
      <c r="P63" s="60">
        <f>P59-'Baseline Consumption'!P87</f>
        <v>0</v>
      </c>
      <c r="Q63" s="60">
        <f>Q59-'Baseline Consumption'!Q87</f>
        <v>-9.0589642126821801E-4</v>
      </c>
      <c r="R63" s="60">
        <f>R59-'Baseline Consumption'!R87</f>
        <v>-1.8801834318182969E-3</v>
      </c>
      <c r="S63" s="60">
        <f>S59-'Baseline Consumption'!S87</f>
        <v>-2.9724130812978367E-3</v>
      </c>
      <c r="T63" s="60">
        <f>T59-'Baseline Consumption'!T87</f>
        <v>-3.9373708835556409E-3</v>
      </c>
      <c r="U63" s="60">
        <f>U59-'Baseline Consumption'!U87</f>
        <v>-5.0445777501639671E-3</v>
      </c>
      <c r="V63" s="60">
        <f>V59-'Baseline Consumption'!V87</f>
        <v>-5.2344196879431371E-3</v>
      </c>
      <c r="W63" s="60">
        <f>W59-'Baseline Consumption'!W87</f>
        <v>-4.2074983381787875E-3</v>
      </c>
      <c r="X63" s="60">
        <f>X59-'Baseline Consumption'!X87</f>
        <v>-4.2993104049833877E-3</v>
      </c>
      <c r="Y63" s="60">
        <f>Y59-'Baseline Consumption'!Y87</f>
        <v>-4.3645819964590812E-3</v>
      </c>
      <c r="Z63" s="60">
        <f>Z59-'Baseline Consumption'!Z87</f>
        <v>-4.5092226799449964E-3</v>
      </c>
      <c r="AA63" s="60">
        <f>AA59-'Baseline Consumption'!AA87</f>
        <v>0</v>
      </c>
      <c r="AB63" s="60">
        <f>AB59-'Baseline Consumption'!AB87</f>
        <v>0</v>
      </c>
      <c r="AC63" s="60">
        <f>AC59-'Baseline Consumption'!AC87</f>
        <v>0</v>
      </c>
      <c r="AD63" s="60">
        <f>AD59-'Baseline Consumption'!AD87</f>
        <v>0</v>
      </c>
      <c r="AE63" s="60">
        <f>AE59-'Baseline Consumption'!AE87</f>
        <v>0</v>
      </c>
      <c r="AF63" s="60">
        <f>AF59-'Baseline Consumption'!AF87</f>
        <v>0</v>
      </c>
      <c r="AG63" s="60">
        <f>AG59-'Baseline Consumption'!AG87</f>
        <v>0</v>
      </c>
      <c r="AH63" s="60">
        <f>AH59-'Baseline Consumption'!AH87</f>
        <v>0</v>
      </c>
      <c r="AI63" s="60">
        <f>AI59-'Baseline Consumption'!AI87</f>
        <v>0</v>
      </c>
      <c r="AJ63" s="60">
        <f>AJ59-'Baseline Consumption'!AJ87</f>
        <v>0</v>
      </c>
      <c r="AK63" s="60">
        <f>AK59-'Baseline Consumption'!AK87</f>
        <v>0</v>
      </c>
    </row>
    <row r="64" spans="1:37">
      <c r="O64"/>
      <c r="P64"/>
      <c r="Q64"/>
    </row>
  </sheetData>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B0F0"/>
  </sheetPr>
  <dimension ref="A1:AQ167"/>
  <sheetViews>
    <sheetView workbookViewId="0">
      <pane xSplit="1" ySplit="6" topLeftCell="I76" activePane="bottomRight" state="frozen"/>
      <selection pane="topRight" activeCell="B1" sqref="B1"/>
      <selection pane="bottomLeft" activeCell="A7" sqref="A7"/>
      <selection pane="bottomRight" activeCell="A82" sqref="A82:XFD82"/>
    </sheetView>
  </sheetViews>
  <sheetFormatPr defaultColWidth="9.140625" defaultRowHeight="12.75"/>
  <cols>
    <col min="1" max="1" width="36.42578125" style="6" customWidth="1"/>
    <col min="2" max="12" width="8.7109375" style="6" customWidth="1"/>
    <col min="13" max="13" width="9.28515625" style="6" customWidth="1"/>
    <col min="14" max="23" width="8.7109375" style="6" customWidth="1"/>
    <col min="24" max="24" width="8.7109375" style="425" customWidth="1"/>
    <col min="25" max="37" width="8.7109375" style="6" customWidth="1"/>
    <col min="38" max="38" width="23.42578125" style="6" customWidth="1"/>
    <col min="39" max="39" width="19.140625" style="6" customWidth="1"/>
    <col min="40" max="40" width="24.28515625" style="6" customWidth="1"/>
    <col min="41" max="41" width="13.85546875" style="6" customWidth="1"/>
    <col min="42" max="16384" width="9.140625" style="6"/>
  </cols>
  <sheetData>
    <row r="1" spans="1:37" ht="27">
      <c r="A1" s="56" t="s">
        <v>387</v>
      </c>
      <c r="B1" s="37"/>
      <c r="C1" s="37"/>
      <c r="D1" s="37"/>
      <c r="E1" s="37"/>
      <c r="F1" s="37"/>
      <c r="G1" s="37"/>
      <c r="H1" s="20"/>
      <c r="I1" s="20"/>
      <c r="J1" s="20"/>
    </row>
    <row r="2" spans="1:37" ht="15.75">
      <c r="A2" s="64" t="s">
        <v>382</v>
      </c>
      <c r="C2" s="69" t="s">
        <v>388</v>
      </c>
      <c r="D2" s="20"/>
      <c r="E2" s="20"/>
      <c r="F2" s="20"/>
      <c r="G2" s="20"/>
      <c r="H2" s="20"/>
      <c r="I2" s="20"/>
      <c r="J2" s="20"/>
    </row>
    <row r="3" spans="1:37" ht="15.75">
      <c r="A3" s="64" t="s">
        <v>383</v>
      </c>
      <c r="C3" s="69" t="s">
        <v>389</v>
      </c>
      <c r="D3" s="33"/>
      <c r="E3" s="33"/>
      <c r="F3" s="33"/>
      <c r="G3" s="33"/>
      <c r="H3" s="33"/>
      <c r="I3" s="33"/>
      <c r="J3" s="33"/>
    </row>
    <row r="4" spans="1:37" ht="15.75">
      <c r="A4" s="64" t="s">
        <v>380</v>
      </c>
      <c r="C4" s="69" t="s">
        <v>326</v>
      </c>
      <c r="D4" s="34"/>
      <c r="E4" s="34"/>
      <c r="F4" s="34"/>
      <c r="G4" s="34"/>
      <c r="H4" s="34"/>
      <c r="I4" s="34"/>
      <c r="J4" s="34"/>
    </row>
    <row r="6" spans="1:37" ht="13.5">
      <c r="A6" s="59" t="s">
        <v>22</v>
      </c>
      <c r="B6" s="59">
        <v>2005</v>
      </c>
      <c r="C6" s="59">
        <v>2006</v>
      </c>
      <c r="D6" s="59">
        <v>2007</v>
      </c>
      <c r="E6" s="59">
        <v>2008</v>
      </c>
      <c r="F6" s="59">
        <v>2009</v>
      </c>
      <c r="G6" s="59">
        <v>2010</v>
      </c>
      <c r="H6" s="59">
        <v>2011</v>
      </c>
      <c r="I6" s="59">
        <v>2012</v>
      </c>
      <c r="J6" s="59">
        <v>2013</v>
      </c>
      <c r="K6" s="59">
        <v>2014</v>
      </c>
      <c r="L6" s="59">
        <v>2015</v>
      </c>
      <c r="M6" s="59">
        <v>2016</v>
      </c>
      <c r="N6" s="59">
        <v>2017</v>
      </c>
      <c r="O6" s="59">
        <v>2018</v>
      </c>
      <c r="P6" s="59">
        <v>2019</v>
      </c>
      <c r="Q6" s="59">
        <v>2020</v>
      </c>
      <c r="R6" s="59">
        <v>2021</v>
      </c>
      <c r="S6" s="59">
        <v>2022</v>
      </c>
      <c r="T6" s="59">
        <v>2023</v>
      </c>
      <c r="U6" s="59">
        <v>2024</v>
      </c>
      <c r="V6" s="59">
        <v>2025</v>
      </c>
      <c r="W6" s="59">
        <v>2026</v>
      </c>
      <c r="X6" s="357">
        <v>2027</v>
      </c>
      <c r="Y6" s="59">
        <v>2028</v>
      </c>
      <c r="Z6" s="59">
        <v>2029</v>
      </c>
      <c r="AA6" s="59">
        <v>2030</v>
      </c>
      <c r="AB6" s="59">
        <v>2031</v>
      </c>
      <c r="AC6" s="59">
        <v>2032</v>
      </c>
      <c r="AD6" s="59">
        <v>2033</v>
      </c>
      <c r="AE6" s="59">
        <v>2034</v>
      </c>
      <c r="AF6" s="59">
        <v>2035</v>
      </c>
      <c r="AG6" s="59">
        <v>2036</v>
      </c>
      <c r="AH6" s="59">
        <v>2037</v>
      </c>
      <c r="AI6" s="59">
        <v>2038</v>
      </c>
      <c r="AJ6" s="59">
        <v>2039</v>
      </c>
      <c r="AK6" s="59">
        <v>2040</v>
      </c>
    </row>
    <row r="7" spans="1:37">
      <c r="A7" s="70" t="s">
        <v>23</v>
      </c>
      <c r="B7" s="57"/>
      <c r="C7" s="57"/>
      <c r="D7" s="57"/>
      <c r="E7" s="57"/>
      <c r="F7" s="57"/>
      <c r="G7" s="57"/>
      <c r="H7" s="57"/>
      <c r="I7" s="57"/>
      <c r="J7" s="76"/>
      <c r="K7" s="76"/>
      <c r="L7" s="76"/>
      <c r="M7" s="76"/>
      <c r="N7" s="76"/>
      <c r="O7" s="76"/>
      <c r="P7" s="76"/>
      <c r="Q7" s="76"/>
      <c r="R7" s="76"/>
      <c r="S7" s="76"/>
      <c r="T7" s="76"/>
      <c r="U7" s="76"/>
      <c r="V7" s="76"/>
      <c r="W7" s="76"/>
      <c r="X7" s="334"/>
      <c r="Y7" s="76"/>
      <c r="Z7" s="76"/>
      <c r="AA7" s="76"/>
      <c r="AB7" s="76"/>
      <c r="AC7" s="76"/>
      <c r="AD7" s="76"/>
      <c r="AE7" s="76"/>
      <c r="AF7" s="76"/>
      <c r="AG7" s="76"/>
      <c r="AH7" s="76"/>
      <c r="AI7" s="76"/>
      <c r="AJ7" s="76"/>
      <c r="AK7" s="76"/>
    </row>
    <row r="8" spans="1:37">
      <c r="A8" s="70" t="s">
        <v>24</v>
      </c>
      <c r="B8" s="60"/>
      <c r="C8" s="60"/>
      <c r="D8" s="60"/>
      <c r="E8" s="60"/>
      <c r="F8" s="60"/>
      <c r="G8" s="60"/>
      <c r="H8" s="60"/>
      <c r="I8" s="60"/>
      <c r="J8" s="66"/>
      <c r="K8" s="66">
        <f>'Baseline Consumption'!K8*(1+'Price Change'!K8*ramps!L50)</f>
        <v>6.0346624077015978E-3</v>
      </c>
      <c r="L8" s="66">
        <f>'Baseline Consumption'!L8*(1+'Price Change'!L8*ramps!M50)</f>
        <v>6.9229472539708743E-3</v>
      </c>
      <c r="M8" s="66">
        <f>'Baseline Consumption'!M8*(1+'Price Change'!M8*ramps!N50)</f>
        <v>6.9436813729269577E-3</v>
      </c>
      <c r="N8" s="66">
        <f>'Baseline Consumption'!N8*(1+'Price Change'!N8*ramps!O50)</f>
        <v>7.8830858530304741E-3</v>
      </c>
      <c r="O8" s="66">
        <f>'Baseline Consumption'!O8*(1+'Price Change'!O8*ramps!P50)</f>
        <v>7.2990994032712505E-3</v>
      </c>
      <c r="P8" s="66">
        <f>'Baseline Consumption'!P8*(1+'Price Change'!P8*ramps!Q50)</f>
        <v>7.0793962345302823E-3</v>
      </c>
      <c r="Q8" s="66">
        <f>'Baseline Consumption'!Q8*(1+'Price Change'!Q8*ramps!R50)</f>
        <v>6.9917978215692737E-3</v>
      </c>
      <c r="R8" s="66">
        <f>'Baseline Consumption'!R8*(1+'Price Change'!R8*ramps!S50)</f>
        <v>6.8971129162448694E-3</v>
      </c>
      <c r="S8" s="66">
        <f>'Baseline Consumption'!S8*(1+'Price Change'!S8*ramps!T50)</f>
        <v>6.8096000713019911E-3</v>
      </c>
      <c r="T8" s="66">
        <f>'Baseline Consumption'!T8*(1+'Price Change'!T8*ramps!U50)</f>
        <v>6.7360991408653382E-3</v>
      </c>
      <c r="U8" s="66">
        <f>'Baseline Consumption'!U8*(1+'Price Change'!U8*ramps!V50)</f>
        <v>6.670190261738527E-3</v>
      </c>
      <c r="V8" s="66">
        <f>'Baseline Consumption'!V8*(1+'Price Change'!V8*ramps!W50)</f>
        <v>6.606801592729244E-3</v>
      </c>
      <c r="W8" s="66">
        <f>'Baseline Consumption'!W8*(1+'Price Change'!W8*ramps!X50)</f>
        <v>6.5480094385512539E-3</v>
      </c>
      <c r="X8" s="498">
        <f>'Baseline Consumption'!X8*(1+'Price Change'!X8*ramps!Y50)</f>
        <v>6.4935459063350486E-3</v>
      </c>
      <c r="Y8" s="66">
        <f>'Baseline Consumption'!Y8*(1+'Price Change'!Y8*ramps!Z50)</f>
        <v>6.4377928408239941E-3</v>
      </c>
      <c r="Z8" s="66">
        <f>'Baseline Consumption'!Z8*(1+'Price Change'!Z8*ramps!AA50)</f>
        <v>6.3797798941626783E-3</v>
      </c>
      <c r="AA8" s="66">
        <f>'Baseline Consumption'!AA8*(1+'Price Change'!AA8*ramps!AB50)</f>
        <v>6.4238419051614402E-3</v>
      </c>
      <c r="AB8" s="66">
        <f>'Baseline Consumption'!AB8*(1+'Price Change'!AB8*ramps!AC50)</f>
        <v>6.3771559221797412E-3</v>
      </c>
      <c r="AC8" s="66">
        <f>'Baseline Consumption'!AC8*(1+'Price Change'!AC8*ramps!AD50)</f>
        <v>6.3266970881771479E-3</v>
      </c>
      <c r="AD8" s="66">
        <f>'Baseline Consumption'!AD8*(1+'Price Change'!AD8*ramps!AE50)</f>
        <v>6.2766567855252016E-3</v>
      </c>
      <c r="AE8" s="66">
        <f>'Baseline Consumption'!AE8*(1+'Price Change'!AE8*ramps!AF50)</f>
        <v>6.2298419389458688E-3</v>
      </c>
      <c r="AF8" s="66">
        <f>'Baseline Consumption'!AF8*(1+'Price Change'!AF8*ramps!AG50)</f>
        <v>6.1870349899196464E-3</v>
      </c>
      <c r="AG8" s="66">
        <f>'Baseline Consumption'!AG8*(1+'Price Change'!AG8*ramps!AH50)</f>
        <v>6.1429703449010055E-3</v>
      </c>
      <c r="AH8" s="66">
        <f>'Baseline Consumption'!AH8*(1+'Price Change'!AH8*ramps!AI50)</f>
        <v>6.1031932758062362E-3</v>
      </c>
      <c r="AI8" s="66">
        <f>'Baseline Consumption'!AI8*(1+'Price Change'!AI8*ramps!AJ50)</f>
        <v>6.0596179123288147E-3</v>
      </c>
      <c r="AJ8" s="66">
        <f>'Baseline Consumption'!AJ8*(1+'Price Change'!AJ8*ramps!AK50)</f>
        <v>6.0196625983172979E-3</v>
      </c>
      <c r="AK8" s="66">
        <f>'Baseline Consumption'!AK8*(1+'Price Change'!AK8*ramps!AL50)</f>
        <v>5.9846438757390312E-3</v>
      </c>
    </row>
    <row r="9" spans="1:37">
      <c r="A9" s="70" t="s">
        <v>56</v>
      </c>
      <c r="B9" s="60"/>
      <c r="C9" s="60"/>
      <c r="D9" s="60"/>
      <c r="E9" s="60"/>
      <c r="F9" s="60"/>
      <c r="G9" s="60"/>
      <c r="H9" s="60"/>
      <c r="I9" s="60"/>
      <c r="J9" s="66"/>
      <c r="K9" s="66">
        <f>'Baseline Consumption'!K9</f>
        <v>5.5187379184002392E-5</v>
      </c>
      <c r="L9" s="66">
        <f>'Baseline Consumption'!L9</f>
        <v>7.1113938277372215E-5</v>
      </c>
      <c r="M9" s="66">
        <f>'Baseline Consumption'!M9</f>
        <v>3.0731504072374513E-5</v>
      </c>
      <c r="N9" s="66">
        <f>'Baseline Consumption'!N9</f>
        <v>3.4907011298912025E-5</v>
      </c>
      <c r="O9" s="66">
        <f>'Baseline Consumption'!O9</f>
        <v>2.9646378925431336E-5</v>
      </c>
      <c r="P9" s="66">
        <f>'Baseline Consumption'!P9</f>
        <v>2.7647205489539099E-5</v>
      </c>
      <c r="Q9" s="66">
        <f>'Baseline Consumption'!Q9</f>
        <v>2.6822887366579727E-5</v>
      </c>
      <c r="R9" s="66">
        <f>'Baseline Consumption'!R9</f>
        <v>2.5826512738924252E-5</v>
      </c>
      <c r="S9" s="66">
        <f>'Baseline Consumption'!S9</f>
        <v>2.4952795806252996E-5</v>
      </c>
      <c r="T9" s="66">
        <f>'Baseline Consumption'!T9</f>
        <v>2.4335467601580781E-5</v>
      </c>
      <c r="U9" s="66">
        <f>'Baseline Consumption'!U9</f>
        <v>2.3786270592477169E-5</v>
      </c>
      <c r="V9" s="66">
        <f>'Baseline Consumption'!V9</f>
        <v>2.3284316957968829E-5</v>
      </c>
      <c r="W9" s="66">
        <f>'Baseline Consumption'!W9</f>
        <v>2.2817106559677611E-5</v>
      </c>
      <c r="X9" s="498">
        <f>'Baseline Consumption'!X9</f>
        <v>2.2361616227370321E-5</v>
      </c>
      <c r="Y9" s="66">
        <f>'Baseline Consumption'!Y9</f>
        <v>2.1902854972253539E-5</v>
      </c>
      <c r="Z9" s="66">
        <f>'Baseline Consumption'!Z9</f>
        <v>2.1437727164427374E-5</v>
      </c>
      <c r="AA9" s="66">
        <f>'Baseline Consumption'!AA9</f>
        <v>2.0991230305639996E-5</v>
      </c>
      <c r="AB9" s="66">
        <f>'Baseline Consumption'!AB9</f>
        <v>2.053985958367691E-5</v>
      </c>
      <c r="AC9" s="66">
        <f>'Baseline Consumption'!AC9</f>
        <v>2.0098818532389736E-5</v>
      </c>
      <c r="AD9" s="66">
        <f>'Baseline Consumption'!AD9</f>
        <v>1.9678075861826732E-5</v>
      </c>
      <c r="AE9" s="66">
        <f>'Baseline Consumption'!AE9</f>
        <v>1.9271139450288121E-5</v>
      </c>
      <c r="AF9" s="66">
        <f>'Baseline Consumption'!AF9</f>
        <v>1.8887971760538706E-5</v>
      </c>
      <c r="AG9" s="66">
        <f>'Baseline Consumption'!AG9</f>
        <v>1.8515224763749369E-5</v>
      </c>
      <c r="AH9" s="66">
        <f>'Baseline Consumption'!AH9</f>
        <v>1.8119648897423527E-5</v>
      </c>
      <c r="AI9" s="66">
        <f>'Baseline Consumption'!AI9</f>
        <v>1.7739434755977977E-5</v>
      </c>
      <c r="AJ9" s="66">
        <f>'Baseline Consumption'!AJ9</f>
        <v>1.73812023797757E-5</v>
      </c>
      <c r="AK9" s="66">
        <f>'Baseline Consumption'!AK9</f>
        <v>1.7039957700635295E-5</v>
      </c>
    </row>
    <row r="10" spans="1:37">
      <c r="A10" s="70" t="s">
        <v>25</v>
      </c>
      <c r="B10" s="60"/>
      <c r="C10" s="60"/>
      <c r="D10" s="60"/>
      <c r="E10" s="60"/>
      <c r="F10" s="60"/>
      <c r="G10" s="60"/>
      <c r="H10" s="60"/>
      <c r="I10" s="60"/>
      <c r="J10" s="66"/>
      <c r="K10" s="66">
        <f>'Baseline Consumption'!K10*(1+'Price Change'!K9*ramps!L50)</f>
        <v>3.5397273600000002E-3</v>
      </c>
      <c r="L10" s="66">
        <f>'Baseline Consumption'!L10*(1+'Price Change'!L9*ramps!M50)</f>
        <v>3.75409344E-3</v>
      </c>
      <c r="M10" s="66">
        <f>'Baseline Consumption'!M10*(1+'Price Change'!M9*ramps!N50)</f>
        <v>3.4485312173642047E-3</v>
      </c>
      <c r="N10" s="66">
        <f>'Baseline Consumption'!N10*(1+'Price Change'!N9*ramps!O50)</f>
        <v>3.7721319206290398E-3</v>
      </c>
      <c r="O10" s="66">
        <f>'Baseline Consumption'!O10*(1+'Price Change'!O9*ramps!P50)</f>
        <v>4.085070983887126E-3</v>
      </c>
      <c r="P10" s="66">
        <f>'Baseline Consumption'!P10*(1+'Price Change'!P9*ramps!Q50)</f>
        <v>3.7832362048257975E-3</v>
      </c>
      <c r="Q10" s="66">
        <f>'Baseline Consumption'!Q10*(1+'Price Change'!Q9*ramps!R50)</f>
        <v>3.6588426176902499E-3</v>
      </c>
      <c r="R10" s="66">
        <f>'Baseline Consumption'!R10*(1+'Price Change'!R9*ramps!S50)</f>
        <v>3.5310729291629438E-3</v>
      </c>
      <c r="S10" s="66">
        <f>'Baseline Consumption'!S10*(1+'Price Change'!S9*ramps!T50)</f>
        <v>3.4269268085696243E-3</v>
      </c>
      <c r="T10" s="66">
        <f>'Baseline Consumption'!T10*(1+'Price Change'!T9*ramps!U50)</f>
        <v>3.3440871553938722E-3</v>
      </c>
      <c r="U10" s="66">
        <f>'Baseline Consumption'!U10*(1+'Price Change'!U9*ramps!V50)</f>
        <v>3.2726343903107229E-3</v>
      </c>
      <c r="V10" s="66">
        <f>'Baseline Consumption'!V10*(1+'Price Change'!V9*ramps!W50)</f>
        <v>3.2055859635339553E-3</v>
      </c>
      <c r="W10" s="66">
        <f>'Baseline Consumption'!W10*(1+'Price Change'!W9*ramps!X50)</f>
        <v>3.1422662120893685E-3</v>
      </c>
      <c r="X10" s="498">
        <f>'Baseline Consumption'!X10*(1+'Price Change'!X9*ramps!Y50)</f>
        <v>3.0786296445741057E-3</v>
      </c>
      <c r="Y10" s="66">
        <f>'Baseline Consumption'!Y10*(1+'Price Change'!Y9*ramps!Z50)</f>
        <v>3.0149660058959695E-3</v>
      </c>
      <c r="Z10" s="66">
        <f>'Baseline Consumption'!Z10*(1+'Price Change'!Z9*ramps!AA50)</f>
        <v>2.9505624751757524E-3</v>
      </c>
      <c r="AA10" s="66">
        <f>'Baseline Consumption'!AA10*(1+'Price Change'!AA9*ramps!AB50)</f>
        <v>2.9360306533115998E-3</v>
      </c>
      <c r="AB10" s="66">
        <f>'Baseline Consumption'!AB10*(1+'Price Change'!AB9*ramps!AC50)</f>
        <v>2.8801586583511382E-3</v>
      </c>
      <c r="AC10" s="66">
        <f>'Baseline Consumption'!AC10*(1+'Price Change'!AC9*ramps!AD50)</f>
        <v>2.8264148864847421E-3</v>
      </c>
      <c r="AD10" s="66">
        <f>'Baseline Consumption'!AD10*(1+'Price Change'!AD9*ramps!AE50)</f>
        <v>2.7747462920475496E-3</v>
      </c>
      <c r="AE10" s="66">
        <f>'Baseline Consumption'!AE10*(1+'Price Change'!AE9*ramps!AF50)</f>
        <v>2.7249286112653957E-3</v>
      </c>
      <c r="AF10" s="66">
        <f>'Baseline Consumption'!AF10*(1+'Price Change'!AF9*ramps!AG50)</f>
        <v>2.677669590372648E-3</v>
      </c>
      <c r="AG10" s="66">
        <f>'Baseline Consumption'!AG10*(1+'Price Change'!AG9*ramps!AH50)</f>
        <v>2.6322373614181011E-3</v>
      </c>
      <c r="AH10" s="66">
        <f>'Baseline Consumption'!AH10*(1+'Price Change'!AH9*ramps!AI50)</f>
        <v>2.5855459218339788E-3</v>
      </c>
      <c r="AI10" s="66">
        <f>'Baseline Consumption'!AI10*(1+'Price Change'!AI9*ramps!AJ50)</f>
        <v>2.5416482389197729E-3</v>
      </c>
      <c r="AJ10" s="66">
        <f>'Baseline Consumption'!AJ10*(1+'Price Change'!AJ9*ramps!AK50)</f>
        <v>2.4995796744412204E-3</v>
      </c>
      <c r="AK10" s="66">
        <f>'Baseline Consumption'!AK10*(1+'Price Change'!AK9*ramps!AL50)</f>
        <v>2.4596051514647376E-3</v>
      </c>
    </row>
    <row r="11" spans="1:37">
      <c r="A11" s="70" t="s">
        <v>26</v>
      </c>
      <c r="B11" s="60"/>
      <c r="C11" s="60"/>
      <c r="D11" s="60"/>
      <c r="E11" s="60"/>
      <c r="F11" s="60"/>
      <c r="G11" s="60"/>
      <c r="H11" s="60"/>
      <c r="I11" s="60"/>
      <c r="J11" s="66"/>
      <c r="K11" s="66">
        <f>'Baseline Consumption'!K11*ramps!L63*(1+'Price Change'!K10*ramps!L50)</f>
        <v>7.3219101821964866E-2</v>
      </c>
      <c r="L11" s="66">
        <f>'Baseline Consumption'!L11*ramps!M63*(1+'Price Change'!L10*ramps!M50)</f>
        <v>7.2795057827221066E-2</v>
      </c>
      <c r="M11" s="66">
        <f>'Baseline Consumption'!M11*ramps!N63*(1+'Price Change'!M10*ramps!N50)</f>
        <v>7.7892026853169621E-2</v>
      </c>
      <c r="N11" s="66">
        <f>'Baseline Consumption'!N11*ramps!O63*(1+'Price Change'!N10*ramps!O50)</f>
        <v>7.8884465846582999E-2</v>
      </c>
      <c r="O11" s="66">
        <f>'Baseline Consumption'!O11*ramps!P63*(1+'Price Change'!O10*ramps!P50)</f>
        <v>8.5670720206551074E-2</v>
      </c>
      <c r="P11" s="66">
        <f>'Baseline Consumption'!P11*ramps!Q63*(1+'Price Change'!P10*ramps!Q50)</f>
        <v>8.3695308384332701E-2</v>
      </c>
      <c r="Q11" s="66">
        <f>'Baseline Consumption'!Q11*ramps!R63*(1+'Price Change'!Q10*ramps!R50)</f>
        <v>8.3589278011122176E-2</v>
      </c>
      <c r="R11" s="66">
        <f>'Baseline Consumption'!R11*ramps!S63*(1+'Price Change'!R10*ramps!S50)</f>
        <v>8.3495051127504119E-2</v>
      </c>
      <c r="S11" s="66">
        <f>'Baseline Consumption'!S11*ramps!T63*(1+'Price Change'!S10*ramps!T50)</f>
        <v>8.3508933430688825E-2</v>
      </c>
      <c r="T11" s="66">
        <f>'Baseline Consumption'!T11*ramps!U63*(1+'Price Change'!T10*ramps!U50)</f>
        <v>8.3479907949139218E-2</v>
      </c>
      <c r="U11" s="66">
        <f>'Baseline Consumption'!U11*ramps!V63*(1+'Price Change'!U10*ramps!V50)</f>
        <v>8.3482653669512144E-2</v>
      </c>
      <c r="V11" s="66">
        <f>'Baseline Consumption'!V11*ramps!W63*(1+'Price Change'!V10*ramps!W50)</f>
        <v>8.3388351953758322E-2</v>
      </c>
      <c r="W11" s="66">
        <f>'Baseline Consumption'!W11*ramps!X63*(1+'Price Change'!W10*ramps!X50)</f>
        <v>8.3368495607647544E-2</v>
      </c>
      <c r="X11" s="498">
        <f>'Baseline Consumption'!X11*ramps!Y63*(1+'Price Change'!X10*ramps!Y50)</f>
        <v>8.3372883336099171E-2</v>
      </c>
      <c r="Y11" s="66">
        <f>'Baseline Consumption'!Y11*ramps!Z63*(1+'Price Change'!Y10*ramps!Z50)</f>
        <v>8.3374333360103525E-2</v>
      </c>
      <c r="Z11" s="66">
        <f>'Baseline Consumption'!Z11*ramps!AA63*(1+'Price Change'!Z10*ramps!AA50)</f>
        <v>8.3339027569968693E-2</v>
      </c>
      <c r="AA11" s="66">
        <f>'Baseline Consumption'!AA11*ramps!AB63*(1+'Price Change'!AA10*ramps!AB50)</f>
        <v>8.5219790651326385E-2</v>
      </c>
      <c r="AB11" s="66">
        <f>'Baseline Consumption'!AB11*ramps!AC63*(1+'Price Change'!AB10*ramps!AC50)</f>
        <v>8.5401743788318177E-2</v>
      </c>
      <c r="AC11" s="66">
        <f>'Baseline Consumption'!AC11*ramps!AD63*(1+'Price Change'!AC10*ramps!AD50)</f>
        <v>8.5537189770688832E-2</v>
      </c>
      <c r="AD11" s="66">
        <f>'Baseline Consumption'!AD11*ramps!AE63*(1+'Price Change'!AD10*ramps!AE50)</f>
        <v>8.5651131624441074E-2</v>
      </c>
      <c r="AE11" s="66">
        <f>'Baseline Consumption'!AE11*ramps!AF63*(1+'Price Change'!AE10*ramps!AF50)</f>
        <v>8.5748320539465142E-2</v>
      </c>
      <c r="AF11" s="66">
        <f>'Baseline Consumption'!AF11*ramps!AG63*(1+'Price Change'!AF10*ramps!AG50)</f>
        <v>8.5861736628901106E-2</v>
      </c>
      <c r="AG11" s="66">
        <f>'Baseline Consumption'!AG11*ramps!AH63*(1+'Price Change'!AG10*ramps!AH50)</f>
        <v>8.5911694597958138E-2</v>
      </c>
      <c r="AH11" s="66">
        <f>'Baseline Consumption'!AH11*ramps!AI63*(1+'Price Change'!AH10*ramps!AI50)</f>
        <v>8.5949926371758259E-2</v>
      </c>
      <c r="AI11" s="66">
        <f>'Baseline Consumption'!AI11*ramps!AJ63*(1+'Price Change'!AI10*ramps!AJ50)</f>
        <v>8.5993181118063852E-2</v>
      </c>
      <c r="AJ11" s="66">
        <f>'Baseline Consumption'!AJ11*ramps!AK63*(1+'Price Change'!AJ10*ramps!AK50)</f>
        <v>8.6075512304539123E-2</v>
      </c>
      <c r="AK11" s="66">
        <f>'Baseline Consumption'!AK11*ramps!AL63*(1+'Price Change'!AK10*ramps!AL50)</f>
        <v>8.6202712287141242E-2</v>
      </c>
    </row>
    <row r="12" spans="1:37">
      <c r="A12" s="70" t="s">
        <v>58</v>
      </c>
      <c r="B12" s="60"/>
      <c r="C12" s="60"/>
      <c r="D12" s="60"/>
      <c r="E12" s="60"/>
      <c r="F12" s="60"/>
      <c r="G12" s="60"/>
      <c r="H12" s="60"/>
      <c r="I12" s="60"/>
      <c r="J12" s="66"/>
      <c r="K12" s="66">
        <f>'Baseline Consumption'!K12</f>
        <v>2.4050060263824075E-2</v>
      </c>
      <c r="L12" s="66">
        <f>'Baseline Consumption'!L12</f>
        <v>2.2825849259334761E-2</v>
      </c>
      <c r="M12" s="66">
        <f>'Baseline Consumption'!M12</f>
        <v>1.2050038567881257E-2</v>
      </c>
      <c r="N12" s="66">
        <f>'Baseline Consumption'!N12</f>
        <v>1.1588094149661709E-2</v>
      </c>
      <c r="O12" s="66">
        <f>'Baseline Consumption'!O12</f>
        <v>1.3398416428017661E-2</v>
      </c>
      <c r="P12" s="66">
        <f>'Baseline Consumption'!P12</f>
        <v>1.2985638050515865E-2</v>
      </c>
      <c r="Q12" s="66">
        <f>'Baseline Consumption'!Q12</f>
        <v>1.3352816594056155E-2</v>
      </c>
      <c r="R12" s="66">
        <f>'Baseline Consumption'!R12</f>
        <v>1.3677431797412881E-2</v>
      </c>
      <c r="S12" s="66">
        <f>'Baseline Consumption'!S12</f>
        <v>1.3766788952679083E-2</v>
      </c>
      <c r="T12" s="66">
        <f>'Baseline Consumption'!T12</f>
        <v>1.3635867038036077E-2</v>
      </c>
      <c r="U12" s="66">
        <f>'Baseline Consumption'!U12</f>
        <v>1.3460214044222962E-2</v>
      </c>
      <c r="V12" s="66">
        <f>'Baseline Consumption'!V12</f>
        <v>1.3274947829166599E-2</v>
      </c>
      <c r="W12" s="66">
        <f>'Baseline Consumption'!W12</f>
        <v>1.307571247786145E-2</v>
      </c>
      <c r="X12" s="498">
        <f>'Baseline Consumption'!X12</f>
        <v>1.2888941982639346E-2</v>
      </c>
      <c r="Y12" s="66">
        <f>'Baseline Consumption'!Y12</f>
        <v>1.2717684300974572E-2</v>
      </c>
      <c r="Z12" s="66">
        <f>'Baseline Consumption'!Z12</f>
        <v>1.2569816400172597E-2</v>
      </c>
      <c r="AA12" s="66">
        <f>'Baseline Consumption'!AA12</f>
        <v>1.2400512102429337E-2</v>
      </c>
      <c r="AB12" s="66">
        <f>'Baseline Consumption'!AB12</f>
        <v>1.2247181164061986E-2</v>
      </c>
      <c r="AC12" s="66">
        <f>'Baseline Consumption'!AC12</f>
        <v>1.2092317400129742E-2</v>
      </c>
      <c r="AD12" s="66">
        <f>'Baseline Consumption'!AD12</f>
        <v>1.1946230288600018E-2</v>
      </c>
      <c r="AE12" s="66">
        <f>'Baseline Consumption'!AE12</f>
        <v>1.1806716533160698E-2</v>
      </c>
      <c r="AF12" s="66">
        <f>'Baseline Consumption'!AF12</f>
        <v>1.1672214410881915E-2</v>
      </c>
      <c r="AG12" s="66">
        <f>'Baseline Consumption'!AG12</f>
        <v>1.1534635276977704E-2</v>
      </c>
      <c r="AH12" s="66">
        <f>'Baseline Consumption'!AH12</f>
        <v>1.1444218647104673E-2</v>
      </c>
      <c r="AI12" s="66">
        <f>'Baseline Consumption'!AI12</f>
        <v>1.1351743534269272E-2</v>
      </c>
      <c r="AJ12" s="66">
        <f>'Baseline Consumption'!AJ12</f>
        <v>1.1265936471791809E-2</v>
      </c>
      <c r="AK12" s="66">
        <f>'Baseline Consumption'!AK12</f>
        <v>1.1179680800631753E-2</v>
      </c>
    </row>
    <row r="13" spans="1:37">
      <c r="A13" s="72" t="s">
        <v>390</v>
      </c>
      <c r="B13" s="60"/>
      <c r="C13" s="60"/>
      <c r="D13" s="60"/>
      <c r="E13" s="60"/>
      <c r="F13" s="60"/>
      <c r="G13" s="60"/>
      <c r="H13" s="60"/>
      <c r="I13" s="60"/>
      <c r="J13" s="66"/>
      <c r="K13" s="66">
        <f>'Baseline Consumption'!K13*ramps!L64*(1+'Price Change'!K11*ramps!L56)</f>
        <v>0.11726217328211695</v>
      </c>
      <c r="L13" s="66">
        <f>'Baseline Consumption'!L13*ramps!M64*(1+'Price Change'!L11*ramps!M56)</f>
        <v>0.11633632095603927</v>
      </c>
      <c r="M13" s="66">
        <f>'Baseline Consumption'!M13*ramps!N64*(1+'Price Change'!M11*ramps!N56)</f>
        <v>0.11699780619243867</v>
      </c>
      <c r="N13" s="66">
        <f>'Baseline Consumption'!N13*ramps!O64*(1+'Price Change'!N11*ramps!O56)</f>
        <v>0.12149176269739652</v>
      </c>
      <c r="O13" s="66">
        <f>'Baseline Consumption'!O13*ramps!P64*(1+'Price Change'!O11*ramps!P56)</f>
        <v>0.12028793512590696</v>
      </c>
      <c r="P13" s="66">
        <f>'Baseline Consumption'!P13*ramps!Q64*(1+'Price Change'!P11*ramps!Q56)</f>
        <v>0.11862723687580025</v>
      </c>
      <c r="Q13" s="66">
        <f>'Baseline Consumption'!Q13*ramps!R64*(1+'Price Change'!Q11*ramps!R56)</f>
        <v>0.11675660759938691</v>
      </c>
      <c r="R13" s="66">
        <f>'Baseline Consumption'!R13*ramps!S64*(1+'Price Change'!R11*ramps!S56)</f>
        <v>0.11503786226778444</v>
      </c>
      <c r="S13" s="66">
        <f>'Baseline Consumption'!S13*ramps!T64*(1+'Price Change'!S11*ramps!T56)</f>
        <v>0.11327807478879583</v>
      </c>
      <c r="T13" s="66">
        <f>'Baseline Consumption'!T13*ramps!U64*(1+'Price Change'!T11*ramps!U56)</f>
        <v>0.11152259511653295</v>
      </c>
      <c r="U13" s="66">
        <f>'Baseline Consumption'!U13*ramps!V64*(1+'Price Change'!U11*ramps!V56)</f>
        <v>0.10964553779915258</v>
      </c>
      <c r="V13" s="66">
        <f>'Baseline Consumption'!V13*ramps!W64*(1+'Price Change'!V11*ramps!W56)</f>
        <v>0.10779364467273185</v>
      </c>
      <c r="W13" s="66">
        <f>'Baseline Consumption'!W13*ramps!X64*(1+'Price Change'!W11*ramps!X56)</f>
        <v>0.1060686495760861</v>
      </c>
      <c r="X13" s="498">
        <f>'Baseline Consumption'!X13*ramps!Y64*(1+'Price Change'!X11*ramps!Y56)</f>
        <v>0.10411481803316236</v>
      </c>
      <c r="Y13" s="66">
        <f>'Baseline Consumption'!Y13*ramps!Z64*(1+'Price Change'!Y11*ramps!Z56)</f>
        <v>0.10219448506555751</v>
      </c>
      <c r="Z13" s="66">
        <f>'Baseline Consumption'!Z13*ramps!AA64*(1+'Price Change'!Z11*ramps!AA56)</f>
        <v>0.10099760676420665</v>
      </c>
      <c r="AA13" s="66">
        <f>'Baseline Consumption'!AA13*ramps!AB64*(1+'Price Change'!AA11*ramps!AB56)</f>
        <v>0.1015605360648741</v>
      </c>
      <c r="AB13" s="66">
        <f>'Baseline Consumption'!AB13*ramps!AC64*(1+'Price Change'!AB11*ramps!AC56)</f>
        <v>0.10167605292360224</v>
      </c>
      <c r="AC13" s="66">
        <f>'Baseline Consumption'!AC13*ramps!AD64*(1+'Price Change'!AC11*ramps!AD56)</f>
        <v>0.10186643790012807</v>
      </c>
      <c r="AD13" s="66">
        <f>'Baseline Consumption'!AD13*ramps!AE64*(1+'Price Change'!AD11*ramps!AE56)</f>
        <v>0.10217900469483568</v>
      </c>
      <c r="AE13" s="66">
        <f>'Baseline Consumption'!AE13*ramps!AF64*(1+'Price Change'!AE11*ramps!AF56)</f>
        <v>0.10262277080665815</v>
      </c>
      <c r="AF13" s="66">
        <f>'Baseline Consumption'!AF13*ramps!AG64*(1+'Price Change'!AF11*ramps!AG56)</f>
        <v>0.1031030712761417</v>
      </c>
      <c r="AG13" s="66">
        <f>'Baseline Consumption'!AG13*ramps!AH64*(1+'Price Change'!AG11*ramps!AH56)</f>
        <v>0.10337257840375587</v>
      </c>
      <c r="AH13" s="66">
        <f>'Baseline Consumption'!AH13*ramps!AI64*(1+'Price Change'!AH11*ramps!AI56)</f>
        <v>0.10373361536491674</v>
      </c>
      <c r="AI13" s="66">
        <f>'Baseline Consumption'!AI13*ramps!AJ64*(1+'Price Change'!AI11*ramps!AJ56)</f>
        <v>0.1040946523260777</v>
      </c>
      <c r="AJ13" s="66">
        <f>'Baseline Consumption'!AJ13*ramps!AK64*(1+'Price Change'!AJ11*ramps!AK56)</f>
        <v>0.10445568928723856</v>
      </c>
      <c r="AK13" s="66">
        <f>'Baseline Consumption'!AK13*ramps!AL64*(1+'Price Change'!AK11*ramps!AL56)</f>
        <v>0.10481672624839952</v>
      </c>
    </row>
    <row r="14" spans="1:37" s="5" customFormat="1" ht="15">
      <c r="A14" s="70" t="s">
        <v>28</v>
      </c>
      <c r="B14" s="60"/>
      <c r="C14" s="60"/>
      <c r="D14" s="60"/>
      <c r="E14" s="60"/>
      <c r="F14" s="60"/>
      <c r="G14" s="60"/>
      <c r="H14" s="60"/>
      <c r="I14" s="60"/>
      <c r="J14" s="66"/>
      <c r="K14" s="85">
        <f>SUM(K8:K12,K13)</f>
        <v>0.22416091251479148</v>
      </c>
      <c r="L14" s="85">
        <f t="shared" ref="L14:AK14" si="0">SUM(L8:L12,L13)</f>
        <v>0.22270538267484336</v>
      </c>
      <c r="M14" s="85">
        <f t="shared" si="0"/>
        <v>0.2173628157078531</v>
      </c>
      <c r="N14" s="85">
        <f t="shared" si="0"/>
        <v>0.22365444747859964</v>
      </c>
      <c r="O14" s="85">
        <f t="shared" si="0"/>
        <v>0.23077088852655953</v>
      </c>
      <c r="P14" s="85">
        <f t="shared" si="0"/>
        <v>0.22619846295549445</v>
      </c>
      <c r="Q14" s="85">
        <f t="shared" si="0"/>
        <v>0.22437616553119133</v>
      </c>
      <c r="R14" s="85">
        <f t="shared" si="0"/>
        <v>0.22266435755084818</v>
      </c>
      <c r="S14" s="85">
        <f t="shared" si="0"/>
        <v>0.22081527684784158</v>
      </c>
      <c r="T14" s="85">
        <f t="shared" si="0"/>
        <v>0.21874289186756904</v>
      </c>
      <c r="U14" s="85">
        <f t="shared" si="0"/>
        <v>0.21655501643552941</v>
      </c>
      <c r="V14" s="85">
        <f t="shared" si="0"/>
        <v>0.21429261632887792</v>
      </c>
      <c r="W14" s="85">
        <f t="shared" si="0"/>
        <v>0.21222595041879538</v>
      </c>
      <c r="X14" s="499">
        <f t="shared" si="0"/>
        <v>0.2099711805190374</v>
      </c>
      <c r="Y14" s="85">
        <f t="shared" si="0"/>
        <v>0.20776116442832782</v>
      </c>
      <c r="Z14" s="85">
        <f t="shared" si="0"/>
        <v>0.20625823083085082</v>
      </c>
      <c r="AA14" s="85">
        <f t="shared" si="0"/>
        <v>0.2085617026074085</v>
      </c>
      <c r="AB14" s="85">
        <f t="shared" si="0"/>
        <v>0.20860283231609694</v>
      </c>
      <c r="AC14" s="85">
        <f t="shared" si="0"/>
        <v>0.20866915586414092</v>
      </c>
      <c r="AD14" s="85">
        <f t="shared" si="0"/>
        <v>0.20884744776131137</v>
      </c>
      <c r="AE14" s="85">
        <f t="shared" si="0"/>
        <v>0.20915184956894556</v>
      </c>
      <c r="AF14" s="85">
        <f t="shared" si="0"/>
        <v>0.20952061486797754</v>
      </c>
      <c r="AG14" s="85">
        <f t="shared" si="0"/>
        <v>0.20961263120977458</v>
      </c>
      <c r="AH14" s="85">
        <f t="shared" si="0"/>
        <v>0.20983461923031732</v>
      </c>
      <c r="AI14" s="85">
        <f t="shared" si="0"/>
        <v>0.2100585825644154</v>
      </c>
      <c r="AJ14" s="85">
        <f t="shared" si="0"/>
        <v>0.21033376153870778</v>
      </c>
      <c r="AK14" s="85">
        <f t="shared" si="0"/>
        <v>0.21066040832107691</v>
      </c>
    </row>
    <row r="15" spans="1:37">
      <c r="A15" s="71"/>
      <c r="B15" s="60"/>
      <c r="C15" s="60"/>
      <c r="D15" s="60"/>
      <c r="E15" s="60"/>
      <c r="F15" s="60"/>
      <c r="G15" s="60"/>
      <c r="H15" s="60"/>
      <c r="I15" s="60"/>
      <c r="J15" s="66"/>
      <c r="K15" s="66"/>
      <c r="L15" s="66"/>
      <c r="M15" s="66"/>
      <c r="N15" s="66"/>
      <c r="O15" s="66"/>
      <c r="P15" s="66"/>
      <c r="Q15" s="66"/>
      <c r="R15" s="66"/>
      <c r="S15" s="66"/>
      <c r="T15" s="66"/>
      <c r="U15" s="66"/>
      <c r="V15" s="66"/>
      <c r="W15" s="66"/>
      <c r="X15" s="498"/>
      <c r="Y15" s="66"/>
      <c r="Z15" s="66"/>
      <c r="AA15" s="66"/>
      <c r="AB15" s="66"/>
      <c r="AC15" s="66"/>
      <c r="AD15" s="66"/>
      <c r="AE15" s="66"/>
      <c r="AF15" s="66"/>
      <c r="AG15" s="66"/>
      <c r="AH15" s="66"/>
      <c r="AI15" s="66"/>
      <c r="AJ15" s="66"/>
      <c r="AK15" s="66"/>
    </row>
    <row r="16" spans="1:37">
      <c r="A16" s="70" t="s">
        <v>29</v>
      </c>
      <c r="B16" s="60"/>
      <c r="C16" s="60"/>
      <c r="D16" s="60"/>
      <c r="E16" s="60"/>
      <c r="F16" s="60"/>
      <c r="G16" s="60"/>
      <c r="H16" s="60"/>
      <c r="I16" s="60"/>
      <c r="J16" s="66"/>
      <c r="K16" s="66"/>
      <c r="L16" s="66"/>
      <c r="M16" s="66"/>
      <c r="N16" s="66"/>
      <c r="O16" s="66"/>
      <c r="P16" s="66"/>
      <c r="Q16" s="66"/>
      <c r="R16" s="66"/>
      <c r="S16" s="66"/>
      <c r="T16" s="66"/>
      <c r="U16" s="66"/>
      <c r="V16" s="66"/>
      <c r="W16" s="66"/>
      <c r="X16" s="498"/>
      <c r="Y16" s="66"/>
      <c r="Z16" s="66"/>
      <c r="AA16" s="66"/>
      <c r="AB16" s="66"/>
      <c r="AC16" s="66"/>
      <c r="AD16" s="66"/>
      <c r="AE16" s="66"/>
      <c r="AF16" s="66"/>
      <c r="AG16" s="66"/>
      <c r="AH16" s="66"/>
      <c r="AI16" s="66"/>
      <c r="AJ16" s="66"/>
      <c r="AK16" s="66"/>
    </row>
    <row r="17" spans="1:37">
      <c r="A17" s="70" t="s">
        <v>24</v>
      </c>
      <c r="B17" s="60"/>
      <c r="C17" s="60"/>
      <c r="D17" s="60"/>
      <c r="E17" s="60"/>
      <c r="F17" s="60"/>
      <c r="G17" s="60"/>
      <c r="H17" s="60"/>
      <c r="I17" s="60"/>
      <c r="J17" s="66"/>
      <c r="K17" s="66">
        <f>'Baseline Consumption'!K17*(1+'Price Change'!K14*ramps!L51)</f>
        <v>3.140841884396393E-3</v>
      </c>
      <c r="L17" s="66">
        <f>'Baseline Consumption'!L17*(1+'Price Change'!L14*ramps!M51)</f>
        <v>3.0670330921667367E-3</v>
      </c>
      <c r="M17" s="66">
        <f>'Baseline Consumption'!M17*(1+'Price Change'!M14*ramps!N51)</f>
        <v>3.1091878810090394E-3</v>
      </c>
      <c r="N17" s="66">
        <f>'Baseline Consumption'!N17*(1+'Price Change'!N14*ramps!O51)</f>
        <v>3.2197627327273286E-3</v>
      </c>
      <c r="O17" s="66">
        <f>'Baseline Consumption'!O17*(1+'Price Change'!O14*ramps!P51)</f>
        <v>3.1557086388614357E-3</v>
      </c>
      <c r="P17" s="66">
        <f>'Baseline Consumption'!P17*(1+'Price Change'!P14*ramps!Q51)</f>
        <v>3.3451249856314789E-3</v>
      </c>
      <c r="Q17" s="66">
        <f>'Baseline Consumption'!Q17*(1+'Price Change'!Q14*ramps!R51)</f>
        <v>3.465499689434715E-3</v>
      </c>
      <c r="R17" s="66">
        <f>'Baseline Consumption'!R17*(1+'Price Change'!R14*ramps!S51)</f>
        <v>3.6324175619025455E-3</v>
      </c>
      <c r="S17" s="66">
        <f>'Baseline Consumption'!S17*(1+'Price Change'!S14*ramps!T51)</f>
        <v>3.8011318161948323E-3</v>
      </c>
      <c r="T17" s="66">
        <f>'Baseline Consumption'!T17*(1+'Price Change'!T14*ramps!U51)</f>
        <v>3.843059854430396E-3</v>
      </c>
      <c r="U17" s="66">
        <f>'Baseline Consumption'!U17*(1+'Price Change'!U14*ramps!V51)</f>
        <v>3.8829979765077714E-3</v>
      </c>
      <c r="V17" s="66">
        <f>'Baseline Consumption'!V17*(1+'Price Change'!V14*ramps!W51)</f>
        <v>3.9367070364815411E-3</v>
      </c>
      <c r="W17" s="66">
        <f>'Baseline Consumption'!W17*(1+'Price Change'!W14*ramps!X51)</f>
        <v>3.990951291134413E-3</v>
      </c>
      <c r="X17" s="498">
        <f>'Baseline Consumption'!X17*(1+'Price Change'!X14*ramps!Y51)</f>
        <v>4.0473494333819991E-3</v>
      </c>
      <c r="Y17" s="66">
        <f>'Baseline Consumption'!Y17*(1+'Price Change'!Y14*ramps!Z51)</f>
        <v>4.099909696985659E-3</v>
      </c>
      <c r="Z17" s="66">
        <f>'Baseline Consumption'!Z17*(1+'Price Change'!Z14*ramps!AA51)</f>
        <v>4.1378274204532774E-3</v>
      </c>
      <c r="AA17" s="66">
        <f>'Baseline Consumption'!AA17*(1+'Price Change'!AA14*ramps!AB51)</f>
        <v>4.2602697207904808E-3</v>
      </c>
      <c r="AB17" s="66">
        <f>'Baseline Consumption'!AB17*(1+'Price Change'!AB14*ramps!AC51)</f>
        <v>4.3121399157615356E-3</v>
      </c>
      <c r="AC17" s="66">
        <f>'Baseline Consumption'!AC17*(1+'Price Change'!AC14*ramps!AD51)</f>
        <v>4.3581033454497915E-3</v>
      </c>
      <c r="AD17" s="66">
        <f>'Baseline Consumption'!AD17*(1+'Price Change'!AD14*ramps!AE51)</f>
        <v>4.4065806281197023E-3</v>
      </c>
      <c r="AE17" s="66">
        <f>'Baseline Consumption'!AE17*(1+'Price Change'!AE14*ramps!AF51)</f>
        <v>4.4595233404313948E-3</v>
      </c>
      <c r="AF17" s="66">
        <f>'Baseline Consumption'!AF17*(1+'Price Change'!AF14*ramps!AG51)</f>
        <v>4.5070408764107135E-3</v>
      </c>
      <c r="AG17" s="66">
        <f>'Baseline Consumption'!AG17*(1+'Price Change'!AG14*ramps!AH51)</f>
        <v>4.5526162620606568E-3</v>
      </c>
      <c r="AH17" s="66">
        <f>'Baseline Consumption'!AH17*(1+'Price Change'!AH14*ramps!AI51)</f>
        <v>4.6107330525162298E-3</v>
      </c>
      <c r="AI17" s="66">
        <f>'Baseline Consumption'!AI17*(1+'Price Change'!AI14*ramps!AJ51)</f>
        <v>4.6443225234889113E-3</v>
      </c>
      <c r="AJ17" s="66">
        <f>'Baseline Consumption'!AJ17*(1+'Price Change'!AJ14*ramps!AK51)</f>
        <v>4.6972481940391747E-3</v>
      </c>
      <c r="AK17" s="66">
        <f>'Baseline Consumption'!AK17*(1+'Price Change'!AK14*ramps!AL51)</f>
        <v>4.7533054724300796E-3</v>
      </c>
    </row>
    <row r="18" spans="1:37">
      <c r="A18" s="70" t="s">
        <v>30</v>
      </c>
      <c r="B18" s="60"/>
      <c r="C18" s="60"/>
      <c r="D18" s="60"/>
      <c r="E18" s="60"/>
      <c r="F18" s="60"/>
      <c r="G18" s="60"/>
      <c r="H18" s="60"/>
      <c r="I18" s="60"/>
      <c r="J18" s="66"/>
      <c r="K18" s="66">
        <f>'Baseline Consumption'!K18</f>
        <v>3.8956470598119691E-4</v>
      </c>
      <c r="L18" s="66">
        <f>'Baseline Consumption'!L18</f>
        <v>5.4660376565873812E-4</v>
      </c>
      <c r="M18" s="66">
        <f>'Baseline Consumption'!M18</f>
        <v>6.7621632881525217E-3</v>
      </c>
      <c r="N18" s="66">
        <f>'Baseline Consumption'!N18</f>
        <v>6.9345121636364034E-3</v>
      </c>
      <c r="O18" s="66">
        <f>'Baseline Consumption'!O18</f>
        <v>7.6695612100626514E-3</v>
      </c>
      <c r="P18" s="66">
        <f>'Baseline Consumption'!P18</f>
        <v>7.160923971750251E-3</v>
      </c>
      <c r="Q18" s="66">
        <f>'Baseline Consumption'!Q18</f>
        <v>6.3209605563927414E-3</v>
      </c>
      <c r="R18" s="66">
        <f>'Baseline Consumption'!R18</f>
        <v>5.7364904550920434E-3</v>
      </c>
      <c r="S18" s="66">
        <f>'Baseline Consumption'!S18</f>
        <v>5.2566773536107617E-3</v>
      </c>
      <c r="T18" s="66">
        <f>'Baseline Consumption'!T18</f>
        <v>5.2167987474042105E-3</v>
      </c>
      <c r="U18" s="66">
        <f>'Baseline Consumption'!U18</f>
        <v>5.1674263155605544E-3</v>
      </c>
      <c r="V18" s="66">
        <f>'Baseline Consumption'!V18</f>
        <v>5.1960054990050327E-3</v>
      </c>
      <c r="W18" s="66">
        <f>'Baseline Consumption'!W18</f>
        <v>5.224187430199834E-3</v>
      </c>
      <c r="X18" s="498">
        <f>'Baseline Consumption'!X18</f>
        <v>5.2353134955039973E-3</v>
      </c>
      <c r="Y18" s="66">
        <f>'Baseline Consumption'!Y18</f>
        <v>5.2400173289278663E-3</v>
      </c>
      <c r="Z18" s="66">
        <f>'Baseline Consumption'!Z18</f>
        <v>5.2329302649177312E-3</v>
      </c>
      <c r="AA18" s="66">
        <f>'Baseline Consumption'!AA18</f>
        <v>5.252062956724363E-3</v>
      </c>
      <c r="AB18" s="66">
        <f>'Baseline Consumption'!AB18</f>
        <v>5.2496697130988493E-3</v>
      </c>
      <c r="AC18" s="66">
        <f>'Baseline Consumption'!AC18</f>
        <v>5.2653033700193492E-3</v>
      </c>
      <c r="AD18" s="66">
        <f>'Baseline Consumption'!AD18</f>
        <v>5.2798164259887361E-3</v>
      </c>
      <c r="AE18" s="66">
        <f>'Baseline Consumption'!AE18</f>
        <v>5.2855812657718595E-3</v>
      </c>
      <c r="AF18" s="66">
        <f>'Baseline Consumption'!AF18</f>
        <v>5.3026376769543205E-3</v>
      </c>
      <c r="AG18" s="66">
        <f>'Baseline Consumption'!AG18</f>
        <v>5.3231105169795536E-3</v>
      </c>
      <c r="AH18" s="66">
        <f>'Baseline Consumption'!AH18</f>
        <v>5.3123598026560918E-3</v>
      </c>
      <c r="AI18" s="66">
        <f>'Baseline Consumption'!AI18</f>
        <v>5.3299748888119385E-3</v>
      </c>
      <c r="AJ18" s="66">
        <f>'Baseline Consumption'!AJ18</f>
        <v>5.3415348336232618E-3</v>
      </c>
      <c r="AK18" s="66">
        <f>'Baseline Consumption'!AK18</f>
        <v>5.3507361259885313E-3</v>
      </c>
    </row>
    <row r="19" spans="1:37">
      <c r="A19" s="70" t="s">
        <v>56</v>
      </c>
      <c r="B19" s="60"/>
      <c r="C19" s="60"/>
      <c r="D19" s="60"/>
      <c r="E19" s="60"/>
      <c r="F19" s="60"/>
      <c r="G19" s="60"/>
      <c r="H19" s="60"/>
      <c r="I19" s="60"/>
      <c r="J19" s="66"/>
      <c r="K19" s="66">
        <f>'Baseline Consumption'!K19</f>
        <v>2.7408497044403875E-5</v>
      </c>
      <c r="L19" s="66">
        <f>'Baseline Consumption'!L19</f>
        <v>1.4259826164993908E-5</v>
      </c>
      <c r="M19" s="66">
        <f>'Baseline Consumption'!M19</f>
        <v>1.075781593719602E-5</v>
      </c>
      <c r="N19" s="66">
        <f>'Baseline Consumption'!N19</f>
        <v>1.6577597396817836E-5</v>
      </c>
      <c r="O19" s="66">
        <f>'Baseline Consumption'!O19</f>
        <v>2.6538112887644378E-5</v>
      </c>
      <c r="P19" s="66">
        <f>'Baseline Consumption'!P19</f>
        <v>2.5772322995382739E-5</v>
      </c>
      <c r="Q19" s="66">
        <f>'Baseline Consumption'!Q19</f>
        <v>2.2331475837557802E-5</v>
      </c>
      <c r="R19" s="66">
        <f>'Baseline Consumption'!R19</f>
        <v>2.0982831106608146E-5</v>
      </c>
      <c r="S19" s="66">
        <f>'Baseline Consumption'!S19</f>
        <v>2.0103337269761124E-5</v>
      </c>
      <c r="T19" s="66">
        <f>'Baseline Consumption'!T19</f>
        <v>2.1361286204252285E-5</v>
      </c>
      <c r="U19" s="66">
        <f>'Baseline Consumption'!U19</f>
        <v>2.2434159380757245E-5</v>
      </c>
      <c r="V19" s="66">
        <f>'Baseline Consumption'!V19</f>
        <v>2.3760544163983476E-5</v>
      </c>
      <c r="W19" s="66">
        <f>'Baseline Consumption'!W19</f>
        <v>2.5134862685092752E-5</v>
      </c>
      <c r="X19" s="498">
        <f>'Baseline Consumption'!X19</f>
        <v>2.6402674358124052E-5</v>
      </c>
      <c r="Y19" s="66">
        <f>'Baseline Consumption'!Y19</f>
        <v>2.7661414333277074E-5</v>
      </c>
      <c r="Z19" s="66">
        <f>'Baseline Consumption'!Z19</f>
        <v>2.87598204897423E-5</v>
      </c>
      <c r="AA19" s="66">
        <f>'Baseline Consumption'!AA19</f>
        <v>3.0038795553071526E-5</v>
      </c>
      <c r="AB19" s="66">
        <f>'Baseline Consumption'!AB19</f>
        <v>3.1204578255360704E-5</v>
      </c>
      <c r="AC19" s="66">
        <f>'Baseline Consumption'!AC19</f>
        <v>3.2454813488182095E-5</v>
      </c>
      <c r="AD19" s="66">
        <f>'Baseline Consumption'!AD19</f>
        <v>3.3688114517329193E-5</v>
      </c>
      <c r="AE19" s="66">
        <f>'Baseline Consumption'!AE19</f>
        <v>3.4911402666187094E-5</v>
      </c>
      <c r="AF19" s="66">
        <f>'Baseline Consumption'!AF19</f>
        <v>3.6204586056441448E-5</v>
      </c>
      <c r="AG19" s="66">
        <f>'Baseline Consumption'!AG19</f>
        <v>3.7472238347140896E-5</v>
      </c>
      <c r="AH19" s="66">
        <f>'Baseline Consumption'!AH19</f>
        <v>3.833954409619653E-5</v>
      </c>
      <c r="AI19" s="66">
        <f>'Baseline Consumption'!AI19</f>
        <v>3.9571927621364119E-5</v>
      </c>
      <c r="AJ19" s="66">
        <f>'Baseline Consumption'!AJ19</f>
        <v>4.0729341529165316E-5</v>
      </c>
      <c r="AK19" s="66">
        <f>'Baseline Consumption'!AK19</f>
        <v>4.1910390822653459E-5</v>
      </c>
    </row>
    <row r="20" spans="1:37">
      <c r="A20" s="70" t="s">
        <v>25</v>
      </c>
      <c r="B20" s="60"/>
      <c r="C20" s="60"/>
      <c r="D20" s="60"/>
      <c r="E20" s="60"/>
      <c r="F20" s="60"/>
      <c r="G20" s="60"/>
      <c r="H20" s="60"/>
      <c r="I20" s="60"/>
      <c r="J20" s="66"/>
      <c r="K20" s="66">
        <f>'Baseline Consumption'!K20*(1+'Price Change'!K15*ramps!L51)</f>
        <v>6.7119340000000001E-3</v>
      </c>
      <c r="L20" s="66">
        <f>'Baseline Consumption'!L20*(1+'Price Change'!L15*ramps!M51)</f>
        <v>6.6919761999999997E-3</v>
      </c>
      <c r="M20" s="66">
        <f>'Baseline Consumption'!M20*(1+'Price Change'!M15*ramps!N51)</f>
        <v>7.2311261095989393E-3</v>
      </c>
      <c r="N20" s="66">
        <f>'Baseline Consumption'!N20*(1+'Price Change'!N15*ramps!O51)</f>
        <v>7.6295562555537015E-3</v>
      </c>
      <c r="O20" s="66">
        <f>'Baseline Consumption'!O20*(1+'Price Change'!O15*ramps!P51)</f>
        <v>8.329312317719802E-3</v>
      </c>
      <c r="P20" s="66">
        <f>'Baseline Consumption'!P20*(1+'Price Change'!P15*ramps!Q51)</f>
        <v>8.1139666884162357E-3</v>
      </c>
      <c r="Q20" s="66">
        <f>'Baseline Consumption'!Q20*(1+'Price Change'!Q15*ramps!R51)</f>
        <v>7.9663206138165712E-3</v>
      </c>
      <c r="R20" s="66">
        <f>'Baseline Consumption'!R20*(1+'Price Change'!R15*ramps!S51)</f>
        <v>7.8294997126289335E-3</v>
      </c>
      <c r="S20" s="66">
        <f>'Baseline Consumption'!S20*(1+'Price Change'!S15*ramps!T51)</f>
        <v>7.7615207666930719E-3</v>
      </c>
      <c r="T20" s="66">
        <f>'Baseline Consumption'!T20*(1+'Price Change'!T15*ramps!U51)</f>
        <v>7.7021351449351573E-3</v>
      </c>
      <c r="U20" s="66">
        <f>'Baseline Consumption'!U20*(1+'Price Change'!U15*ramps!V51)</f>
        <v>7.6446931159787233E-3</v>
      </c>
      <c r="V20" s="66">
        <f>'Baseline Consumption'!V20*(1+'Price Change'!V15*ramps!W51)</f>
        <v>7.5898699263303405E-3</v>
      </c>
      <c r="W20" s="66">
        <f>'Baseline Consumption'!W20*(1+'Price Change'!W15*ramps!X51)</f>
        <v>7.5470607640907824E-3</v>
      </c>
      <c r="X20" s="498">
        <f>'Baseline Consumption'!X20*(1+'Price Change'!X15*ramps!Y51)</f>
        <v>7.504788194794095E-3</v>
      </c>
      <c r="Y20" s="66">
        <f>'Baseline Consumption'!Y20*(1+'Price Change'!Y15*ramps!Z51)</f>
        <v>7.459626995674172E-3</v>
      </c>
      <c r="Z20" s="66">
        <f>'Baseline Consumption'!Z20*(1+'Price Change'!Z15*ramps!AA51)</f>
        <v>7.4074370529572699E-3</v>
      </c>
      <c r="AA20" s="66">
        <f>'Baseline Consumption'!AA20*(1+'Price Change'!AA15*ramps!AB51)</f>
        <v>7.4680842467479058E-3</v>
      </c>
      <c r="AB20" s="66">
        <f>'Baseline Consumption'!AB20*(1+'Price Change'!AB15*ramps!AC51)</f>
        <v>7.4335780600116776E-3</v>
      </c>
      <c r="AC20" s="66">
        <f>'Baseline Consumption'!AC20*(1+'Price Change'!AC15*ramps!AD51)</f>
        <v>7.4025446898702872E-3</v>
      </c>
      <c r="AD20" s="66">
        <f>'Baseline Consumption'!AD20*(1+'Price Change'!AD15*ramps!AE51)</f>
        <v>7.3736567323889881E-3</v>
      </c>
      <c r="AE20" s="66">
        <f>'Baseline Consumption'!AE20*(1+'Price Change'!AE15*ramps!AF51)</f>
        <v>7.3438355695992124E-3</v>
      </c>
      <c r="AF20" s="66">
        <f>'Baseline Consumption'!AF20*(1+'Price Change'!AF15*ramps!AG51)</f>
        <v>7.3167153478780837E-3</v>
      </c>
      <c r="AG20" s="66">
        <f>'Baseline Consumption'!AG20*(1+'Price Change'!AG15*ramps!AH51)</f>
        <v>7.2944268451250929E-3</v>
      </c>
      <c r="AH20" s="66">
        <f>'Baseline Consumption'!AH20*(1+'Price Change'!AH15*ramps!AI51)</f>
        <v>7.2613769440807554E-3</v>
      </c>
      <c r="AI20" s="66">
        <f>'Baseline Consumption'!AI20*(1+'Price Change'!AI15*ramps!AJ51)</f>
        <v>7.2336988348349462E-3</v>
      </c>
      <c r="AJ20" s="66">
        <f>'Baseline Consumption'!AJ20*(1+'Price Change'!AJ15*ramps!AK51)</f>
        <v>7.2083475145929173E-3</v>
      </c>
      <c r="AK20" s="66">
        <f>'Baseline Consumption'!AK20*(1+'Price Change'!AK15*ramps!AL51)</f>
        <v>7.1868696027400517E-3</v>
      </c>
    </row>
    <row r="21" spans="1:37">
      <c r="A21" s="70" t="s">
        <v>31</v>
      </c>
      <c r="B21" s="60"/>
      <c r="C21" s="60"/>
      <c r="D21" s="60"/>
      <c r="E21" s="60"/>
      <c r="F21" s="60"/>
      <c r="G21" s="60"/>
      <c r="H21" s="60"/>
      <c r="I21" s="60"/>
      <c r="J21" s="66"/>
      <c r="K21" s="66">
        <f>'Baseline Consumption'!K21*(1+'Price Change'!K16*ramps!L51)</f>
        <v>1.0518554910960657E-5</v>
      </c>
      <c r="L21" s="66">
        <f>'Baseline Consumption'!L21*(1+'Price Change'!L16*ramps!M51)</f>
        <v>2.1393671005343709E-6</v>
      </c>
      <c r="M21" s="66">
        <f>'Baseline Consumption'!M21*(1+'Price Change'!M16*ramps!N51)</f>
        <v>0</v>
      </c>
      <c r="N21" s="66">
        <f>'Baseline Consumption'!N21*(1+'Price Change'!N16*ramps!O51)</f>
        <v>0</v>
      </c>
      <c r="O21" s="66">
        <f>'Baseline Consumption'!O21*(1+'Price Change'!O16*ramps!P51)</f>
        <v>0</v>
      </c>
      <c r="P21" s="66">
        <f>'Baseline Consumption'!P21*(1+'Price Change'!P16*ramps!Q51)</f>
        <v>0</v>
      </c>
      <c r="Q21" s="66">
        <f>'Baseline Consumption'!Q21*(1+'Price Change'!Q16*ramps!R51)</f>
        <v>0</v>
      </c>
      <c r="R21" s="66">
        <f>'Baseline Consumption'!R21*(1+'Price Change'!R16*ramps!S51)</f>
        <v>0</v>
      </c>
      <c r="S21" s="66">
        <f>'Baseline Consumption'!S21*(1+'Price Change'!S16*ramps!T51)</f>
        <v>0</v>
      </c>
      <c r="T21" s="66">
        <f>'Baseline Consumption'!T21*(1+'Price Change'!T16*ramps!U51)</f>
        <v>0</v>
      </c>
      <c r="U21" s="66">
        <f>'Baseline Consumption'!U21*(1+'Price Change'!U16*ramps!V51)</f>
        <v>0</v>
      </c>
      <c r="V21" s="66">
        <f>'Baseline Consumption'!V21*(1+'Price Change'!V16*ramps!W51)</f>
        <v>0</v>
      </c>
      <c r="W21" s="66">
        <f>'Baseline Consumption'!W21*(1+'Price Change'!W16*ramps!X51)</f>
        <v>0</v>
      </c>
      <c r="X21" s="498">
        <f>'Baseline Consumption'!X21*(1+'Price Change'!X16*ramps!Y51)</f>
        <v>0</v>
      </c>
      <c r="Y21" s="66">
        <f>'Baseline Consumption'!Y21*(1+'Price Change'!Y16*ramps!Z51)</f>
        <v>0</v>
      </c>
      <c r="Z21" s="66">
        <f>'Baseline Consumption'!Z21*(1+'Price Change'!Z16*ramps!AA51)</f>
        <v>0</v>
      </c>
      <c r="AA21" s="66">
        <f>'Baseline Consumption'!AA21*(1+'Price Change'!AA16*ramps!AB51)</f>
        <v>0</v>
      </c>
      <c r="AB21" s="66">
        <f>'Baseline Consumption'!AB21*(1+'Price Change'!AB16*ramps!AC51)</f>
        <v>0</v>
      </c>
      <c r="AC21" s="66">
        <f>'Baseline Consumption'!AC21*(1+'Price Change'!AC16*ramps!AD51)</f>
        <v>0</v>
      </c>
      <c r="AD21" s="66">
        <f>'Baseline Consumption'!AD21*(1+'Price Change'!AD16*ramps!AE51)</f>
        <v>0</v>
      </c>
      <c r="AE21" s="66">
        <f>'Baseline Consumption'!AE21*(1+'Price Change'!AE16*ramps!AF51)</f>
        <v>0</v>
      </c>
      <c r="AF21" s="66">
        <f>'Baseline Consumption'!AF21*(1+'Price Change'!AF16*ramps!AG51)</f>
        <v>0</v>
      </c>
      <c r="AG21" s="66">
        <f>'Baseline Consumption'!AG21*(1+'Price Change'!AG16*ramps!AH51)</f>
        <v>0</v>
      </c>
      <c r="AH21" s="66">
        <f>'Baseline Consumption'!AH21*(1+'Price Change'!AH16*ramps!AI51)</f>
        <v>0</v>
      </c>
      <c r="AI21" s="66">
        <f>'Baseline Consumption'!AI21*(1+'Price Change'!AI16*ramps!AJ51)</f>
        <v>0</v>
      </c>
      <c r="AJ21" s="66">
        <f>'Baseline Consumption'!AJ21*(1+'Price Change'!AJ16*ramps!AK51)</f>
        <v>0</v>
      </c>
      <c r="AK21" s="66">
        <f>'Baseline Consumption'!AK21*(1+'Price Change'!AK16*ramps!AL51)</f>
        <v>0</v>
      </c>
    </row>
    <row r="22" spans="1:37">
      <c r="A22" s="70" t="s">
        <v>26</v>
      </c>
      <c r="B22" s="60"/>
      <c r="C22" s="60"/>
      <c r="D22" s="60"/>
      <c r="E22" s="60"/>
      <c r="F22" s="60"/>
      <c r="G22" s="60"/>
      <c r="H22" s="60"/>
      <c r="I22" s="60"/>
      <c r="J22" s="66"/>
      <c r="K22" s="66">
        <f>'Baseline Consumption'!K22*ramps!L66*(1+'Price Change'!K17*ramps!L51)</f>
        <v>5.777732501279751E-2</v>
      </c>
      <c r="L22" s="66">
        <f>'Baseline Consumption'!L22*ramps!M66*(1+'Price Change'!L17*ramps!M51)</f>
        <v>5.41730465956188E-2</v>
      </c>
      <c r="M22" s="66">
        <f>'Baseline Consumption'!M22*ramps!N66*(1+'Price Change'!M17*ramps!N51)</f>
        <v>5.5161233980522695E-2</v>
      </c>
      <c r="N22" s="66">
        <f>'Baseline Consumption'!N22*ramps!O66*(1+'Price Change'!N17*ramps!O51)</f>
        <v>5.6146350481926927E-2</v>
      </c>
      <c r="O22" s="66">
        <f>'Baseline Consumption'!O22*ramps!P66*(1+'Price Change'!O17*ramps!P51)</f>
        <v>5.9441894040793142E-2</v>
      </c>
      <c r="P22" s="66">
        <f>'Baseline Consumption'!P22*ramps!Q66*(1+'Price Change'!P17*ramps!Q51)</f>
        <v>5.8776014435714112E-2</v>
      </c>
      <c r="Q22" s="66">
        <f>'Baseline Consumption'!Q22*ramps!R66*(1+'Price Change'!Q17*ramps!R51)</f>
        <v>5.855321642856768E-2</v>
      </c>
      <c r="R22" s="66">
        <f>'Baseline Consumption'!R22*ramps!S66*(1+'Price Change'!R17*ramps!S51)</f>
        <v>5.8314066429334128E-2</v>
      </c>
      <c r="S22" s="66">
        <f>'Baseline Consumption'!S22*ramps!T66*(1+'Price Change'!S17*ramps!T51)</f>
        <v>5.8168114312240581E-2</v>
      </c>
      <c r="T22" s="66">
        <f>'Baseline Consumption'!T22*ramps!U66*(1+'Price Change'!T17*ramps!U51)</f>
        <v>5.8083363250716336E-2</v>
      </c>
      <c r="U22" s="66">
        <f>'Baseline Consumption'!U22*ramps!V66*(1+'Price Change'!U17*ramps!V51)</f>
        <v>5.806773195030674E-2</v>
      </c>
      <c r="V22" s="66">
        <f>'Baseline Consumption'!V22*ramps!W66*(1+'Price Change'!V17*ramps!W51)</f>
        <v>5.8094073698800652E-2</v>
      </c>
      <c r="W22" s="66">
        <f>'Baseline Consumption'!W22*ramps!X66*(1+'Price Change'!W17*ramps!X51)</f>
        <v>5.829250373519259E-2</v>
      </c>
      <c r="X22" s="498">
        <f>'Baseline Consumption'!X22*ramps!Y66*(1+'Price Change'!X17*ramps!Y51)</f>
        <v>5.8568876419772112E-2</v>
      </c>
      <c r="Y22" s="66">
        <f>'Baseline Consumption'!Y22*ramps!Z66*(1+'Price Change'!Y17*ramps!Z51)</f>
        <v>5.8926648435142337E-2</v>
      </c>
      <c r="Z22" s="66">
        <f>'Baseline Consumption'!Z22*ramps!AA66*(1+'Price Change'!Z17*ramps!AA51)</f>
        <v>5.9245489207115101E-2</v>
      </c>
      <c r="AA22" s="66">
        <f>'Baseline Consumption'!AA22*ramps!AB66*(1+'Price Change'!AA17*ramps!AB51)</f>
        <v>6.1020796720616624E-2</v>
      </c>
      <c r="AB22" s="66">
        <f>'Baseline Consumption'!AB22*ramps!AC66*(1+'Price Change'!AB17*ramps!AC51)</f>
        <v>6.1627224167102257E-2</v>
      </c>
      <c r="AC22" s="66">
        <f>'Baseline Consumption'!AC22*ramps!AD66*(1+'Price Change'!AC17*ramps!AD51)</f>
        <v>6.226322655121036E-2</v>
      </c>
      <c r="AD22" s="66">
        <f>'Baseline Consumption'!AD22*ramps!AE66*(1+'Price Change'!AD17*ramps!AE51)</f>
        <v>6.2909768694212553E-2</v>
      </c>
      <c r="AE22" s="66">
        <f>'Baseline Consumption'!AE22*ramps!AF66*(1+'Price Change'!AE17*ramps!AF51)</f>
        <v>6.3560832155658095E-2</v>
      </c>
      <c r="AF22" s="66">
        <f>'Baseline Consumption'!AF22*ramps!AG66*(1+'Price Change'!AF17*ramps!AG51)</f>
        <v>6.4233905009422554E-2</v>
      </c>
      <c r="AG22" s="66">
        <f>'Baseline Consumption'!AG22*ramps!AH66*(1+'Price Change'!AG17*ramps!AH51)</f>
        <v>6.4859044300699789E-2</v>
      </c>
      <c r="AH22" s="66">
        <f>'Baseline Consumption'!AH22*ramps!AI66*(1+'Price Change'!AH17*ramps!AI51)</f>
        <v>6.549146220766329E-2</v>
      </c>
      <c r="AI22" s="66">
        <f>'Baseline Consumption'!AI22*ramps!AJ66*(1+'Price Change'!AI17*ramps!AJ51)</f>
        <v>6.614559693377188E-2</v>
      </c>
      <c r="AJ22" s="66">
        <f>'Baseline Consumption'!AJ22*ramps!AK66*(1+'Price Change'!AJ17*ramps!AK51)</f>
        <v>6.6844620886647027E-2</v>
      </c>
      <c r="AK22" s="66">
        <f>'Baseline Consumption'!AK22*ramps!AL66*(1+'Price Change'!AK17*ramps!AL51)</f>
        <v>6.7586937443155637E-2</v>
      </c>
    </row>
    <row r="23" spans="1:37">
      <c r="A23" s="70" t="s">
        <v>57</v>
      </c>
      <c r="B23" s="60"/>
      <c r="C23" s="60"/>
      <c r="D23" s="60"/>
      <c r="E23" s="60"/>
      <c r="F23" s="60"/>
      <c r="G23" s="60"/>
      <c r="H23" s="60"/>
      <c r="I23" s="60"/>
      <c r="J23" s="66"/>
      <c r="K23" s="66">
        <f>'Baseline Consumption'!K23</f>
        <v>0</v>
      </c>
      <c r="L23" s="66">
        <f>'Baseline Consumption'!L23</f>
        <v>0</v>
      </c>
      <c r="M23" s="66">
        <f>'Baseline Consumption'!M23</f>
        <v>0</v>
      </c>
      <c r="N23" s="66">
        <f>'Baseline Consumption'!N23</f>
        <v>0</v>
      </c>
      <c r="O23" s="66">
        <f>'Baseline Consumption'!O23</f>
        <v>0</v>
      </c>
      <c r="P23" s="66">
        <f>'Baseline Consumption'!P23</f>
        <v>0</v>
      </c>
      <c r="Q23" s="66">
        <f>'Baseline Consumption'!Q23</f>
        <v>0</v>
      </c>
      <c r="R23" s="66">
        <f>'Baseline Consumption'!R23</f>
        <v>0</v>
      </c>
      <c r="S23" s="66">
        <f>'Baseline Consumption'!S23</f>
        <v>0</v>
      </c>
      <c r="T23" s="66">
        <f>'Baseline Consumption'!T23</f>
        <v>0</v>
      </c>
      <c r="U23" s="66">
        <f>'Baseline Consumption'!U23</f>
        <v>0</v>
      </c>
      <c r="V23" s="66">
        <f>'Baseline Consumption'!V23</f>
        <v>0</v>
      </c>
      <c r="W23" s="66">
        <f>'Baseline Consumption'!W23</f>
        <v>0</v>
      </c>
      <c r="X23" s="498">
        <f>'Baseline Consumption'!X23</f>
        <v>0</v>
      </c>
      <c r="Y23" s="66">
        <f>'Baseline Consumption'!Y23</f>
        <v>0</v>
      </c>
      <c r="Z23" s="66">
        <f>'Baseline Consumption'!Z23</f>
        <v>0</v>
      </c>
      <c r="AA23" s="66">
        <f>'Baseline Consumption'!AA23</f>
        <v>0</v>
      </c>
      <c r="AB23" s="66">
        <f>'Baseline Consumption'!AB23</f>
        <v>0</v>
      </c>
      <c r="AC23" s="66">
        <f>'Baseline Consumption'!AC23</f>
        <v>0</v>
      </c>
      <c r="AD23" s="66">
        <f>'Baseline Consumption'!AD23</f>
        <v>0</v>
      </c>
      <c r="AE23" s="66">
        <f>'Baseline Consumption'!AE23</f>
        <v>0</v>
      </c>
      <c r="AF23" s="66">
        <f>'Baseline Consumption'!AF23</f>
        <v>0</v>
      </c>
      <c r="AG23" s="66">
        <f>'Baseline Consumption'!AG23</f>
        <v>0</v>
      </c>
      <c r="AH23" s="66">
        <f>'Baseline Consumption'!AH23</f>
        <v>0</v>
      </c>
      <c r="AI23" s="66">
        <f>'Baseline Consumption'!AI23</f>
        <v>0</v>
      </c>
      <c r="AJ23" s="66">
        <f>'Baseline Consumption'!AJ23</f>
        <v>0</v>
      </c>
      <c r="AK23" s="66">
        <f>'Baseline Consumption'!AK23</f>
        <v>0</v>
      </c>
    </row>
    <row r="24" spans="1:37">
      <c r="A24" s="70" t="s">
        <v>59</v>
      </c>
      <c r="B24" s="60"/>
      <c r="C24" s="60"/>
      <c r="D24" s="60"/>
      <c r="E24" s="60"/>
      <c r="F24" s="60"/>
      <c r="G24" s="60"/>
      <c r="H24" s="60"/>
      <c r="I24" s="60"/>
      <c r="J24" s="66"/>
      <c r="K24" s="66">
        <f>'Baseline Consumption'!K24</f>
        <v>1.5841078612810748E-2</v>
      </c>
      <c r="L24" s="66">
        <f>'Baseline Consumption'!L24</f>
        <v>1.5290897285106825E-2</v>
      </c>
      <c r="M24" s="66">
        <f>'Baseline Consumption'!M24</f>
        <v>2.0754026326031674E-3</v>
      </c>
      <c r="N24" s="66">
        <f>'Baseline Consumption'!N24</f>
        <v>2.084585391543145E-3</v>
      </c>
      <c r="O24" s="66">
        <f>'Baseline Consumption'!O24</f>
        <v>2.0921708486715284E-3</v>
      </c>
      <c r="P24" s="66">
        <f>'Baseline Consumption'!P24</f>
        <v>2.0987506571516945E-3</v>
      </c>
      <c r="Q24" s="66">
        <f>'Baseline Consumption'!Q24</f>
        <v>2.1045405862316941E-3</v>
      </c>
      <c r="R24" s="66">
        <f>'Baseline Consumption'!R24</f>
        <v>2.109760091319616E-3</v>
      </c>
      <c r="S24" s="66">
        <f>'Baseline Consumption'!S24</f>
        <v>2.1152126606471607E-3</v>
      </c>
      <c r="T24" s="66">
        <f>'Baseline Consumption'!T24</f>
        <v>2.1207153673197081E-3</v>
      </c>
      <c r="U24" s="66">
        <f>'Baseline Consumption'!U24</f>
        <v>2.1262796830588074E-3</v>
      </c>
      <c r="V24" s="66">
        <f>'Baseline Consumption'!V24</f>
        <v>2.1317242274570027E-3</v>
      </c>
      <c r="W24" s="66">
        <f>'Baseline Consumption'!W24</f>
        <v>2.1370471330987325E-3</v>
      </c>
      <c r="X24" s="498">
        <f>'Baseline Consumption'!X24</f>
        <v>2.1424977731251214E-3</v>
      </c>
      <c r="Y24" s="66">
        <f>'Baseline Consumption'!Y24</f>
        <v>2.1478839628781567E-3</v>
      </c>
      <c r="Z24" s="66">
        <f>'Baseline Consumption'!Z24</f>
        <v>2.153218301748896E-3</v>
      </c>
      <c r="AA24" s="66">
        <f>'Baseline Consumption'!AA24</f>
        <v>2.1587122267920419E-3</v>
      </c>
      <c r="AB24" s="66">
        <f>'Baseline Consumption'!AB24</f>
        <v>2.1639614372070417E-3</v>
      </c>
      <c r="AC24" s="66">
        <f>'Baseline Consumption'!AC24</f>
        <v>2.169167505447983E-3</v>
      </c>
      <c r="AD24" s="66">
        <f>'Baseline Consumption'!AD24</f>
        <v>2.1743244857881003E-3</v>
      </c>
      <c r="AE24" s="66">
        <f>'Baseline Consumption'!AE24</f>
        <v>2.1794240391436463E-3</v>
      </c>
      <c r="AF24" s="66">
        <f>'Baseline Consumption'!AF24</f>
        <v>2.1844506648408517E-3</v>
      </c>
      <c r="AG24" s="66">
        <f>'Baseline Consumption'!AG24</f>
        <v>2.1893707233759498E-3</v>
      </c>
      <c r="AH24" s="66">
        <f>'Baseline Consumption'!AH24</f>
        <v>2.1941716610001842E-3</v>
      </c>
      <c r="AI24" s="66">
        <f>'Baseline Consumption'!AI24</f>
        <v>2.199045250665456E-3</v>
      </c>
      <c r="AJ24" s="66">
        <f>'Baseline Consumption'!AJ24</f>
        <v>2.2039739671515135E-3</v>
      </c>
      <c r="AK24" s="66">
        <f>'Baseline Consumption'!AK24</f>
        <v>2.208728481186611E-3</v>
      </c>
    </row>
    <row r="25" spans="1:37">
      <c r="A25" s="72" t="s">
        <v>390</v>
      </c>
      <c r="B25" s="60"/>
      <c r="C25" s="60"/>
      <c r="D25" s="60"/>
      <c r="E25" s="60"/>
      <c r="F25" s="60"/>
      <c r="G25" s="60"/>
      <c r="H25" s="60"/>
      <c r="I25" s="60"/>
      <c r="J25" s="66"/>
      <c r="K25" s="66">
        <f>'Baseline Consumption'!K25*ramps!L67*(1+'Price Change'!K18*ramps!L57)</f>
        <v>0.11340672641912081</v>
      </c>
      <c r="L25" s="66">
        <f>'Baseline Consumption'!L25*ramps!M67*(1+'Price Change'!L18*ramps!M57)</f>
        <v>0.10973002304737518</v>
      </c>
      <c r="M25" s="66">
        <f>'Baseline Consumption'!M25*ramps!N67*(1+'Price Change'!M18*ramps!N57)</f>
        <v>9.980566724708019E-2</v>
      </c>
      <c r="N25" s="66">
        <f>'Baseline Consumption'!N25*ramps!O67*(1+'Price Change'!N18*ramps!O57)</f>
        <v>0.10786160956039269</v>
      </c>
      <c r="O25" s="66">
        <f>'Baseline Consumption'!O25*ramps!P67*(1+'Price Change'!O18*ramps!P57)</f>
        <v>0.10673544037558685</v>
      </c>
      <c r="P25" s="66">
        <f>'Baseline Consumption'!P25*ramps!Q67*(1+'Price Change'!P18*ramps!Q57)</f>
        <v>0.10555012548015365</v>
      </c>
      <c r="Q25" s="66">
        <f>'Baseline Consumption'!Q25*ramps!R67*(1+'Price Change'!Q18*ramps!R57)</f>
        <v>0.10412268581311557</v>
      </c>
      <c r="R25" s="66">
        <f>'Baseline Consumption'!R25*ramps!S67*(1+'Price Change'!R18*ramps!S57)</f>
        <v>0.10249396025514887</v>
      </c>
      <c r="S25" s="66">
        <f>'Baseline Consumption'!S25*ramps!T67*(1+'Price Change'!S18*ramps!T57)</f>
        <v>0.10080774327278187</v>
      </c>
      <c r="T25" s="66">
        <f>'Baseline Consumption'!T25*ramps!U67*(1+'Price Change'!T18*ramps!U57)</f>
        <v>9.9091214515769022E-2</v>
      </c>
      <c r="U25" s="66">
        <f>'Baseline Consumption'!U25*ramps!V67*(1+'Price Change'!U18*ramps!V57)</f>
        <v>9.7368525938490227E-2</v>
      </c>
      <c r="V25" s="66">
        <f>'Baseline Consumption'!V25*ramps!W67*(1+'Price Change'!V18*ramps!W57)</f>
        <v>9.583654454852035E-2</v>
      </c>
      <c r="W25" s="66">
        <f>'Baseline Consumption'!W25*ramps!X67*(1+'Price Change'!W18*ramps!X57)</f>
        <v>9.4421023099864068E-2</v>
      </c>
      <c r="X25" s="498">
        <f>'Baseline Consumption'!X25*ramps!Y67*(1+'Price Change'!X18*ramps!Y57)</f>
        <v>9.3413219334285647E-2</v>
      </c>
      <c r="Y25" s="66">
        <f>'Baseline Consumption'!Y25*ramps!Z67*(1+'Price Change'!Y18*ramps!Z57)</f>
        <v>9.2946846429240365E-2</v>
      </c>
      <c r="Z25" s="66">
        <f>'Baseline Consumption'!Z25*ramps!AA67*(1+'Price Change'!Z18*ramps!AA57)</f>
        <v>9.3039951788059461E-2</v>
      </c>
      <c r="AA25" s="66">
        <f>'Baseline Consumption'!AA25*ramps!AB67*(1+'Price Change'!AA18*ramps!AB57)</f>
        <v>9.4841494152795539E-2</v>
      </c>
      <c r="AB25" s="66">
        <f>'Baseline Consumption'!AB25*ramps!AC67*(1+'Price Change'!AB18*ramps!AC57)</f>
        <v>9.6066288348271425E-2</v>
      </c>
      <c r="AC25" s="66">
        <f>'Baseline Consumption'!AC25*ramps!AD67*(1+'Price Change'!AC18*ramps!AD57)</f>
        <v>9.7326356636790456E-2</v>
      </c>
      <c r="AD25" s="66">
        <f>'Baseline Consumption'!AD25*ramps!AE67*(1+'Price Change'!AD18*ramps!AE57)</f>
        <v>9.8648277592829722E-2</v>
      </c>
      <c r="AE25" s="66">
        <f>'Baseline Consumption'!AE25*ramps!AF67*(1+'Price Change'!AE18*ramps!AF57)</f>
        <v>9.9976876483141297E-2</v>
      </c>
      <c r="AF25" s="66">
        <f>'Baseline Consumption'!AF25*ramps!AG67*(1+'Price Change'!AF18*ramps!AG57)</f>
        <v>0.10144642048655571</v>
      </c>
      <c r="AG25" s="66">
        <f>'Baseline Consumption'!AG25*ramps!AH67*(1+'Price Change'!AG18*ramps!AH57)</f>
        <v>0.10271607914639337</v>
      </c>
      <c r="AH25" s="66">
        <f>'Baseline Consumption'!AH25*ramps!AI67*(1+'Price Change'!AH18*ramps!AI57)</f>
        <v>0.10405715755868514</v>
      </c>
      <c r="AI25" s="66">
        <f>'Baseline Consumption'!AI25*ramps!AJ67*(1+'Price Change'!AI18*ramps!AJ57)</f>
        <v>0.10539823597097731</v>
      </c>
      <c r="AJ25" s="66">
        <f>'Baseline Consumption'!AJ25*ramps!AK67*(1+'Price Change'!AJ18*ramps!AK57)</f>
        <v>0.10673931438326907</v>
      </c>
      <c r="AK25" s="66">
        <f>'Baseline Consumption'!AK25*ramps!AL67*(1+'Price Change'!AK18*ramps!AL57)</f>
        <v>0.10808039279556124</v>
      </c>
    </row>
    <row r="26" spans="1:37" s="5" customFormat="1" ht="15">
      <c r="A26" s="70" t="s">
        <v>28</v>
      </c>
      <c r="B26" s="60"/>
      <c r="C26" s="60"/>
      <c r="D26" s="60"/>
      <c r="E26" s="60"/>
      <c r="F26" s="60"/>
      <c r="G26" s="60"/>
      <c r="H26" s="60"/>
      <c r="I26" s="60"/>
      <c r="J26" s="66"/>
      <c r="K26" s="85">
        <f>SUM(K17:K25)</f>
        <v>0.19730539768706201</v>
      </c>
      <c r="L26" s="85">
        <f t="shared" ref="L26:AK26" si="1">SUM(L17:L25)</f>
        <v>0.18951597917919183</v>
      </c>
      <c r="M26" s="85">
        <f t="shared" si="1"/>
        <v>0.17415553895490377</v>
      </c>
      <c r="N26" s="85">
        <f t="shared" si="1"/>
        <v>0.18389295418317703</v>
      </c>
      <c r="O26" s="85">
        <f t="shared" si="1"/>
        <v>0.18745062554458305</v>
      </c>
      <c r="P26" s="85">
        <f t="shared" si="1"/>
        <v>0.18507067854181281</v>
      </c>
      <c r="Q26" s="85">
        <f t="shared" si="1"/>
        <v>0.18255555516339653</v>
      </c>
      <c r="R26" s="85">
        <f t="shared" si="1"/>
        <v>0.18013717733653273</v>
      </c>
      <c r="S26" s="85">
        <f t="shared" si="1"/>
        <v>0.17793050351943804</v>
      </c>
      <c r="T26" s="85">
        <f t="shared" si="1"/>
        <v>0.17607864816677909</v>
      </c>
      <c r="U26" s="85">
        <f t="shared" si="1"/>
        <v>0.17428008913928358</v>
      </c>
      <c r="V26" s="85">
        <f t="shared" si="1"/>
        <v>0.17280868548075889</v>
      </c>
      <c r="W26" s="85">
        <f t="shared" si="1"/>
        <v>0.17163790831626552</v>
      </c>
      <c r="X26" s="499">
        <f t="shared" si="1"/>
        <v>0.17093844732522112</v>
      </c>
      <c r="Y26" s="85">
        <f t="shared" si="1"/>
        <v>0.17084859426318183</v>
      </c>
      <c r="Z26" s="85">
        <f t="shared" si="1"/>
        <v>0.1712456138557415</v>
      </c>
      <c r="AA26" s="85">
        <f t="shared" si="1"/>
        <v>0.17503145882002002</v>
      </c>
      <c r="AB26" s="85">
        <f t="shared" si="1"/>
        <v>0.17688406621970815</v>
      </c>
      <c r="AC26" s="85">
        <f t="shared" si="1"/>
        <v>0.1788171569122764</v>
      </c>
      <c r="AD26" s="85">
        <f t="shared" si="1"/>
        <v>0.18082611267384513</v>
      </c>
      <c r="AE26" s="85">
        <f t="shared" si="1"/>
        <v>0.18284098425641171</v>
      </c>
      <c r="AF26" s="85">
        <f t="shared" si="1"/>
        <v>0.18502737464811869</v>
      </c>
      <c r="AG26" s="85">
        <f t="shared" si="1"/>
        <v>0.18697212003298155</v>
      </c>
      <c r="AH26" s="85">
        <f t="shared" si="1"/>
        <v>0.18896560077069788</v>
      </c>
      <c r="AI26" s="85">
        <f t="shared" si="1"/>
        <v>0.19099044633017181</v>
      </c>
      <c r="AJ26" s="85">
        <f t="shared" si="1"/>
        <v>0.19307576912085211</v>
      </c>
      <c r="AK26" s="85">
        <f t="shared" si="1"/>
        <v>0.19520888031188482</v>
      </c>
    </row>
    <row r="27" spans="1:37">
      <c r="A27" s="71"/>
      <c r="B27" s="60"/>
      <c r="C27" s="60"/>
      <c r="D27" s="60"/>
      <c r="E27" s="60"/>
      <c r="F27" s="60"/>
      <c r="G27" s="60"/>
      <c r="H27" s="60"/>
      <c r="I27" s="60"/>
      <c r="J27" s="66"/>
      <c r="K27" s="66"/>
      <c r="L27" s="66"/>
      <c r="M27" s="66"/>
      <c r="N27" s="66"/>
      <c r="O27" s="66"/>
      <c r="P27" s="66"/>
      <c r="Q27" s="66"/>
      <c r="R27" s="66"/>
      <c r="S27" s="66"/>
      <c r="T27" s="66"/>
      <c r="U27" s="66"/>
      <c r="V27" s="66"/>
      <c r="W27" s="66"/>
      <c r="X27" s="498"/>
      <c r="Y27" s="66"/>
      <c r="Z27" s="66"/>
      <c r="AA27" s="66"/>
      <c r="AB27" s="66"/>
      <c r="AC27" s="66"/>
      <c r="AD27" s="66"/>
      <c r="AE27" s="66"/>
      <c r="AF27" s="66"/>
      <c r="AG27" s="66"/>
      <c r="AH27" s="66"/>
      <c r="AI27" s="66"/>
      <c r="AJ27" s="66"/>
      <c r="AK27" s="66"/>
    </row>
    <row r="28" spans="1:37">
      <c r="A28" s="70" t="s">
        <v>32</v>
      </c>
      <c r="B28" s="60"/>
      <c r="C28" s="60"/>
      <c r="D28" s="60"/>
      <c r="E28" s="60"/>
      <c r="F28" s="60"/>
      <c r="G28" s="60"/>
      <c r="H28" s="60"/>
      <c r="I28" s="60"/>
      <c r="J28" s="66"/>
      <c r="K28" s="66"/>
      <c r="L28" s="66"/>
      <c r="M28" s="66"/>
      <c r="N28" s="66"/>
      <c r="O28" s="66"/>
      <c r="P28" s="66"/>
      <c r="Q28" s="66"/>
      <c r="R28" s="66"/>
      <c r="S28" s="66"/>
      <c r="T28" s="66"/>
      <c r="U28" s="66"/>
      <c r="V28" s="66"/>
      <c r="W28" s="66"/>
      <c r="X28" s="498"/>
      <c r="Y28" s="66"/>
      <c r="Z28" s="66"/>
      <c r="AA28" s="66"/>
      <c r="AB28" s="66"/>
      <c r="AC28" s="66"/>
      <c r="AD28" s="66"/>
      <c r="AE28" s="66"/>
      <c r="AF28" s="66"/>
      <c r="AG28" s="66"/>
      <c r="AH28" s="66"/>
      <c r="AI28" s="66"/>
      <c r="AJ28" s="66"/>
      <c r="AK28" s="66"/>
    </row>
    <row r="29" spans="1:37">
      <c r="A29" s="70" t="s">
        <v>24</v>
      </c>
      <c r="B29" s="60"/>
      <c r="C29" s="60"/>
      <c r="D29" s="60"/>
      <c r="E29" s="60"/>
      <c r="F29" s="60"/>
      <c r="G29" s="60"/>
      <c r="H29" s="60"/>
      <c r="I29" s="60"/>
      <c r="J29" s="66"/>
      <c r="K29" s="66">
        <f>'Baseline Consumption'!K29*(1+'Price Change'!K21*ramps!L58)</f>
        <v>4.643604767050738E-3</v>
      </c>
      <c r="L29" s="66">
        <f>'Baseline Consumption'!L29*(1+'Price Change'!L21*ramps!M58)</f>
        <v>5.2687969829530142E-3</v>
      </c>
      <c r="M29" s="66">
        <f>'Baseline Consumption'!M29*(1+'Price Change'!M21*ramps!N58)</f>
        <v>5.7235738203177877E-3</v>
      </c>
      <c r="N29" s="66">
        <f>'Baseline Consumption'!N29*(1+'Price Change'!N21*ramps!O58)</f>
        <v>5.8730758148377417E-3</v>
      </c>
      <c r="O29" s="66">
        <f>'Baseline Consumption'!O29*(1+'Price Change'!O21*ramps!P58)</f>
        <v>6.4988875451774423E-3</v>
      </c>
      <c r="P29" s="66">
        <f>'Baseline Consumption'!P29*(1+'Price Change'!P21*ramps!Q58)</f>
        <v>6.4341601555432905E-3</v>
      </c>
      <c r="Q29" s="66">
        <f>'Baseline Consumption'!Q29*(1+'Price Change'!Q21*ramps!R58)</f>
        <v>6.7668056235686887E-3</v>
      </c>
      <c r="R29" s="66">
        <f>'Baseline Consumption'!R29*(1+'Price Change'!R21*ramps!S58)</f>
        <v>6.9705172379140729E-3</v>
      </c>
      <c r="S29" s="66">
        <f>'Baseline Consumption'!S29*(1+'Price Change'!S21*ramps!T58)</f>
        <v>7.1565506898281298E-3</v>
      </c>
      <c r="T29" s="66">
        <f>'Baseline Consumption'!T29*(1+'Price Change'!T21*ramps!U58)</f>
        <v>7.3734398674547511E-3</v>
      </c>
      <c r="U29" s="66">
        <f>'Baseline Consumption'!U29*(1+'Price Change'!U21*ramps!V58)</f>
        <v>7.6120876536705951E-3</v>
      </c>
      <c r="V29" s="66">
        <f>'Baseline Consumption'!V29*(1+'Price Change'!V21*ramps!W58)</f>
        <v>7.710317434430119E-3</v>
      </c>
      <c r="W29" s="66">
        <f>'Baseline Consumption'!W29*(1+'Price Change'!W21*ramps!X58)</f>
        <v>7.7748327956412558E-3</v>
      </c>
      <c r="X29" s="498">
        <f>'Baseline Consumption'!X29*(1+'Price Change'!X21*ramps!Y58)</f>
        <v>7.8766012118100387E-3</v>
      </c>
      <c r="Y29" s="66">
        <f>'Baseline Consumption'!Y29*(1+'Price Change'!Y21*ramps!Z58)</f>
        <v>8.0141970465816819E-3</v>
      </c>
      <c r="Z29" s="66">
        <f>'Baseline Consumption'!Z29*(1+'Price Change'!Z21*ramps!AA58)</f>
        <v>8.1247193967945684E-3</v>
      </c>
      <c r="AA29" s="66">
        <f>'Baseline Consumption'!AA29*(1+'Price Change'!AA21*ramps!AB58)</f>
        <v>8.5492574937343722E-3</v>
      </c>
      <c r="AB29" s="66">
        <f>'Baseline Consumption'!AB29*(1+'Price Change'!AB21*ramps!AC58)</f>
        <v>8.6701311364908284E-3</v>
      </c>
      <c r="AC29" s="66">
        <f>'Baseline Consumption'!AC29*(1+'Price Change'!AC21*ramps!AD58)</f>
        <v>8.7466765299302508E-3</v>
      </c>
      <c r="AD29" s="66">
        <f>'Baseline Consumption'!AD29*(1+'Price Change'!AD21*ramps!AE58)</f>
        <v>8.8605340524501378E-3</v>
      </c>
      <c r="AE29" s="66">
        <f>'Baseline Consumption'!AE29*(1+'Price Change'!AE21*ramps!AF58)</f>
        <v>8.9089633400682502E-3</v>
      </c>
      <c r="AF29" s="66">
        <f>'Baseline Consumption'!AF29*(1+'Price Change'!AF21*ramps!AG58)</f>
        <v>8.9510263673083443E-3</v>
      </c>
      <c r="AG29" s="66">
        <f>'Baseline Consumption'!AG29*(1+'Price Change'!AG21*ramps!AH58)</f>
        <v>9.0102378685693631E-3</v>
      </c>
      <c r="AH29" s="66">
        <f>'Baseline Consumption'!AH29*(1+'Price Change'!AH21*ramps!AI58)</f>
        <v>9.1098646608900932E-3</v>
      </c>
      <c r="AI29" s="66">
        <f>'Baseline Consumption'!AI29*(1+'Price Change'!AI21*ramps!AJ58)</f>
        <v>9.2590262311988067E-3</v>
      </c>
      <c r="AJ29" s="66">
        <f>'Baseline Consumption'!AJ29*(1+'Price Change'!AJ21*ramps!AK58)</f>
        <v>9.312523336664439E-3</v>
      </c>
      <c r="AK29" s="66">
        <f>'Baseline Consumption'!AK29*(1+'Price Change'!AK21*ramps!AL58)</f>
        <v>9.3438937788208973E-3</v>
      </c>
    </row>
    <row r="30" spans="1:37">
      <c r="A30" s="70" t="s">
        <v>30</v>
      </c>
      <c r="B30" s="60"/>
      <c r="C30" s="60"/>
      <c r="D30" s="60"/>
      <c r="E30" s="60"/>
      <c r="F30" s="60"/>
      <c r="G30" s="60"/>
      <c r="H30" s="60"/>
      <c r="I30" s="60"/>
      <c r="J30" s="66"/>
      <c r="K30" s="66">
        <f>'Baseline Consumption'!K30</f>
        <v>5.9017030994009557E-3</v>
      </c>
      <c r="L30" s="66">
        <f>'Baseline Consumption'!L30</f>
        <v>4.5262296530922588E-3</v>
      </c>
      <c r="M30" s="66">
        <f>'Baseline Consumption'!M30</f>
        <v>5.7189246855607377E-3</v>
      </c>
      <c r="N30" s="66">
        <f>'Baseline Consumption'!N30</f>
        <v>5.7267488690986119E-3</v>
      </c>
      <c r="O30" s="66">
        <f>'Baseline Consumption'!O30</f>
        <v>5.7760952325383768E-3</v>
      </c>
      <c r="P30" s="66">
        <f>'Baseline Consumption'!P30</f>
        <v>5.8910078599850963E-3</v>
      </c>
      <c r="Q30" s="66">
        <f>'Baseline Consumption'!Q30</f>
        <v>5.9568475026599852E-3</v>
      </c>
      <c r="R30" s="66">
        <f>'Baseline Consumption'!R30</f>
        <v>6.0117126762704596E-3</v>
      </c>
      <c r="S30" s="66">
        <f>'Baseline Consumption'!S30</f>
        <v>6.0670678626298952E-3</v>
      </c>
      <c r="T30" s="66">
        <f>'Baseline Consumption'!T30</f>
        <v>6.1107698730469874E-3</v>
      </c>
      <c r="U30" s="66">
        <f>'Baseline Consumption'!U30</f>
        <v>6.1555528428855243E-3</v>
      </c>
      <c r="V30" s="66">
        <f>'Baseline Consumption'!V30</f>
        <v>6.1884522438082857E-3</v>
      </c>
      <c r="W30" s="66">
        <f>'Baseline Consumption'!W30</f>
        <v>6.233449531061295E-3</v>
      </c>
      <c r="X30" s="498">
        <f>'Baseline Consumption'!X30</f>
        <v>6.2878835703232107E-3</v>
      </c>
      <c r="Y30" s="66">
        <f>'Baseline Consumption'!Y30</f>
        <v>6.3112104863754731E-3</v>
      </c>
      <c r="Z30" s="66">
        <f>'Baseline Consumption'!Z30</f>
        <v>6.3469708597951461E-3</v>
      </c>
      <c r="AA30" s="66">
        <f>'Baseline Consumption'!AA30</f>
        <v>6.3772387662702395E-3</v>
      </c>
      <c r="AB30" s="66">
        <f>'Baseline Consumption'!AB30</f>
        <v>6.418920314548127E-3</v>
      </c>
      <c r="AC30" s="66">
        <f>'Baseline Consumption'!AC30</f>
        <v>6.4619417791910508E-3</v>
      </c>
      <c r="AD30" s="66">
        <f>'Baseline Consumption'!AD30</f>
        <v>6.4909100797989078E-3</v>
      </c>
      <c r="AE30" s="66">
        <f>'Baseline Consumption'!AE30</f>
        <v>6.5278348909340138E-3</v>
      </c>
      <c r="AF30" s="66">
        <f>'Baseline Consumption'!AF30</f>
        <v>6.5620319301912299E-3</v>
      </c>
      <c r="AG30" s="66">
        <f>'Baseline Consumption'!AG30</f>
        <v>6.5996217519833176E-3</v>
      </c>
      <c r="AH30" s="66">
        <f>'Baseline Consumption'!AH30</f>
        <v>6.6432092596826866E-3</v>
      </c>
      <c r="AI30" s="66">
        <f>'Baseline Consumption'!AI30</f>
        <v>6.6830654035509316E-3</v>
      </c>
      <c r="AJ30" s="66">
        <f>'Baseline Consumption'!AJ30</f>
        <v>6.7325568111818402E-3</v>
      </c>
      <c r="AK30" s="66">
        <f>'Baseline Consumption'!AK30</f>
        <v>6.7847235987685004E-3</v>
      </c>
    </row>
    <row r="31" spans="1:37">
      <c r="A31" s="70" t="s">
        <v>25</v>
      </c>
      <c r="B31" s="60"/>
      <c r="C31" s="60"/>
      <c r="D31" s="60"/>
      <c r="E31" s="60"/>
      <c r="F31" s="60"/>
      <c r="G31" s="60"/>
      <c r="H31" s="60"/>
      <c r="I31" s="60"/>
      <c r="J31" s="66"/>
      <c r="K31" s="66">
        <f>'Baseline Consumption'!K31*ramps!L70*(1+'Price Change'!K22*ramps!L58)</f>
        <v>1.870077413E-2</v>
      </c>
      <c r="L31" s="66">
        <f>'Baseline Consumption'!L31*ramps!M70*(1+'Price Change'!L22*ramps!M58)</f>
        <v>1.781205353E-2</v>
      </c>
      <c r="M31" s="66">
        <f>'Baseline Consumption'!M31*ramps!N70*(1+'Price Change'!M22*ramps!N58)</f>
        <v>1.5444662204402574E-2</v>
      </c>
      <c r="N31" s="66">
        <f>'Baseline Consumption'!N31*ramps!O70*(1+'Price Change'!N22*ramps!O58)</f>
        <v>1.576170168334972E-2</v>
      </c>
      <c r="O31" s="66">
        <f>'Baseline Consumption'!O31*ramps!P70*(1+'Price Change'!O22*ramps!P58)</f>
        <v>1.6177782874415438E-2</v>
      </c>
      <c r="P31" s="66">
        <f>'Baseline Consumption'!P31*ramps!Q70*(1+'Price Change'!P22*ramps!Q58)</f>
        <v>1.664746175208167E-2</v>
      </c>
      <c r="Q31" s="66">
        <f>'Baseline Consumption'!Q31*ramps!R70*(1+'Price Change'!Q22*ramps!R58)</f>
        <v>1.6879007815130746E-2</v>
      </c>
      <c r="R31" s="66">
        <f>'Baseline Consumption'!R31*ramps!S70*(1+'Price Change'!R22*ramps!S58)</f>
        <v>1.708595644692236E-2</v>
      </c>
      <c r="S31" s="66">
        <f>'Baseline Consumption'!S31*ramps!T70*(1+'Price Change'!S22*ramps!T58)</f>
        <v>1.7286019875501431E-2</v>
      </c>
      <c r="T31" s="66">
        <f>'Baseline Consumption'!T31*ramps!U70*(1+'Price Change'!T22*ramps!U58)</f>
        <v>1.7467157501530311E-2</v>
      </c>
      <c r="U31" s="66">
        <f>'Baseline Consumption'!U31*ramps!V70*(1+'Price Change'!U22*ramps!V58)</f>
        <v>1.7698450549613859E-2</v>
      </c>
      <c r="V31" s="66">
        <f>'Baseline Consumption'!V31*ramps!W70*(1+'Price Change'!V22*ramps!W58)</f>
        <v>1.7840095121942557E-2</v>
      </c>
      <c r="W31" s="66">
        <f>'Baseline Consumption'!W31*ramps!X70*(1+'Price Change'!W22*ramps!X58)</f>
        <v>1.7975880625820381E-2</v>
      </c>
      <c r="X31" s="498">
        <f>'Baseline Consumption'!X31*ramps!Y70*(1+'Price Change'!X22*ramps!Y58)</f>
        <v>1.8100931638315939E-2</v>
      </c>
      <c r="Y31" s="66">
        <f>'Baseline Consumption'!Y31*ramps!Z70*(1+'Price Change'!Y22*ramps!Z58)</f>
        <v>1.8250137706370396E-2</v>
      </c>
      <c r="Z31" s="66">
        <f>'Baseline Consumption'!Z31*ramps!AA70*(1+'Price Change'!Z22*ramps!AA58)</f>
        <v>1.8342675709392939E-2</v>
      </c>
      <c r="AA31" s="66">
        <f>'Baseline Consumption'!AA31*ramps!AB70*(1+'Price Change'!AA22*ramps!AB58)</f>
        <v>1.8934990444589867E-2</v>
      </c>
      <c r="AB31" s="66">
        <f>'Baseline Consumption'!AB31*ramps!AC70*(1+'Price Change'!AB22*ramps!AC58)</f>
        <v>1.9108582548078925E-2</v>
      </c>
      <c r="AC31" s="66">
        <f>'Baseline Consumption'!AC31*ramps!AD70*(1+'Price Change'!AC22*ramps!AD58)</f>
        <v>1.9242332127835375E-2</v>
      </c>
      <c r="AD31" s="66">
        <f>'Baseline Consumption'!AD31*ramps!AE70*(1+'Price Change'!AD22*ramps!AE58)</f>
        <v>1.9361422415450323E-2</v>
      </c>
      <c r="AE31" s="66">
        <f>'Baseline Consumption'!AE31*ramps!AF70*(1+'Price Change'!AE22*ramps!AF58)</f>
        <v>1.9537409260409064E-2</v>
      </c>
      <c r="AF31" s="66">
        <f>'Baseline Consumption'!AF31*ramps!AG70*(1+'Price Change'!AF22*ramps!AG58)</f>
        <v>1.9724115560599949E-2</v>
      </c>
      <c r="AG31" s="66">
        <f>'Baseline Consumption'!AG31*ramps!AH70*(1+'Price Change'!AG22*ramps!AH58)</f>
        <v>1.9917555707831644E-2</v>
      </c>
      <c r="AH31" s="66">
        <f>'Baseline Consumption'!AH31*ramps!AI70*(1+'Price Change'!AH22*ramps!AI58)</f>
        <v>2.0108800011803644E-2</v>
      </c>
      <c r="AI31" s="66">
        <f>'Baseline Consumption'!AI31*ramps!AJ70*(1+'Price Change'!AI22*ramps!AJ58)</f>
        <v>2.033685815647511E-2</v>
      </c>
      <c r="AJ31" s="66">
        <f>'Baseline Consumption'!AJ31*ramps!AK70*(1+'Price Change'!AJ22*ramps!AK58)</f>
        <v>2.0535810680367434E-2</v>
      </c>
      <c r="AK31" s="66">
        <f>'Baseline Consumption'!AK31*ramps!AL70*(1+'Price Change'!AK22*ramps!AL58)</f>
        <v>2.0762627696798312E-2</v>
      </c>
    </row>
    <row r="32" spans="1:37">
      <c r="A32" s="70" t="s">
        <v>31</v>
      </c>
      <c r="B32" s="60"/>
      <c r="C32" s="60"/>
      <c r="D32" s="60"/>
      <c r="E32" s="60"/>
      <c r="F32" s="60"/>
      <c r="G32" s="60"/>
      <c r="H32" s="60"/>
      <c r="I32" s="60"/>
      <c r="J32" s="66"/>
      <c r="K32" s="66">
        <f>'Baseline Consumption'!K32*ramps!L70*(1+'Price Change'!K23*ramps!L58)</f>
        <v>4.5372410590499785E-4</v>
      </c>
      <c r="L32" s="66">
        <f>'Baseline Consumption'!L32*ramps!M70*(1+'Price Change'!L23*ramps!M58)</f>
        <v>3.7331955904324772E-4</v>
      </c>
      <c r="M32" s="66">
        <f>'Baseline Consumption'!M32*ramps!N70*(1+'Price Change'!M23*ramps!N58)</f>
        <v>4.0743217948383914E-4</v>
      </c>
      <c r="N32" s="66">
        <f>'Baseline Consumption'!N32*ramps!O70*(1+'Price Change'!N23*ramps!O58)</f>
        <v>4.1099883413862415E-4</v>
      </c>
      <c r="O32" s="66">
        <f>'Baseline Consumption'!O32*ramps!P70*(1+'Price Change'!O23*ramps!P58)</f>
        <v>4.0806848459211186E-4</v>
      </c>
      <c r="P32" s="66">
        <f>'Baseline Consumption'!P32*ramps!Q70*(1+'Price Change'!P23*ramps!Q58)</f>
        <v>3.8101688467656727E-4</v>
      </c>
      <c r="Q32" s="66">
        <f>'Baseline Consumption'!Q32*ramps!R70*(1+'Price Change'!Q23*ramps!R58)</f>
        <v>3.50538432959004E-4</v>
      </c>
      <c r="R32" s="66">
        <f>'Baseline Consumption'!R32*ramps!S70*(1+'Price Change'!R23*ramps!S58)</f>
        <v>3.367152349772607E-4</v>
      </c>
      <c r="S32" s="66">
        <f>'Baseline Consumption'!S32*ramps!T70*(1+'Price Change'!S23*ramps!T58)</f>
        <v>3.2691789418007837E-4</v>
      </c>
      <c r="T32" s="66">
        <f>'Baseline Consumption'!T32*ramps!U70*(1+'Price Change'!T23*ramps!U58)</f>
        <v>3.1856250047293836E-4</v>
      </c>
      <c r="U32" s="66">
        <f>'Baseline Consumption'!U32*ramps!V70*(1+'Price Change'!U23*ramps!V58)</f>
        <v>3.1169766109638368E-4</v>
      </c>
      <c r="V32" s="66">
        <f>'Baseline Consumption'!V32*ramps!W70*(1+'Price Change'!V23*ramps!W58)</f>
        <v>3.0890616808816281E-4</v>
      </c>
      <c r="W32" s="66">
        <f>'Baseline Consumption'!W32*ramps!X70*(1+'Price Change'!W23*ramps!X58)</f>
        <v>3.0521091595579107E-4</v>
      </c>
      <c r="X32" s="498">
        <f>'Baseline Consumption'!X32*ramps!Y70*(1+'Price Change'!X23*ramps!Y58)</f>
        <v>3.0248131640127574E-4</v>
      </c>
      <c r="Y32" s="66">
        <f>'Baseline Consumption'!Y32*ramps!Z70*(1+'Price Change'!Y23*ramps!Z58)</f>
        <v>2.9917053453368654E-4</v>
      </c>
      <c r="Z32" s="66">
        <f>'Baseline Consumption'!Z32*ramps!AA70*(1+'Price Change'!Z23*ramps!AA58)</f>
        <v>3.0232771012698507E-4</v>
      </c>
      <c r="AA32" s="66">
        <f>'Baseline Consumption'!AA32*ramps!AB70*(1+'Price Change'!AA23*ramps!AB58)</f>
        <v>3.0525456645471606E-4</v>
      </c>
      <c r="AB32" s="66">
        <f>'Baseline Consumption'!AB32*ramps!AC70*(1+'Price Change'!AB23*ramps!AC58)</f>
        <v>3.0822163455225939E-4</v>
      </c>
      <c r="AC32" s="66">
        <f>'Baseline Consumption'!AC32*ramps!AD70*(1+'Price Change'!AC23*ramps!AD58)</f>
        <v>3.1048663346818156E-4</v>
      </c>
      <c r="AD32" s="66">
        <f>'Baseline Consumption'!AD32*ramps!AE70*(1+'Price Change'!AD23*ramps!AE58)</f>
        <v>3.1260469408926948E-4</v>
      </c>
      <c r="AE32" s="66">
        <f>'Baseline Consumption'!AE32*ramps!AF70*(1+'Price Change'!AE23*ramps!AF58)</f>
        <v>3.1537569660433098E-4</v>
      </c>
      <c r="AF32" s="66">
        <f>'Baseline Consumption'!AF32*ramps!AG70*(1+'Price Change'!AF23*ramps!AG58)</f>
        <v>3.1797925405634413E-4</v>
      </c>
      <c r="AG32" s="66">
        <f>'Baseline Consumption'!AG32*ramps!AH70*(1+'Price Change'!AG23*ramps!AH58)</f>
        <v>3.2151141070966112E-4</v>
      </c>
      <c r="AH32" s="66">
        <f>'Baseline Consumption'!AH32*ramps!AI70*(1+'Price Change'!AH23*ramps!AI58)</f>
        <v>3.2437945832225614E-4</v>
      </c>
      <c r="AI32" s="66">
        <f>'Baseline Consumption'!AI32*ramps!AJ70*(1+'Price Change'!AI23*ramps!AJ58)</f>
        <v>3.2690492824118074E-4</v>
      </c>
      <c r="AJ32" s="66">
        <f>'Baseline Consumption'!AJ32*ramps!AK70*(1+'Price Change'!AJ23*ramps!AK58)</f>
        <v>3.3005275358232599E-4</v>
      </c>
      <c r="AK32" s="66">
        <f>'Baseline Consumption'!AK32*ramps!AL70*(1+'Price Change'!AK23*ramps!AL58)</f>
        <v>3.3378317972799034E-4</v>
      </c>
    </row>
    <row r="33" spans="1:37">
      <c r="A33" s="70" t="s">
        <v>60</v>
      </c>
      <c r="B33" s="60"/>
      <c r="C33" s="60"/>
      <c r="D33" s="60"/>
      <c r="E33" s="60"/>
      <c r="F33" s="60"/>
      <c r="G33" s="60"/>
      <c r="H33" s="60"/>
      <c r="I33" s="60"/>
      <c r="J33" s="66"/>
      <c r="K33" s="66">
        <f>'Baseline Consumption'!K33*ramps!L70</f>
        <v>0</v>
      </c>
      <c r="L33" s="66">
        <f>'Baseline Consumption'!L33*ramps!M70</f>
        <v>0</v>
      </c>
      <c r="M33" s="66">
        <f>'Baseline Consumption'!M33*ramps!N70</f>
        <v>0</v>
      </c>
      <c r="N33" s="66">
        <f>'Baseline Consumption'!N33*ramps!O70</f>
        <v>0</v>
      </c>
      <c r="O33" s="66">
        <f>'Baseline Consumption'!O33*ramps!P70</f>
        <v>0</v>
      </c>
      <c r="P33" s="66">
        <f>'Baseline Consumption'!P33*ramps!Q70</f>
        <v>0</v>
      </c>
      <c r="Q33" s="66">
        <f>'Baseline Consumption'!Q33*ramps!R70</f>
        <v>0</v>
      </c>
      <c r="R33" s="66">
        <f>'Baseline Consumption'!R33*ramps!S70</f>
        <v>0</v>
      </c>
      <c r="S33" s="66">
        <f>'Baseline Consumption'!S33*ramps!T70</f>
        <v>0</v>
      </c>
      <c r="T33" s="66">
        <f>'Baseline Consumption'!T33*ramps!U70</f>
        <v>0</v>
      </c>
      <c r="U33" s="66">
        <f>'Baseline Consumption'!U33*ramps!V70</f>
        <v>0</v>
      </c>
      <c r="V33" s="66">
        <f>'Baseline Consumption'!V33*ramps!W70</f>
        <v>0</v>
      </c>
      <c r="W33" s="66">
        <f>'Baseline Consumption'!W33*ramps!X70</f>
        <v>0</v>
      </c>
      <c r="X33" s="498">
        <f>'Baseline Consumption'!X33*ramps!Y70</f>
        <v>0</v>
      </c>
      <c r="Y33" s="66">
        <f>'Baseline Consumption'!Y33*ramps!Z70</f>
        <v>0</v>
      </c>
      <c r="Z33" s="66">
        <f>'Baseline Consumption'!Z33*ramps!AA70</f>
        <v>0</v>
      </c>
      <c r="AA33" s="66">
        <f>'Baseline Consumption'!AA33*ramps!AB70</f>
        <v>0</v>
      </c>
      <c r="AB33" s="66">
        <f>'Baseline Consumption'!AB33*ramps!AC70</f>
        <v>0</v>
      </c>
      <c r="AC33" s="66">
        <f>'Baseline Consumption'!AC33*ramps!AD70</f>
        <v>0</v>
      </c>
      <c r="AD33" s="66">
        <f>'Baseline Consumption'!AD33*ramps!AE70</f>
        <v>0</v>
      </c>
      <c r="AE33" s="66">
        <f>'Baseline Consumption'!AE33*ramps!AF70</f>
        <v>0</v>
      </c>
      <c r="AF33" s="66">
        <f>'Baseline Consumption'!AF33*ramps!AG70</f>
        <v>0</v>
      </c>
      <c r="AG33" s="66">
        <f>'Baseline Consumption'!AG33*ramps!AH70</f>
        <v>0</v>
      </c>
      <c r="AH33" s="66">
        <f>'Baseline Consumption'!AH33*ramps!AI70</f>
        <v>0</v>
      </c>
      <c r="AI33" s="66">
        <f>'Baseline Consumption'!AI33*ramps!AJ70</f>
        <v>0</v>
      </c>
      <c r="AJ33" s="66">
        <f>'Baseline Consumption'!AJ33*ramps!AK70</f>
        <v>0</v>
      </c>
      <c r="AK33" s="66">
        <f>'Baseline Consumption'!AK33*ramps!AL70</f>
        <v>0</v>
      </c>
    </row>
    <row r="34" spans="1:37">
      <c r="A34" s="70" t="s">
        <v>33</v>
      </c>
      <c r="B34" s="60"/>
      <c r="C34" s="60"/>
      <c r="D34" s="60"/>
      <c r="E34" s="60"/>
      <c r="F34" s="60"/>
      <c r="G34" s="60"/>
      <c r="H34" s="60"/>
      <c r="I34" s="60"/>
      <c r="J34" s="66"/>
      <c r="K34" s="66">
        <f>'Baseline Consumption'!K34*ramps!L70</f>
        <v>7.5019764215508933E-2</v>
      </c>
      <c r="L34" s="66">
        <f>'Baseline Consumption'!L34*ramps!M70</f>
        <v>7.2497480043072909E-2</v>
      </c>
      <c r="M34" s="66">
        <f>'Baseline Consumption'!M34*ramps!N70</f>
        <v>9.1572079810057286E-2</v>
      </c>
      <c r="N34" s="66">
        <f>'Baseline Consumption'!N34*ramps!O70</f>
        <v>9.2990894840247612E-2</v>
      </c>
      <c r="O34" s="66">
        <f>'Baseline Consumption'!O34*ramps!P70</f>
        <v>9.8277028479859752E-2</v>
      </c>
      <c r="P34" s="66">
        <f>'Baseline Consumption'!P34*ramps!Q70</f>
        <v>0.10080559349276136</v>
      </c>
      <c r="Q34" s="66">
        <f>'Baseline Consumption'!Q34*ramps!R70</f>
        <v>9.8805430517535445E-2</v>
      </c>
      <c r="R34" s="66">
        <f>'Baseline Consumption'!R34*ramps!S70</f>
        <v>9.7460616958340213E-2</v>
      </c>
      <c r="S34" s="66">
        <f>'Baseline Consumption'!S34*ramps!T70</f>
        <v>9.7859322761472009E-2</v>
      </c>
      <c r="T34" s="66">
        <f>'Baseline Consumption'!T34*ramps!U70</f>
        <v>9.8423159701070906E-2</v>
      </c>
      <c r="U34" s="66">
        <f>'Baseline Consumption'!U34*ramps!V70</f>
        <v>9.9096717726518152E-2</v>
      </c>
      <c r="V34" s="66">
        <f>'Baseline Consumption'!V34*ramps!W70</f>
        <v>9.9654437164093848E-2</v>
      </c>
      <c r="W34" s="66">
        <f>'Baseline Consumption'!W34*ramps!X70</f>
        <v>9.941049649162198E-2</v>
      </c>
      <c r="X34" s="498">
        <f>'Baseline Consumption'!X34*ramps!Y70</f>
        <v>0.10047875696842018</v>
      </c>
      <c r="Y34" s="66">
        <f>'Baseline Consumption'!Y34*ramps!Z70</f>
        <v>0.10123242384055313</v>
      </c>
      <c r="Z34" s="66">
        <f>'Baseline Consumption'!Z34*ramps!AA70</f>
        <v>0.10196315804709832</v>
      </c>
      <c r="AA34" s="66">
        <f>'Baseline Consumption'!AA34*ramps!AB70</f>
        <v>0.10258904115366455</v>
      </c>
      <c r="AB34" s="66">
        <f>'Baseline Consumption'!AB34*ramps!AC70</f>
        <v>0.10450760225823143</v>
      </c>
      <c r="AC34" s="66">
        <f>'Baseline Consumption'!AC34*ramps!AD70</f>
        <v>0.10506533052276466</v>
      </c>
      <c r="AD34" s="66">
        <f>'Baseline Consumption'!AD34*ramps!AE70</f>
        <v>0.10592701393222836</v>
      </c>
      <c r="AE34" s="66">
        <f>'Baseline Consumption'!AE34*ramps!AF70</f>
        <v>0.10700149176956346</v>
      </c>
      <c r="AF34" s="66">
        <f>'Baseline Consumption'!AF34*ramps!AG70</f>
        <v>0.10832389383263413</v>
      </c>
      <c r="AG34" s="66">
        <f>'Baseline Consumption'!AG34*ramps!AH70</f>
        <v>0.10924539818518041</v>
      </c>
      <c r="AH34" s="66">
        <f>'Baseline Consumption'!AH34*ramps!AI70</f>
        <v>0.11010140864990633</v>
      </c>
      <c r="AI34" s="66">
        <f>'Baseline Consumption'!AI34*ramps!AJ70</f>
        <v>0.11124820769549643</v>
      </c>
      <c r="AJ34" s="66">
        <f>'Baseline Consumption'!AJ34*ramps!AK70</f>
        <v>0.11226267461500296</v>
      </c>
      <c r="AK34" s="66">
        <f>'Baseline Consumption'!AK34*ramps!AL70</f>
        <v>0.11349049022832737</v>
      </c>
    </row>
    <row r="35" spans="1:37">
      <c r="A35" s="70" t="s">
        <v>26</v>
      </c>
      <c r="B35" s="60"/>
      <c r="C35" s="60"/>
      <c r="D35" s="60"/>
      <c r="E35" s="60"/>
      <c r="F35" s="60"/>
      <c r="G35" s="60"/>
      <c r="H35" s="60"/>
      <c r="I35" s="60"/>
      <c r="J35" s="66"/>
      <c r="K35" s="66">
        <f>'Baseline Consumption'!K35*ramps!L69*(1+'Price Change'!K24*ramps!L52)</f>
        <v>7.2357122997882384E-2</v>
      </c>
      <c r="L35" s="66">
        <f>'Baseline Consumption'!L35*ramps!M69*(1+'Price Change'!L24*ramps!M52)</f>
        <v>6.983375361092016E-2</v>
      </c>
      <c r="M35" s="66">
        <f>'Baseline Consumption'!M35*ramps!N69*(1+'Price Change'!M24*ramps!N52)</f>
        <v>7.2014211803263561E-2</v>
      </c>
      <c r="N35" s="66">
        <f>'Baseline Consumption'!N35*ramps!O69*(1+'Price Change'!N24*ramps!O52)</f>
        <v>7.2760996527556993E-2</v>
      </c>
      <c r="O35" s="66">
        <f>'Baseline Consumption'!O35*ramps!P69*(1+'Price Change'!O24*ramps!P52)</f>
        <v>7.5005717356829218E-2</v>
      </c>
      <c r="P35" s="66">
        <f>'Baseline Consumption'!P35*ramps!Q69*(1+'Price Change'!P24*ramps!Q52)</f>
        <v>7.7193251686648603E-2</v>
      </c>
      <c r="Q35" s="66">
        <f>'Baseline Consumption'!Q35*ramps!R69*(1+'Price Change'!Q24*ramps!R52)</f>
        <v>7.9439610350292719E-2</v>
      </c>
      <c r="R35" s="66">
        <f>'Baseline Consumption'!R35*ramps!S69*(1+'Price Change'!R24*ramps!S52)</f>
        <v>8.0100541040079312E-2</v>
      </c>
      <c r="S35" s="66">
        <f>'Baseline Consumption'!S35*ramps!T69*(1+'Price Change'!S24*ramps!T52)</f>
        <v>8.0225203599937733E-2</v>
      </c>
      <c r="T35" s="66">
        <f>'Baseline Consumption'!T35*ramps!U69*(1+'Price Change'!T24*ramps!U52)</f>
        <v>7.9988875284229058E-2</v>
      </c>
      <c r="U35" s="66">
        <f>'Baseline Consumption'!U35*ramps!V69*(1+'Price Change'!U24*ramps!V52)</f>
        <v>7.8615306940397672E-2</v>
      </c>
      <c r="V35" s="66">
        <f>'Baseline Consumption'!V35*ramps!W69*(1+'Price Change'!V24*ramps!W52)</f>
        <v>7.7378069509198844E-2</v>
      </c>
      <c r="W35" s="66">
        <f>'Baseline Consumption'!W35*ramps!X69*(1+'Price Change'!W24*ramps!X52)</f>
        <v>7.6130334760883198E-2</v>
      </c>
      <c r="X35" s="498">
        <f>'Baseline Consumption'!X35*ramps!Y69*(1+'Price Change'!X24*ramps!Y52)</f>
        <v>7.5101448261635784E-2</v>
      </c>
      <c r="Y35" s="66">
        <f>'Baseline Consumption'!Y35*ramps!Z69*(1+'Price Change'!Y24*ramps!Z52)</f>
        <v>7.4040430790882406E-2</v>
      </c>
      <c r="Z35" s="66">
        <f>'Baseline Consumption'!Z35*ramps!AA69*(1+'Price Change'!Z24*ramps!AA52)</f>
        <v>7.273343829434642E-2</v>
      </c>
      <c r="AA35" s="66">
        <f>'Baseline Consumption'!AA35*ramps!AB69*(1+'Price Change'!AA24*ramps!AB52)</f>
        <v>8.8479356090004652E-2</v>
      </c>
      <c r="AB35" s="66">
        <f>'Baseline Consumption'!AB35*ramps!AC69*(1+'Price Change'!AB24*ramps!AC52)</f>
        <v>8.920699800894516E-2</v>
      </c>
      <c r="AC35" s="66">
        <f>'Baseline Consumption'!AC35*ramps!AD69*(1+'Price Change'!AC24*ramps!AD52)</f>
        <v>9.0135678738785946E-2</v>
      </c>
      <c r="AD35" s="66">
        <f>'Baseline Consumption'!AD35*ramps!AE69*(1+'Price Change'!AD24*ramps!AE52)</f>
        <v>9.0996135121384436E-2</v>
      </c>
      <c r="AE35" s="66">
        <f>'Baseline Consumption'!AE35*ramps!AF69*(1+'Price Change'!AE24*ramps!AF52)</f>
        <v>9.1892129989094226E-2</v>
      </c>
      <c r="AF35" s="66">
        <f>'Baseline Consumption'!AF35*ramps!AG69*(1+'Price Change'!AF24*ramps!AG52)</f>
        <v>9.2858737831682178E-2</v>
      </c>
      <c r="AG35" s="66">
        <f>'Baseline Consumption'!AG35*ramps!AH69*(1+'Price Change'!AG24*ramps!AH52)</f>
        <v>9.3543884620881187E-2</v>
      </c>
      <c r="AH35" s="66">
        <f>'Baseline Consumption'!AH35*ramps!AI69*(1+'Price Change'!AH24*ramps!AI52)</f>
        <v>9.4706550460877378E-2</v>
      </c>
      <c r="AI35" s="66">
        <f>'Baseline Consumption'!AI35*ramps!AJ69*(1+'Price Change'!AI24*ramps!AJ52)</f>
        <v>9.5941015595336812E-2</v>
      </c>
      <c r="AJ35" s="66">
        <f>'Baseline Consumption'!AJ35*ramps!AK69*(1+'Price Change'!AJ24*ramps!AK52)</f>
        <v>9.6915741566117944E-2</v>
      </c>
      <c r="AK35" s="66">
        <f>'Baseline Consumption'!AK35*ramps!AL69*(1+'Price Change'!AK24*ramps!AL52)</f>
        <v>9.7852121951957347E-2</v>
      </c>
    </row>
    <row r="36" spans="1:37">
      <c r="A36" s="70" t="s">
        <v>61</v>
      </c>
      <c r="B36" s="60"/>
      <c r="C36" s="60"/>
      <c r="D36" s="60"/>
      <c r="E36" s="60"/>
      <c r="F36" s="60"/>
      <c r="G36" s="60"/>
      <c r="H36" s="60"/>
      <c r="I36" s="60"/>
      <c r="J36" s="66"/>
      <c r="K36" s="66">
        <f>'Baseline Consumption'!K36*ramps!L69*(1+'Price Change'!K24*ramps!L58)</f>
        <v>0</v>
      </c>
      <c r="L36" s="66">
        <f>'Baseline Consumption'!L36*ramps!M69*(1+'Price Change'!L24*ramps!M58)</f>
        <v>0</v>
      </c>
      <c r="M36" s="66">
        <f>'Baseline Consumption'!M36*ramps!N69*(1+'Price Change'!M24*ramps!N58)</f>
        <v>0</v>
      </c>
      <c r="N36" s="66">
        <f>'Baseline Consumption'!N36*ramps!O69*(1+'Price Change'!N24*ramps!O58)</f>
        <v>0</v>
      </c>
      <c r="O36" s="66">
        <f>'Baseline Consumption'!O36*ramps!P69*(1+'Price Change'!O24*ramps!P58)</f>
        <v>0</v>
      </c>
      <c r="P36" s="66">
        <f>'Baseline Consumption'!P36*ramps!Q69*(1+'Price Change'!P24*ramps!Q58)</f>
        <v>0</v>
      </c>
      <c r="Q36" s="66">
        <f>'Baseline Consumption'!Q36*ramps!R69*(1+'Price Change'!Q24*ramps!R58)</f>
        <v>0</v>
      </c>
      <c r="R36" s="66">
        <f>'Baseline Consumption'!R36*ramps!S69*(1+'Price Change'!R24*ramps!S58)</f>
        <v>0</v>
      </c>
      <c r="S36" s="66">
        <f>'Baseline Consumption'!S36*ramps!T69*(1+'Price Change'!S24*ramps!T58)</f>
        <v>0</v>
      </c>
      <c r="T36" s="66">
        <f>'Baseline Consumption'!T36*ramps!U69*(1+'Price Change'!T24*ramps!U58)</f>
        <v>0</v>
      </c>
      <c r="U36" s="66">
        <f>'Baseline Consumption'!U36*ramps!V69*(1+'Price Change'!U24*ramps!V58)</f>
        <v>0</v>
      </c>
      <c r="V36" s="66">
        <f>'Baseline Consumption'!V36*ramps!W69*(1+'Price Change'!V24*ramps!W58)</f>
        <v>0</v>
      </c>
      <c r="W36" s="66">
        <f>'Baseline Consumption'!W36*ramps!X69*(1+'Price Change'!W24*ramps!X58)</f>
        <v>0</v>
      </c>
      <c r="X36" s="498">
        <f>'Baseline Consumption'!X36*ramps!Y69*(1+'Price Change'!X24*ramps!Y58)</f>
        <v>0</v>
      </c>
      <c r="Y36" s="66">
        <f>'Baseline Consumption'!Y36*ramps!Z69*(1+'Price Change'!Y24*ramps!Z58)</f>
        <v>0</v>
      </c>
      <c r="Z36" s="66">
        <f>'Baseline Consumption'!Z36*ramps!AA69*(1+'Price Change'!Z24*ramps!AA58)</f>
        <v>0</v>
      </c>
      <c r="AA36" s="66">
        <f>'Baseline Consumption'!AA36*ramps!AB69*(1+'Price Change'!AA24*ramps!AB58)</f>
        <v>0</v>
      </c>
      <c r="AB36" s="66">
        <f>'Baseline Consumption'!AB36*ramps!AC69*(1+'Price Change'!AB24*ramps!AC58)</f>
        <v>0</v>
      </c>
      <c r="AC36" s="66">
        <f>'Baseline Consumption'!AC36*ramps!AD69*(1+'Price Change'!AC24*ramps!AD58)</f>
        <v>0</v>
      </c>
      <c r="AD36" s="66">
        <f>'Baseline Consumption'!AD36*ramps!AE69*(1+'Price Change'!AD24*ramps!AE58)</f>
        <v>0</v>
      </c>
      <c r="AE36" s="66">
        <f>'Baseline Consumption'!AE36*ramps!AF69*(1+'Price Change'!AE24*ramps!AF58)</f>
        <v>0</v>
      </c>
      <c r="AF36" s="66">
        <f>'Baseline Consumption'!AF36*ramps!AG69*(1+'Price Change'!AF24*ramps!AG58)</f>
        <v>0</v>
      </c>
      <c r="AG36" s="66">
        <f>'Baseline Consumption'!AG36*ramps!AH69*(1+'Price Change'!AG24*ramps!AH58)</f>
        <v>0</v>
      </c>
      <c r="AH36" s="66">
        <f>'Baseline Consumption'!AH36*ramps!AI69*(1+'Price Change'!AH24*ramps!AI58)</f>
        <v>0</v>
      </c>
      <c r="AI36" s="66">
        <f>'Baseline Consumption'!AI36*ramps!AJ69*(1+'Price Change'!AI24*ramps!AJ58)</f>
        <v>0</v>
      </c>
      <c r="AJ36" s="66">
        <f>'Baseline Consumption'!AJ36*ramps!AK69*(1+'Price Change'!AJ24*ramps!AK58)</f>
        <v>0</v>
      </c>
      <c r="AK36" s="66">
        <f>'Baseline Consumption'!AK36*ramps!AL69*(1+'Price Change'!AK24*ramps!AL58)</f>
        <v>0</v>
      </c>
    </row>
    <row r="37" spans="1:37">
      <c r="A37" s="70" t="s">
        <v>35</v>
      </c>
      <c r="B37" s="60"/>
      <c r="C37" s="60"/>
      <c r="D37" s="60"/>
      <c r="E37" s="60"/>
      <c r="F37" s="60"/>
      <c r="G37" s="60"/>
      <c r="H37" s="60"/>
      <c r="I37" s="60"/>
      <c r="J37" s="66"/>
      <c r="K37" s="66">
        <f>'Baseline Consumption'!K37*ramps!L69*(1+'Price Change'!K24*ramps!L58)</f>
        <v>0</v>
      </c>
      <c r="L37" s="66">
        <f>'Baseline Consumption'!L37*ramps!M69*(1+'Price Change'!L24*ramps!M58)</f>
        <v>0</v>
      </c>
      <c r="M37" s="66">
        <f>'Baseline Consumption'!M37*ramps!N69*(1+'Price Change'!M24*ramps!N58)</f>
        <v>0</v>
      </c>
      <c r="N37" s="66">
        <f>'Baseline Consumption'!N37*ramps!O69*(1+'Price Change'!N24*ramps!O58)</f>
        <v>0</v>
      </c>
      <c r="O37" s="66">
        <f>'Baseline Consumption'!O37*ramps!P69*(1+'Price Change'!O24*ramps!P58)</f>
        <v>0</v>
      </c>
      <c r="P37" s="66">
        <f>'Baseline Consumption'!P37*ramps!Q69*(1+'Price Change'!P24*ramps!Q58)</f>
        <v>0</v>
      </c>
      <c r="Q37" s="66">
        <f>'Baseline Consumption'!Q37*ramps!R69*(1+'Price Change'!Q24*ramps!R58)</f>
        <v>0</v>
      </c>
      <c r="R37" s="66">
        <f>'Baseline Consumption'!R37*ramps!S69*(1+'Price Change'!R24*ramps!S58)</f>
        <v>0</v>
      </c>
      <c r="S37" s="66">
        <f>'Baseline Consumption'!S37*ramps!T69*(1+'Price Change'!S24*ramps!T58)</f>
        <v>0</v>
      </c>
      <c r="T37" s="66">
        <f>'Baseline Consumption'!T37*ramps!U69*(1+'Price Change'!T24*ramps!U58)</f>
        <v>0</v>
      </c>
      <c r="U37" s="66">
        <f>'Baseline Consumption'!U37*ramps!V69*(1+'Price Change'!U24*ramps!V58)</f>
        <v>0</v>
      </c>
      <c r="V37" s="66">
        <f>'Baseline Consumption'!V37*ramps!W69*(1+'Price Change'!V24*ramps!W58)</f>
        <v>0</v>
      </c>
      <c r="W37" s="66">
        <f>'Baseline Consumption'!W37*ramps!X69*(1+'Price Change'!W24*ramps!X58)</f>
        <v>0</v>
      </c>
      <c r="X37" s="498">
        <f>'Baseline Consumption'!X37*ramps!Y69*(1+'Price Change'!X24*ramps!Y58)</f>
        <v>0</v>
      </c>
      <c r="Y37" s="66">
        <f>'Baseline Consumption'!Y37*ramps!Z69*(1+'Price Change'!Y24*ramps!Z58)</f>
        <v>0</v>
      </c>
      <c r="Z37" s="66">
        <f>'Baseline Consumption'!Z37*ramps!AA69*(1+'Price Change'!Z24*ramps!AA58)</f>
        <v>0</v>
      </c>
      <c r="AA37" s="66">
        <f>'Baseline Consumption'!AA37*ramps!AB69*(1+'Price Change'!AA24*ramps!AB58)</f>
        <v>0</v>
      </c>
      <c r="AB37" s="66">
        <f>'Baseline Consumption'!AB37*ramps!AC69*(1+'Price Change'!AB24*ramps!AC58)</f>
        <v>0</v>
      </c>
      <c r="AC37" s="66">
        <f>'Baseline Consumption'!AC37*ramps!AD69*(1+'Price Change'!AC24*ramps!AD58)</f>
        <v>0</v>
      </c>
      <c r="AD37" s="66">
        <f>'Baseline Consumption'!AD37*ramps!AE69*(1+'Price Change'!AD24*ramps!AE58)</f>
        <v>0</v>
      </c>
      <c r="AE37" s="66">
        <f>'Baseline Consumption'!AE37*ramps!AF69*(1+'Price Change'!AE24*ramps!AF58)</f>
        <v>0</v>
      </c>
      <c r="AF37" s="66">
        <f>'Baseline Consumption'!AF37*ramps!AG69*(1+'Price Change'!AF24*ramps!AG58)</f>
        <v>0</v>
      </c>
      <c r="AG37" s="66">
        <f>'Baseline Consumption'!AG37*ramps!AH69*(1+'Price Change'!AG24*ramps!AH58)</f>
        <v>0</v>
      </c>
      <c r="AH37" s="66">
        <f>'Baseline Consumption'!AH37*ramps!AI69*(1+'Price Change'!AH24*ramps!AI58)</f>
        <v>0</v>
      </c>
      <c r="AI37" s="66">
        <f>'Baseline Consumption'!AI37*ramps!AJ69*(1+'Price Change'!AI24*ramps!AJ58)</f>
        <v>0</v>
      </c>
      <c r="AJ37" s="66">
        <f>'Baseline Consumption'!AJ37*ramps!AK69*(1+'Price Change'!AJ24*ramps!AK58)</f>
        <v>0</v>
      </c>
      <c r="AK37" s="66">
        <f>'Baseline Consumption'!AK37*ramps!AL69*(1+'Price Change'!AK24*ramps!AL58)</f>
        <v>0</v>
      </c>
    </row>
    <row r="38" spans="1:37">
      <c r="A38" s="70" t="s">
        <v>62</v>
      </c>
      <c r="B38" s="60"/>
      <c r="C38" s="60"/>
      <c r="D38" s="60"/>
      <c r="E38" s="60"/>
      <c r="F38" s="60"/>
      <c r="G38" s="60"/>
      <c r="H38" s="60"/>
      <c r="I38" s="60"/>
      <c r="J38" s="66"/>
      <c r="K38" s="66">
        <f>K35+K36+K37</f>
        <v>7.2357122997882384E-2</v>
      </c>
      <c r="L38" s="66">
        <f t="shared" ref="L38:AK38" si="2">L35+L36+L37</f>
        <v>6.983375361092016E-2</v>
      </c>
      <c r="M38" s="66">
        <f t="shared" si="2"/>
        <v>7.2014211803263561E-2</v>
      </c>
      <c r="N38" s="66">
        <f t="shared" si="2"/>
        <v>7.2760996527556993E-2</v>
      </c>
      <c r="O38" s="66">
        <f t="shared" si="2"/>
        <v>7.5005717356829218E-2</v>
      </c>
      <c r="P38" s="66">
        <f t="shared" si="2"/>
        <v>7.7193251686648603E-2</v>
      </c>
      <c r="Q38" s="66">
        <f t="shared" si="2"/>
        <v>7.9439610350292719E-2</v>
      </c>
      <c r="R38" s="66">
        <f t="shared" si="2"/>
        <v>8.0100541040079312E-2</v>
      </c>
      <c r="S38" s="66">
        <f t="shared" si="2"/>
        <v>8.0225203599937733E-2</v>
      </c>
      <c r="T38" s="66">
        <f t="shared" si="2"/>
        <v>7.9988875284229058E-2</v>
      </c>
      <c r="U38" s="66">
        <f t="shared" si="2"/>
        <v>7.8615306940397672E-2</v>
      </c>
      <c r="V38" s="66">
        <f t="shared" si="2"/>
        <v>7.7378069509198844E-2</v>
      </c>
      <c r="W38" s="66">
        <f t="shared" si="2"/>
        <v>7.6130334760883198E-2</v>
      </c>
      <c r="X38" s="498">
        <f t="shared" si="2"/>
        <v>7.5101448261635784E-2</v>
      </c>
      <c r="Y38" s="66">
        <f t="shared" si="2"/>
        <v>7.4040430790882406E-2</v>
      </c>
      <c r="Z38" s="66">
        <f t="shared" si="2"/>
        <v>7.273343829434642E-2</v>
      </c>
      <c r="AA38" s="66">
        <f t="shared" si="2"/>
        <v>8.8479356090004652E-2</v>
      </c>
      <c r="AB38" s="66">
        <f t="shared" si="2"/>
        <v>8.920699800894516E-2</v>
      </c>
      <c r="AC38" s="66">
        <f t="shared" si="2"/>
        <v>9.0135678738785946E-2</v>
      </c>
      <c r="AD38" s="66">
        <f t="shared" si="2"/>
        <v>9.0996135121384436E-2</v>
      </c>
      <c r="AE38" s="66">
        <f t="shared" si="2"/>
        <v>9.1892129989094226E-2</v>
      </c>
      <c r="AF38" s="66">
        <f t="shared" si="2"/>
        <v>9.2858737831682178E-2</v>
      </c>
      <c r="AG38" s="66">
        <f t="shared" si="2"/>
        <v>9.3543884620881187E-2</v>
      </c>
      <c r="AH38" s="66">
        <f t="shared" si="2"/>
        <v>9.4706550460877378E-2</v>
      </c>
      <c r="AI38" s="66">
        <f t="shared" si="2"/>
        <v>9.5941015595336812E-2</v>
      </c>
      <c r="AJ38" s="66">
        <f t="shared" si="2"/>
        <v>9.6915741566117944E-2</v>
      </c>
      <c r="AK38" s="66">
        <f t="shared" si="2"/>
        <v>9.7852121951957347E-2</v>
      </c>
    </row>
    <row r="39" spans="1:37">
      <c r="A39" s="70" t="s">
        <v>36</v>
      </c>
      <c r="B39" s="60"/>
      <c r="C39" s="60"/>
      <c r="D39" s="60"/>
      <c r="E39" s="60"/>
      <c r="F39" s="60"/>
      <c r="G39" s="60"/>
      <c r="H39" s="60"/>
      <c r="I39" s="60"/>
      <c r="J39" s="66"/>
      <c r="K39" s="66">
        <f>'Baseline Consumption'!K39*ramps!L71</f>
        <v>0</v>
      </c>
      <c r="L39" s="66">
        <f>'Baseline Consumption'!L39*ramps!M71</f>
        <v>0</v>
      </c>
      <c r="M39" s="66">
        <f>'Baseline Consumption'!M39*ramps!N71</f>
        <v>0</v>
      </c>
      <c r="N39" s="66">
        <f>'Baseline Consumption'!N39*ramps!O71</f>
        <v>0</v>
      </c>
      <c r="O39" s="66">
        <f>'Baseline Consumption'!O39*ramps!P71</f>
        <v>0</v>
      </c>
      <c r="P39" s="66">
        <f>'Baseline Consumption'!P39*ramps!Q71</f>
        <v>0</v>
      </c>
      <c r="Q39" s="66">
        <f>'Baseline Consumption'!Q39*ramps!R71</f>
        <v>0</v>
      </c>
      <c r="R39" s="66">
        <f>'Baseline Consumption'!R39*ramps!S71</f>
        <v>0</v>
      </c>
      <c r="S39" s="66">
        <f>'Baseline Consumption'!S39*ramps!T71</f>
        <v>0</v>
      </c>
      <c r="T39" s="66">
        <f>'Baseline Consumption'!T39*ramps!U71</f>
        <v>0</v>
      </c>
      <c r="U39" s="66">
        <f>'Baseline Consumption'!U39*ramps!V71</f>
        <v>0</v>
      </c>
      <c r="V39" s="66">
        <f>'Baseline Consumption'!V39*ramps!W71</f>
        <v>0</v>
      </c>
      <c r="W39" s="66">
        <f>'Baseline Consumption'!W39*ramps!X71</f>
        <v>0</v>
      </c>
      <c r="X39" s="498">
        <f>'Baseline Consumption'!X39*ramps!Y71</f>
        <v>0</v>
      </c>
      <c r="Y39" s="66">
        <f>'Baseline Consumption'!Y39*ramps!Z71</f>
        <v>0</v>
      </c>
      <c r="Z39" s="66">
        <f>'Baseline Consumption'!Z39*ramps!AA71</f>
        <v>0</v>
      </c>
      <c r="AA39" s="66">
        <f>'Baseline Consumption'!AA39*ramps!AB71</f>
        <v>0</v>
      </c>
      <c r="AB39" s="66">
        <f>'Baseline Consumption'!AB39*ramps!AC71</f>
        <v>0</v>
      </c>
      <c r="AC39" s="66">
        <f>'Baseline Consumption'!AC39*ramps!AD71</f>
        <v>0</v>
      </c>
      <c r="AD39" s="66">
        <f>'Baseline Consumption'!AD39*ramps!AE71</f>
        <v>0</v>
      </c>
      <c r="AE39" s="66">
        <f>'Baseline Consumption'!AE39*ramps!AF71</f>
        <v>0</v>
      </c>
      <c r="AF39" s="66">
        <f>'Baseline Consumption'!AF39*ramps!AG71</f>
        <v>0</v>
      </c>
      <c r="AG39" s="66">
        <f>'Baseline Consumption'!AG39*ramps!AH71</f>
        <v>0</v>
      </c>
      <c r="AH39" s="66">
        <f>'Baseline Consumption'!AH39*ramps!AI71</f>
        <v>0</v>
      </c>
      <c r="AI39" s="66">
        <f>'Baseline Consumption'!AI39*ramps!AJ71</f>
        <v>0</v>
      </c>
      <c r="AJ39" s="66">
        <f>'Baseline Consumption'!AJ39*ramps!AK71</f>
        <v>0</v>
      </c>
      <c r="AK39" s="66">
        <f>'Baseline Consumption'!AK39*ramps!AL71</f>
        <v>0</v>
      </c>
    </row>
    <row r="40" spans="1:37">
      <c r="A40" s="70" t="s">
        <v>37</v>
      </c>
      <c r="B40" s="60"/>
      <c r="C40" s="60"/>
      <c r="D40" s="60"/>
      <c r="E40" s="60"/>
      <c r="F40" s="60"/>
      <c r="G40" s="60"/>
      <c r="H40" s="60"/>
      <c r="I40" s="60"/>
      <c r="J40" s="66"/>
      <c r="K40" s="66">
        <f>'Baseline Consumption'!K40*ramps!L71*(1+'Price Change'!K26*ramps!L58)</f>
        <v>2.549671891218601E-3</v>
      </c>
      <c r="L40" s="66">
        <f>'Baseline Consumption'!L40*ramps!M71*(1+'Price Change'!L26*ramps!M58)</f>
        <v>2.522852812954121E-3</v>
      </c>
      <c r="M40" s="66">
        <f>'Baseline Consumption'!M40*ramps!N71*(1+'Price Change'!M26*ramps!N58)</f>
        <v>1.0173769018919877E-3</v>
      </c>
      <c r="N40" s="66">
        <f>'Baseline Consumption'!N40*ramps!O71*(1+'Price Change'!N26*ramps!O58)</f>
        <v>9.5732416754067975E-4</v>
      </c>
      <c r="O40" s="66">
        <f>'Baseline Consumption'!O40*ramps!P71*(1+'Price Change'!O26*ramps!P58)</f>
        <v>9.8920708542971449E-4</v>
      </c>
      <c r="P40" s="66">
        <f>'Baseline Consumption'!P40*ramps!Q71*(1+'Price Change'!P26*ramps!Q58)</f>
        <v>1.042031566401015E-3</v>
      </c>
      <c r="Q40" s="66">
        <f>'Baseline Consumption'!Q40*ramps!R71*(1+'Price Change'!Q26*ramps!R58)</f>
        <v>1.0726048172787581E-3</v>
      </c>
      <c r="R40" s="66">
        <f>'Baseline Consumption'!R40*ramps!S71*(1+'Price Change'!R26*ramps!S58)</f>
        <v>1.0749791463064344E-3</v>
      </c>
      <c r="S40" s="66">
        <f>'Baseline Consumption'!S40*ramps!T71*(1+'Price Change'!S26*ramps!T58)</f>
        <v>1.0732382956120208E-3</v>
      </c>
      <c r="T40" s="66">
        <f>'Baseline Consumption'!T40*ramps!U71*(1+'Price Change'!T26*ramps!U58)</f>
        <v>1.0670803654155225E-3</v>
      </c>
      <c r="U40" s="66">
        <f>'Baseline Consumption'!U40*ramps!V71*(1+'Price Change'!U26*ramps!V58)</f>
        <v>1.0612798415524016E-3</v>
      </c>
      <c r="V40" s="66">
        <f>'Baseline Consumption'!V40*ramps!W71*(1+'Price Change'!V26*ramps!W58)</f>
        <v>1.039957461980226E-3</v>
      </c>
      <c r="W40" s="66">
        <f>'Baseline Consumption'!W40*ramps!X71*(1+'Price Change'!W26*ramps!X58)</f>
        <v>1.0152390616596308E-3</v>
      </c>
      <c r="X40" s="498">
        <f>'Baseline Consumption'!X40*ramps!Y71*(1+'Price Change'!X26*ramps!Y58)</f>
        <v>9.8780776164940874E-4</v>
      </c>
      <c r="Y40" s="66">
        <f>'Baseline Consumption'!Y40*ramps!Z71*(1+'Price Change'!Y26*ramps!Z58)</f>
        <v>9.5874421819934995E-4</v>
      </c>
      <c r="Z40" s="66">
        <f>'Baseline Consumption'!Z40*ramps!AA71*(1+'Price Change'!Z26*ramps!AA58)</f>
        <v>9.1866306650735801E-4</v>
      </c>
      <c r="AA40" s="66">
        <f>'Baseline Consumption'!AA40*ramps!AB71*(1+'Price Change'!AA26*ramps!AB58)</f>
        <v>1.1175542965109432E-3</v>
      </c>
      <c r="AB40" s="66">
        <f>'Baseline Consumption'!AB40*ramps!AC71*(1+'Price Change'!AB26*ramps!AC58)</f>
        <v>1.1125796160575377E-3</v>
      </c>
      <c r="AC40" s="66">
        <f>'Baseline Consumption'!AC40*ramps!AD71*(1+'Price Change'!AC26*ramps!AD58)</f>
        <v>1.1031526730077824E-3</v>
      </c>
      <c r="AD40" s="66">
        <f>'Baseline Consumption'!AD40*ramps!AE71*(1+'Price Change'!AD26*ramps!AE58)</f>
        <v>1.0962192774181831E-3</v>
      </c>
      <c r="AE40" s="66">
        <f>'Baseline Consumption'!AE40*ramps!AF71*(1+'Price Change'!AE26*ramps!AF58)</f>
        <v>1.0901978230664115E-3</v>
      </c>
      <c r="AF40" s="66">
        <f>'Baseline Consumption'!AF40*ramps!AG71*(1+'Price Change'!AF26*ramps!AG58)</f>
        <v>1.082225708238165E-3</v>
      </c>
      <c r="AG40" s="66">
        <f>'Baseline Consumption'!AG40*ramps!AH71*(1+'Price Change'!AG26*ramps!AH58)</f>
        <v>1.0843992967356946E-3</v>
      </c>
      <c r="AH40" s="66">
        <f>'Baseline Consumption'!AH40*ramps!AI71*(1+'Price Change'!AH26*ramps!AI58)</f>
        <v>1.0867196428133974E-3</v>
      </c>
      <c r="AI40" s="66">
        <f>'Baseline Consumption'!AI40*ramps!AJ71*(1+'Price Change'!AI26*ramps!AJ58)</f>
        <v>1.0878360568441646E-3</v>
      </c>
      <c r="AJ40" s="66">
        <f>'Baseline Consumption'!AJ40*ramps!AK71*(1+'Price Change'!AJ26*ramps!AK58)</f>
        <v>1.0878096597113091E-3</v>
      </c>
      <c r="AK40" s="66">
        <f>'Baseline Consumption'!AK40*ramps!AL71*(1+'Price Change'!AK26*ramps!AL58)</f>
        <v>1.0898274332096225E-3</v>
      </c>
    </row>
    <row r="41" spans="1:37">
      <c r="A41" s="70" t="s">
        <v>63</v>
      </c>
      <c r="B41" s="60"/>
      <c r="C41" s="60"/>
      <c r="D41" s="60"/>
      <c r="E41" s="60"/>
      <c r="F41" s="60"/>
      <c r="G41" s="60"/>
      <c r="H41" s="60"/>
      <c r="I41" s="60"/>
      <c r="J41" s="66"/>
      <c r="K41" s="66">
        <f>'Baseline Consumption'!K41</f>
        <v>0</v>
      </c>
      <c r="L41" s="66">
        <f>'Baseline Consumption'!L41</f>
        <v>0</v>
      </c>
      <c r="M41" s="66">
        <f>'Baseline Consumption'!M41</f>
        <v>0</v>
      </c>
      <c r="N41" s="66">
        <f>'Baseline Consumption'!N41</f>
        <v>0</v>
      </c>
      <c r="O41" s="66">
        <f>'Baseline Consumption'!O41</f>
        <v>0</v>
      </c>
      <c r="P41" s="66">
        <f>'Baseline Consumption'!P41</f>
        <v>0</v>
      </c>
      <c r="Q41" s="66">
        <f>'Baseline Consumption'!Q41</f>
        <v>0</v>
      </c>
      <c r="R41" s="66">
        <f>'Baseline Consumption'!R41</f>
        <v>0</v>
      </c>
      <c r="S41" s="66">
        <f>'Baseline Consumption'!S41</f>
        <v>0</v>
      </c>
      <c r="T41" s="66">
        <f>'Baseline Consumption'!T41</f>
        <v>0</v>
      </c>
      <c r="U41" s="66">
        <f>'Baseline Consumption'!U41</f>
        <v>0</v>
      </c>
      <c r="V41" s="66">
        <f>'Baseline Consumption'!V41</f>
        <v>0</v>
      </c>
      <c r="W41" s="66">
        <f>'Baseline Consumption'!W41</f>
        <v>0</v>
      </c>
      <c r="X41" s="498">
        <f>'Baseline Consumption'!X41</f>
        <v>0</v>
      </c>
      <c r="Y41" s="66">
        <f>'Baseline Consumption'!Y41</f>
        <v>0</v>
      </c>
      <c r="Z41" s="66">
        <f>'Baseline Consumption'!Z41</f>
        <v>0</v>
      </c>
      <c r="AA41" s="66">
        <f>'Baseline Consumption'!AA41</f>
        <v>0</v>
      </c>
      <c r="AB41" s="66">
        <f>'Baseline Consumption'!AB41</f>
        <v>0</v>
      </c>
      <c r="AC41" s="66">
        <f>'Baseline Consumption'!AC41</f>
        <v>0</v>
      </c>
      <c r="AD41" s="66">
        <f>'Baseline Consumption'!AD41</f>
        <v>0</v>
      </c>
      <c r="AE41" s="66">
        <f>'Baseline Consumption'!AE41</f>
        <v>0</v>
      </c>
      <c r="AF41" s="66">
        <f>'Baseline Consumption'!AF41</f>
        <v>0</v>
      </c>
      <c r="AG41" s="66">
        <f>'Baseline Consumption'!AG41</f>
        <v>0</v>
      </c>
      <c r="AH41" s="66">
        <f>'Baseline Consumption'!AH41</f>
        <v>0</v>
      </c>
      <c r="AI41" s="66">
        <f>'Baseline Consumption'!AI41</f>
        <v>0</v>
      </c>
      <c r="AJ41" s="66">
        <f>'Baseline Consumption'!AJ41</f>
        <v>0</v>
      </c>
      <c r="AK41" s="66">
        <f>'Baseline Consumption'!AK41</f>
        <v>0</v>
      </c>
    </row>
    <row r="42" spans="1:37">
      <c r="A42" s="70" t="s">
        <v>64</v>
      </c>
      <c r="B42" s="60"/>
      <c r="C42" s="60"/>
      <c r="D42" s="60"/>
      <c r="E42" s="60"/>
      <c r="F42" s="60"/>
      <c r="G42" s="60"/>
      <c r="H42" s="60"/>
      <c r="I42" s="60"/>
      <c r="J42" s="66"/>
      <c r="K42" s="66">
        <f>'Baseline Consumption'!K42</f>
        <v>0</v>
      </c>
      <c r="L42" s="66">
        <f>'Baseline Consumption'!L42</f>
        <v>0</v>
      </c>
      <c r="M42" s="66">
        <f>'Baseline Consumption'!M42</f>
        <v>0</v>
      </c>
      <c r="N42" s="66">
        <f>'Baseline Consumption'!N42</f>
        <v>0</v>
      </c>
      <c r="O42" s="66">
        <f>'Baseline Consumption'!O42</f>
        <v>0</v>
      </c>
      <c r="P42" s="66">
        <f>'Baseline Consumption'!P42</f>
        <v>0</v>
      </c>
      <c r="Q42" s="66">
        <f>'Baseline Consumption'!Q42</f>
        <v>0</v>
      </c>
      <c r="R42" s="66">
        <f>'Baseline Consumption'!R42</f>
        <v>0</v>
      </c>
      <c r="S42" s="66">
        <f>'Baseline Consumption'!S42</f>
        <v>0</v>
      </c>
      <c r="T42" s="66">
        <f>'Baseline Consumption'!T42</f>
        <v>0</v>
      </c>
      <c r="U42" s="66">
        <f>'Baseline Consumption'!U42</f>
        <v>0</v>
      </c>
      <c r="V42" s="66">
        <f>'Baseline Consumption'!V42</f>
        <v>0</v>
      </c>
      <c r="W42" s="66">
        <f>'Baseline Consumption'!W42</f>
        <v>0</v>
      </c>
      <c r="X42" s="498">
        <f>'Baseline Consumption'!X42</f>
        <v>0</v>
      </c>
      <c r="Y42" s="66">
        <f>'Baseline Consumption'!Y42</f>
        <v>0</v>
      </c>
      <c r="Z42" s="66">
        <f>'Baseline Consumption'!Z42</f>
        <v>0</v>
      </c>
      <c r="AA42" s="66">
        <f>'Baseline Consumption'!AA42</f>
        <v>0</v>
      </c>
      <c r="AB42" s="66">
        <f>'Baseline Consumption'!AB42</f>
        <v>0</v>
      </c>
      <c r="AC42" s="66">
        <f>'Baseline Consumption'!AC42</f>
        <v>0</v>
      </c>
      <c r="AD42" s="66">
        <f>'Baseline Consumption'!AD42</f>
        <v>0</v>
      </c>
      <c r="AE42" s="66">
        <f>'Baseline Consumption'!AE42</f>
        <v>0</v>
      </c>
      <c r="AF42" s="66">
        <f>'Baseline Consumption'!AF42</f>
        <v>0</v>
      </c>
      <c r="AG42" s="66">
        <f>'Baseline Consumption'!AG42</f>
        <v>0</v>
      </c>
      <c r="AH42" s="66">
        <f>'Baseline Consumption'!AH42</f>
        <v>0</v>
      </c>
      <c r="AI42" s="66">
        <f>'Baseline Consumption'!AI42</f>
        <v>0</v>
      </c>
      <c r="AJ42" s="66">
        <f>'Baseline Consumption'!AJ42</f>
        <v>0</v>
      </c>
      <c r="AK42" s="66">
        <f>'Baseline Consumption'!AK42</f>
        <v>0</v>
      </c>
    </row>
    <row r="43" spans="1:37">
      <c r="A43" s="70" t="s">
        <v>65</v>
      </c>
      <c r="B43" s="60"/>
      <c r="C43" s="60"/>
      <c r="D43" s="60"/>
      <c r="E43" s="60"/>
      <c r="F43" s="60"/>
      <c r="G43" s="60"/>
      <c r="H43" s="60"/>
      <c r="I43" s="60"/>
      <c r="J43" s="66"/>
      <c r="K43" s="66"/>
      <c r="L43" s="66"/>
      <c r="M43" s="66"/>
      <c r="N43" s="66"/>
      <c r="O43" s="66"/>
      <c r="P43" s="66"/>
      <c r="Q43" s="66"/>
      <c r="R43" s="66"/>
      <c r="S43" s="66"/>
      <c r="T43" s="66"/>
      <c r="U43" s="66"/>
      <c r="V43" s="66"/>
      <c r="W43" s="66"/>
      <c r="X43" s="498"/>
      <c r="Y43" s="66"/>
      <c r="Z43" s="66"/>
      <c r="AA43" s="66"/>
      <c r="AB43" s="66"/>
      <c r="AC43" s="66"/>
      <c r="AD43" s="66"/>
      <c r="AE43" s="66"/>
      <c r="AF43" s="66"/>
      <c r="AG43" s="66"/>
      <c r="AH43" s="66"/>
      <c r="AI43" s="66"/>
      <c r="AJ43" s="66"/>
      <c r="AK43" s="66"/>
    </row>
    <row r="44" spans="1:37">
      <c r="A44" s="70" t="s">
        <v>66</v>
      </c>
      <c r="B44" s="60"/>
      <c r="C44" s="60"/>
      <c r="D44" s="60"/>
      <c r="E44" s="60"/>
      <c r="F44" s="60"/>
      <c r="G44" s="60"/>
      <c r="H44" s="60"/>
      <c r="I44" s="60"/>
      <c r="J44" s="66"/>
      <c r="K44" s="66">
        <f>'Baseline Consumption'!K44</f>
        <v>1.993060716497155E-2</v>
      </c>
      <c r="L44" s="66">
        <f>'Baseline Consumption'!L44</f>
        <v>2.2542748048831798E-2</v>
      </c>
      <c r="M44" s="66">
        <f>'Baseline Consumption'!M44</f>
        <v>1.6021667371164956E-2</v>
      </c>
      <c r="N44" s="66">
        <f>'Baseline Consumption'!N44</f>
        <v>1.5846990168191261E-2</v>
      </c>
      <c r="O44" s="66">
        <f>'Baseline Consumption'!O44</f>
        <v>1.5784325978584965E-2</v>
      </c>
      <c r="P44" s="66">
        <f>'Baseline Consumption'!P44</f>
        <v>1.6598719308774202E-2</v>
      </c>
      <c r="Q44" s="66">
        <f>'Baseline Consumption'!Q44</f>
        <v>1.6664429776628509E-2</v>
      </c>
      <c r="R44" s="66">
        <f>'Baseline Consumption'!R44</f>
        <v>1.6730577331595949E-2</v>
      </c>
      <c r="S44" s="66">
        <f>'Baseline Consumption'!S44</f>
        <v>1.6803403385477683E-2</v>
      </c>
      <c r="T44" s="66">
        <f>'Baseline Consumption'!T44</f>
        <v>1.6873169225966198E-2</v>
      </c>
      <c r="U44" s="66">
        <f>'Baseline Consumption'!U44</f>
        <v>1.6795882607752961E-2</v>
      </c>
      <c r="V44" s="66">
        <f>'Baseline Consumption'!V44</f>
        <v>1.7021486125873009E-2</v>
      </c>
      <c r="W44" s="66">
        <f>'Baseline Consumption'!W44</f>
        <v>1.695205730516075E-2</v>
      </c>
      <c r="X44" s="498">
        <f>'Baseline Consumption'!X44</f>
        <v>1.7024405319755659E-2</v>
      </c>
      <c r="Y44" s="66">
        <f>'Baseline Consumption'!Y44</f>
        <v>1.7193135986164357E-2</v>
      </c>
      <c r="Z44" s="66">
        <f>'Baseline Consumption'!Z44</f>
        <v>1.7260884196344136E-2</v>
      </c>
      <c r="AA44" s="66">
        <f>'Baseline Consumption'!AA44</f>
        <v>1.7342071535367119E-2</v>
      </c>
      <c r="AB44" s="66">
        <f>'Baseline Consumption'!AB44</f>
        <v>1.7305820781493154E-2</v>
      </c>
      <c r="AC44" s="66">
        <f>'Baseline Consumption'!AC44</f>
        <v>1.7396469807169281E-2</v>
      </c>
      <c r="AD44" s="66">
        <f>'Baseline Consumption'!AD44</f>
        <v>1.7386673533034105E-2</v>
      </c>
      <c r="AE44" s="66">
        <f>'Baseline Consumption'!AE44</f>
        <v>1.7465542262731122E-2</v>
      </c>
      <c r="AF44" s="66">
        <f>'Baseline Consumption'!AF44</f>
        <v>1.7537213501070043E-2</v>
      </c>
      <c r="AG44" s="66">
        <f>'Baseline Consumption'!AG44</f>
        <v>1.7576631229017127E-2</v>
      </c>
      <c r="AH44" s="66">
        <f>'Baseline Consumption'!AH44</f>
        <v>1.7615031012865993E-2</v>
      </c>
      <c r="AI44" s="66">
        <f>'Baseline Consumption'!AI44</f>
        <v>1.7654156681392134E-2</v>
      </c>
      <c r="AJ44" s="66">
        <f>'Baseline Consumption'!AJ44</f>
        <v>1.7693417246214416E-2</v>
      </c>
      <c r="AK44" s="66">
        <f>'Baseline Consumption'!AK44</f>
        <v>1.7617627130591864E-2</v>
      </c>
    </row>
    <row r="45" spans="1:37">
      <c r="A45" s="70" t="s">
        <v>67</v>
      </c>
      <c r="B45" s="60"/>
      <c r="C45" s="60"/>
      <c r="D45" s="60"/>
      <c r="E45" s="60"/>
      <c r="F45" s="60"/>
      <c r="G45" s="60"/>
      <c r="H45" s="60"/>
      <c r="I45" s="60"/>
      <c r="J45" s="66"/>
      <c r="K45" s="66">
        <f>'Baseline Consumption'!K45</f>
        <v>6.2370304839098417E-2</v>
      </c>
      <c r="L45" s="66">
        <f>'Baseline Consumption'!L45</f>
        <v>5.8454579155314428E-2</v>
      </c>
      <c r="M45" s="66">
        <f>'Baseline Consumption'!M45</f>
        <v>0</v>
      </c>
      <c r="N45" s="66">
        <f>'Baseline Consumption'!N45</f>
        <v>0</v>
      </c>
      <c r="O45" s="66">
        <f>'Baseline Consumption'!O45</f>
        <v>0</v>
      </c>
      <c r="P45" s="66">
        <f>'Baseline Consumption'!P45</f>
        <v>0</v>
      </c>
      <c r="Q45" s="66">
        <f>'Baseline Consumption'!Q45</f>
        <v>0</v>
      </c>
      <c r="R45" s="66">
        <f>'Baseline Consumption'!R45</f>
        <v>0</v>
      </c>
      <c r="S45" s="66">
        <f>'Baseline Consumption'!S45</f>
        <v>0</v>
      </c>
      <c r="T45" s="66">
        <f>'Baseline Consumption'!T45</f>
        <v>0</v>
      </c>
      <c r="U45" s="66">
        <f>'Baseline Consumption'!U45</f>
        <v>0</v>
      </c>
      <c r="V45" s="66">
        <f>'Baseline Consumption'!V45</f>
        <v>0</v>
      </c>
      <c r="W45" s="66">
        <f>'Baseline Consumption'!W45</f>
        <v>0</v>
      </c>
      <c r="X45" s="498">
        <f>'Baseline Consumption'!X45</f>
        <v>0</v>
      </c>
      <c r="Y45" s="66">
        <f>'Baseline Consumption'!Y45</f>
        <v>0</v>
      </c>
      <c r="Z45" s="66">
        <f>'Baseline Consumption'!Z45</f>
        <v>0</v>
      </c>
      <c r="AA45" s="66">
        <f>'Baseline Consumption'!AA45</f>
        <v>0</v>
      </c>
      <c r="AB45" s="66">
        <f>'Baseline Consumption'!AB45</f>
        <v>0</v>
      </c>
      <c r="AC45" s="66">
        <f>'Baseline Consumption'!AC45</f>
        <v>0</v>
      </c>
      <c r="AD45" s="66">
        <f>'Baseline Consumption'!AD45</f>
        <v>0</v>
      </c>
      <c r="AE45" s="66">
        <f>'Baseline Consumption'!AE45</f>
        <v>0</v>
      </c>
      <c r="AF45" s="66">
        <f>'Baseline Consumption'!AF45</f>
        <v>0</v>
      </c>
      <c r="AG45" s="66">
        <f>'Baseline Consumption'!AG45</f>
        <v>0</v>
      </c>
      <c r="AH45" s="66">
        <f>'Baseline Consumption'!AH45</f>
        <v>0</v>
      </c>
      <c r="AI45" s="66">
        <f>'Baseline Consumption'!AI45</f>
        <v>0</v>
      </c>
      <c r="AJ45" s="66">
        <f>'Baseline Consumption'!AJ45</f>
        <v>0</v>
      </c>
      <c r="AK45" s="66">
        <f>'Baseline Consumption'!AK45</f>
        <v>0</v>
      </c>
    </row>
    <row r="46" spans="1:37">
      <c r="A46" s="72" t="s">
        <v>390</v>
      </c>
      <c r="B46" s="60"/>
      <c r="C46" s="60"/>
      <c r="D46" s="60"/>
      <c r="E46" s="60"/>
      <c r="F46" s="60"/>
      <c r="G46" s="60"/>
      <c r="H46" s="60"/>
      <c r="I46" s="60"/>
      <c r="J46" s="66"/>
      <c r="K46" s="66">
        <f>'Baseline Consumption'!K46*ramps!L72*(1+'Price Change'!K28*ramps!L58)</f>
        <v>9.2990613743064443E-2</v>
      </c>
      <c r="L46" s="66">
        <f>'Baseline Consumption'!L46*ramps!M72*(1+'Price Change'!L28*ramps!M58)</f>
        <v>9.3353380281690171E-2</v>
      </c>
      <c r="M46" s="66">
        <f>'Baseline Consumption'!M46*ramps!N72*(1+'Price Change'!M28*ramps!N58)</f>
        <v>9.7945154075970986E-2</v>
      </c>
      <c r="N46" s="66">
        <f>'Baseline Consumption'!N46*ramps!O72*(1+'Price Change'!N28*ramps!O58)</f>
        <v>7.3349520635301757E-2</v>
      </c>
      <c r="O46" s="66">
        <f>'Baseline Consumption'!O46*ramps!P72*(1+'Price Change'!O28*ramps!P58)</f>
        <v>7.6022063870470336E-2</v>
      </c>
      <c r="P46" s="66">
        <f>'Baseline Consumption'!P46*ramps!Q72*(1+'Price Change'!P28*ramps!Q58)</f>
        <v>7.6752025458178413E-2</v>
      </c>
      <c r="Q46" s="66">
        <f>'Baseline Consumption'!Q46*ramps!R72*(1+'Price Change'!Q28*ramps!R58)</f>
        <v>7.7018301475300727E-2</v>
      </c>
      <c r="R46" s="66">
        <f>'Baseline Consumption'!R46*ramps!S72*(1+'Price Change'!R28*ramps!S58)</f>
        <v>7.744754752548301E-2</v>
      </c>
      <c r="S46" s="66">
        <f>'Baseline Consumption'!S46*ramps!T72*(1+'Price Change'!S28*ramps!T58)</f>
        <v>7.78603428067529E-2</v>
      </c>
      <c r="T46" s="66">
        <f>'Baseline Consumption'!T46*ramps!U72*(1+'Price Change'!T28*ramps!U58)</f>
        <v>7.8335511326428492E-2</v>
      </c>
      <c r="U46" s="66">
        <f>'Baseline Consumption'!U46*ramps!V72*(1+'Price Change'!U28*ramps!V58)</f>
        <v>7.884779610346887E-2</v>
      </c>
      <c r="V46" s="66">
        <f>'Baseline Consumption'!V46*ramps!W72*(1+'Price Change'!V28*ramps!W58)</f>
        <v>7.9452482815971878E-2</v>
      </c>
      <c r="W46" s="66">
        <f>'Baseline Consumption'!W46*ramps!X72*(1+'Price Change'!W28*ramps!X58)</f>
        <v>8.0118761783998696E-2</v>
      </c>
      <c r="X46" s="498">
        <f>'Baseline Consumption'!X46*ramps!Y72*(1+'Price Change'!X28*ramps!Y58)</f>
        <v>8.0752576240496837E-2</v>
      </c>
      <c r="Y46" s="66">
        <f>'Baseline Consumption'!Y46*ramps!Z72*(1+'Price Change'!Y28*ramps!Z58)</f>
        <v>8.1346983934653894E-2</v>
      </c>
      <c r="Z46" s="66">
        <f>'Baseline Consumption'!Z46*ramps!AA72*(1+'Price Change'!Z28*ramps!AA58)</f>
        <v>8.2147954168105414E-2</v>
      </c>
      <c r="AA46" s="66">
        <f>'Baseline Consumption'!AA46*ramps!AB72*(1+'Price Change'!AA28*ramps!AB58)</f>
        <v>8.4586700660909953E-2</v>
      </c>
      <c r="AB46" s="66">
        <f>'Baseline Consumption'!AB46*ramps!AC72*(1+'Price Change'!AB28*ramps!AC58)</f>
        <v>8.4860235445374299E-2</v>
      </c>
      <c r="AC46" s="66">
        <f>'Baseline Consumption'!AC46*ramps!AD72*(1+'Price Change'!AC28*ramps!AD58)</f>
        <v>8.6125154608839974E-2</v>
      </c>
      <c r="AD46" s="66">
        <f>'Baseline Consumption'!AD46*ramps!AE72*(1+'Price Change'!AD28*ramps!AE58)</f>
        <v>8.7401336939185684E-2</v>
      </c>
      <c r="AE46" s="66">
        <f>'Baseline Consumption'!AE46*ramps!AF72*(1+'Price Change'!AE28*ramps!AF58)</f>
        <v>8.8691843127832709E-2</v>
      </c>
      <c r="AF46" s="66">
        <f>'Baseline Consumption'!AF46*ramps!AG72*(1+'Price Change'!AF28*ramps!AG58)</f>
        <v>9.0064827165391381E-2</v>
      </c>
      <c r="AG46" s="66">
        <f>'Baseline Consumption'!AG46*ramps!AH72*(1+'Price Change'!AG28*ramps!AH58)</f>
        <v>9.132144104503255E-2</v>
      </c>
      <c r="AH46" s="66">
        <f>'Baseline Consumption'!AH46*ramps!AI72*(1+'Price Change'!AH28*ramps!AI58)</f>
        <v>9.2619028240935181E-2</v>
      </c>
      <c r="AI46" s="66">
        <f>'Baseline Consumption'!AI46*ramps!AJ72*(1+'Price Change'!AI28*ramps!AJ58)</f>
        <v>9.3916615436837797E-2</v>
      </c>
      <c r="AJ46" s="66">
        <f>'Baseline Consumption'!AJ46*ramps!AK72*(1+'Price Change'!AJ28*ramps!AK58)</f>
        <v>9.5214202632740816E-2</v>
      </c>
      <c r="AK46" s="66">
        <f>'Baseline Consumption'!AK46*ramps!AL72*(1+'Price Change'!AK28*ramps!AL58)</f>
        <v>9.6511789828643446E-2</v>
      </c>
    </row>
    <row r="47" spans="1:37">
      <c r="A47" s="70" t="s">
        <v>4</v>
      </c>
      <c r="B47" s="60"/>
      <c r="C47" s="60"/>
      <c r="D47" s="60"/>
      <c r="E47" s="60"/>
      <c r="F47" s="60"/>
      <c r="G47" s="60"/>
      <c r="H47" s="60"/>
      <c r="I47" s="60"/>
      <c r="J47" s="66"/>
      <c r="K47" s="85">
        <f>SUM(K29:K37,K39:K46)</f>
        <v>0.35491789095410103</v>
      </c>
      <c r="L47" s="85">
        <f t="shared" ref="L47:AK47" si="3">SUM(L29:L37,L39:L46)</f>
        <v>0.34718519367787209</v>
      </c>
      <c r="M47" s="85">
        <f>SUM(M29:M37,M39:M46)</f>
        <v>0.30586508285211367</v>
      </c>
      <c r="N47" s="85">
        <f t="shared" si="3"/>
        <v>0.28367825154026305</v>
      </c>
      <c r="O47" s="85">
        <f>SUM(O29:O37,O39:O46)</f>
        <v>0.29493917690789734</v>
      </c>
      <c r="P47" s="85">
        <f t="shared" si="3"/>
        <v>0.30174526816505021</v>
      </c>
      <c r="Q47" s="85">
        <f t="shared" si="3"/>
        <v>0.30295357631135461</v>
      </c>
      <c r="R47" s="85">
        <f t="shared" si="3"/>
        <v>0.30321916359788903</v>
      </c>
      <c r="S47" s="85">
        <f t="shared" si="3"/>
        <v>0.30465806717139188</v>
      </c>
      <c r="T47" s="85">
        <f t="shared" si="3"/>
        <v>0.30595772564561519</v>
      </c>
      <c r="U47" s="85">
        <f t="shared" si="3"/>
        <v>0.30619477192695643</v>
      </c>
      <c r="V47" s="85">
        <f t="shared" si="3"/>
        <v>0.30659420404538695</v>
      </c>
      <c r="W47" s="85">
        <f t="shared" si="3"/>
        <v>0.30591626327180294</v>
      </c>
      <c r="X47" s="499">
        <f t="shared" si="3"/>
        <v>0.30691289228880836</v>
      </c>
      <c r="Y47" s="85">
        <f t="shared" si="3"/>
        <v>0.3076464345443144</v>
      </c>
      <c r="Z47" s="85">
        <f t="shared" si="3"/>
        <v>0.30814079144851131</v>
      </c>
      <c r="AA47" s="85">
        <f t="shared" si="3"/>
        <v>0.32828146500750643</v>
      </c>
      <c r="AB47" s="85">
        <f t="shared" si="3"/>
        <v>0.33149909174377168</v>
      </c>
      <c r="AC47" s="85">
        <f t="shared" si="3"/>
        <v>0.33458722342099251</v>
      </c>
      <c r="AD47" s="85">
        <f t="shared" si="3"/>
        <v>0.33783285004503938</v>
      </c>
      <c r="AE47" s="85">
        <f t="shared" si="3"/>
        <v>0.34143078816030359</v>
      </c>
      <c r="AF47" s="85">
        <f t="shared" si="3"/>
        <v>0.34542205115117175</v>
      </c>
      <c r="AG47" s="85">
        <f t="shared" si="3"/>
        <v>0.34862068111594097</v>
      </c>
      <c r="AH47" s="85">
        <f t="shared" si="3"/>
        <v>0.35231499139809697</v>
      </c>
      <c r="AI47" s="85">
        <f t="shared" si="3"/>
        <v>0.35645368618537332</v>
      </c>
      <c r="AJ47" s="85">
        <f t="shared" si="3"/>
        <v>0.3600847893015835</v>
      </c>
      <c r="AK47" s="85">
        <f t="shared" si="3"/>
        <v>0.36378688482684535</v>
      </c>
    </row>
    <row r="48" spans="1:37">
      <c r="A48" s="71"/>
      <c r="B48" s="60"/>
      <c r="C48" s="60"/>
      <c r="D48" s="60"/>
      <c r="E48" s="60"/>
      <c r="F48" s="60"/>
      <c r="G48" s="60"/>
      <c r="H48" s="60"/>
      <c r="I48" s="60"/>
      <c r="J48" s="66"/>
      <c r="K48" s="66"/>
      <c r="L48" s="66"/>
      <c r="M48" s="66"/>
      <c r="N48" s="66"/>
      <c r="O48" s="66"/>
      <c r="P48" s="66"/>
      <c r="Q48" s="66"/>
      <c r="R48" s="66"/>
      <c r="S48" s="66"/>
      <c r="T48" s="66"/>
      <c r="U48" s="66"/>
      <c r="V48" s="66"/>
      <c r="W48" s="66"/>
      <c r="X48" s="498"/>
      <c r="Y48" s="66"/>
      <c r="Z48" s="66"/>
      <c r="AA48" s="66"/>
      <c r="AB48" s="66"/>
      <c r="AC48" s="66"/>
      <c r="AD48" s="66"/>
      <c r="AE48" s="66"/>
      <c r="AF48" s="66"/>
      <c r="AG48" s="66"/>
      <c r="AH48" s="66"/>
      <c r="AI48" s="66"/>
      <c r="AJ48" s="66"/>
      <c r="AK48" s="66"/>
    </row>
    <row r="49" spans="1:37">
      <c r="A49" s="70" t="s">
        <v>38</v>
      </c>
      <c r="B49" s="60"/>
      <c r="C49" s="60"/>
      <c r="D49" s="60"/>
      <c r="E49" s="60"/>
      <c r="F49" s="60"/>
      <c r="G49" s="60"/>
      <c r="H49" s="60"/>
      <c r="I49" s="60"/>
      <c r="J49" s="66"/>
      <c r="K49" s="66"/>
      <c r="L49" s="66"/>
      <c r="M49" s="66"/>
      <c r="N49" s="66"/>
      <c r="O49" s="66"/>
      <c r="P49" s="66"/>
      <c r="Q49" s="443">
        <v>0.31319478126769484</v>
      </c>
      <c r="R49" s="443">
        <v>0.30247952123093819</v>
      </c>
      <c r="S49" s="443">
        <v>0.29007737203837092</v>
      </c>
      <c r="T49" s="443">
        <v>0.27527190615068586</v>
      </c>
      <c r="U49" s="443">
        <v>0.25755141933984416</v>
      </c>
      <c r="V49" s="443">
        <v>0.23951319172602301</v>
      </c>
      <c r="W49" s="443">
        <v>0.2274248017249364</v>
      </c>
      <c r="X49" s="498">
        <v>0.21668545688410212</v>
      </c>
      <c r="Y49" s="443">
        <v>0.20664236453284801</v>
      </c>
      <c r="Z49" s="443">
        <v>0.1987834872726407</v>
      </c>
      <c r="AA49" s="443">
        <v>0.19132384541897335</v>
      </c>
      <c r="AB49" s="443">
        <v>0.18436639633446794</v>
      </c>
      <c r="AC49" s="443">
        <v>0.17797099316162901</v>
      </c>
      <c r="AD49" s="443">
        <v>0.17190002437065866</v>
      </c>
      <c r="AE49" s="443">
        <v>0.1663267324849074</v>
      </c>
      <c r="AF49" s="443">
        <v>0.16085771292090667</v>
      </c>
      <c r="AG49" s="443">
        <v>0.15832849526413789</v>
      </c>
      <c r="AH49" s="443">
        <v>0.15574611561567298</v>
      </c>
      <c r="AI49" s="443">
        <v>0.15344844328444363</v>
      </c>
      <c r="AJ49" s="443">
        <v>0.15128531147960703</v>
      </c>
      <c r="AK49" s="443">
        <v>0.1492520612757591</v>
      </c>
    </row>
    <row r="50" spans="1:37">
      <c r="A50" s="70" t="s">
        <v>24</v>
      </c>
      <c r="B50" s="60"/>
      <c r="C50" s="60"/>
      <c r="D50" s="60"/>
      <c r="E50" s="60"/>
      <c r="F50" s="60"/>
      <c r="G50" s="60"/>
      <c r="H50" s="60"/>
      <c r="I50" s="60"/>
      <c r="J50" s="66"/>
      <c r="K50" s="66">
        <f>'Baseline Consumption'!K50*(1+'Price Change'!K31*ramps!L45)</f>
        <v>3.1130643819443719E-4</v>
      </c>
      <c r="L50" s="66">
        <f>'Baseline Consumption'!L50*(1+'Price Change'!L31*ramps!M45)</f>
        <v>3.3590936893765594E-4</v>
      </c>
      <c r="M50" s="66">
        <f>'Baseline Consumption'!M50*(1+'Price Change'!M31*ramps!N45)</f>
        <v>1.491881664744835E-4</v>
      </c>
      <c r="N50" s="66">
        <f>'Baseline Consumption'!N50*(1+'Price Change'!N31*ramps!O45)</f>
        <v>1.5697356446000264E-4</v>
      </c>
      <c r="O50" s="66">
        <f>'Baseline Consumption'!O50*(1+'Price Change'!O31*ramps!P45)</f>
        <v>1.6732329834186614E-4</v>
      </c>
      <c r="P50" s="66">
        <f>'Baseline Consumption'!P50*(1+'Price Change'!P31*ramps!Q45)</f>
        <v>1.7558466947696451E-4</v>
      </c>
      <c r="Q50" s="66">
        <f>'Baseline Consumption'!Q50*(1+'Price Change'!Q31*ramps!R45)</f>
        <v>1.9243664124145407E-4</v>
      </c>
      <c r="R50" s="66">
        <f>'Baseline Consumption'!R50*(1+'Price Change'!R31*ramps!S45)</f>
        <v>1.9652471015435977E-4</v>
      </c>
      <c r="S50" s="66">
        <f>'Baseline Consumption'!S50*(1+'Price Change'!S31*ramps!T45)</f>
        <v>1.9215595164655857E-4</v>
      </c>
      <c r="T50" s="66">
        <f>'Baseline Consumption'!T50*(1+'Price Change'!T31*ramps!U45)</f>
        <v>1.893638941692945E-4</v>
      </c>
      <c r="U50" s="66">
        <f>'Baseline Consumption'!U50*(1+'Price Change'!U31*ramps!V45)</f>
        <v>1.881533429205833E-4</v>
      </c>
      <c r="V50" s="66">
        <f>'Baseline Consumption'!V50*(1+'Price Change'!V31*ramps!W45)</f>
        <v>1.855990394330007E-4</v>
      </c>
      <c r="W50" s="66">
        <f>'Baseline Consumption'!W50*(1+'Price Change'!W31*ramps!X45)</f>
        <v>1.8509152339396878E-4</v>
      </c>
      <c r="X50" s="498">
        <f>'Baseline Consumption'!X50*(1+'Price Change'!X31*ramps!Y45)</f>
        <v>1.8770334076033805E-4</v>
      </c>
      <c r="Y50" s="66">
        <f>'Baseline Consumption'!Y50*(1+'Price Change'!Y31*ramps!Z45)</f>
        <v>1.9098074724740251E-4</v>
      </c>
      <c r="Z50" s="66">
        <f>'Baseline Consumption'!Z50*(1+'Price Change'!Z31*ramps!AA45)</f>
        <v>1.936685660899695E-4</v>
      </c>
      <c r="AA50" s="66">
        <f>'Baseline Consumption'!AA50*(1+'Price Change'!AA31*ramps!AB45)</f>
        <v>2.0636235341348226E-4</v>
      </c>
      <c r="AB50" s="66">
        <f>'Baseline Consumption'!AB50*(1+'Price Change'!AB31*ramps!AC45)</f>
        <v>2.1016047187724616E-4</v>
      </c>
      <c r="AC50" s="66">
        <f>'Baseline Consumption'!AC50*(1+'Price Change'!AC31*ramps!AD45)</f>
        <v>2.1309993899097762E-4</v>
      </c>
      <c r="AD50" s="66">
        <f>'Baseline Consumption'!AD50*(1+'Price Change'!AD31*ramps!AE45)</f>
        <v>2.1578770551045393E-4</v>
      </c>
      <c r="AE50" s="66">
        <f>'Baseline Consumption'!AE50*(1+'Price Change'!AE31*ramps!AF45)</f>
        <v>2.1917642516436646E-4</v>
      </c>
      <c r="AF50" s="66">
        <f>'Baseline Consumption'!AF50*(1+'Price Change'!AF31*ramps!AG45)</f>
        <v>2.2214917593523385E-4</v>
      </c>
      <c r="AG50" s="66">
        <f>'Baseline Consumption'!AG50*(1+'Price Change'!AG31*ramps!AH45)</f>
        <v>2.2535008144127311E-4</v>
      </c>
      <c r="AH50" s="66">
        <f>'Baseline Consumption'!AH50*(1+'Price Change'!AH31*ramps!AI45)</f>
        <v>2.3114306675682214E-4</v>
      </c>
      <c r="AI50" s="66">
        <f>'Baseline Consumption'!AI50*(1+'Price Change'!AI31*ramps!AJ45)</f>
        <v>2.3436896097649422E-4</v>
      </c>
      <c r="AJ50" s="66">
        <f>'Baseline Consumption'!AJ50*(1+'Price Change'!AJ31*ramps!AK45)</f>
        <v>2.393160218013722E-4</v>
      </c>
      <c r="AK50" s="66">
        <f>'Baseline Consumption'!AK50*(1+'Price Change'!AK31*ramps!AL45)</f>
        <v>2.4503497023373882E-4</v>
      </c>
    </row>
    <row r="51" spans="1:37">
      <c r="A51" s="70" t="s">
        <v>68</v>
      </c>
      <c r="B51" s="60"/>
      <c r="C51" s="60"/>
      <c r="D51" s="60"/>
      <c r="E51" s="60"/>
      <c r="F51" s="60"/>
      <c r="G51" s="60"/>
      <c r="H51" s="60"/>
      <c r="I51" s="60"/>
      <c r="J51" s="66"/>
      <c r="K51" s="66">
        <f>'Baseline Consumption'!K51*ramps!L74*(1+'Price Change'!K32*ramps!L45)</f>
        <v>6.4230997370256159E-4</v>
      </c>
      <c r="L51" s="66">
        <f>'Baseline Consumption'!L51*ramps!M74*(1+'Price Change'!L32*ramps!M45)</f>
        <v>7.8088177915192861E-4</v>
      </c>
      <c r="M51" s="66">
        <f>'Baseline Consumption'!M51*ramps!N74*(1+'Price Change'!M32*ramps!N45)</f>
        <v>1.670670376527204E-4</v>
      </c>
      <c r="N51" s="66">
        <f>'Baseline Consumption'!N51*ramps!O74*(1+'Price Change'!N32*ramps!O45)</f>
        <v>2.0257023898642186E-4</v>
      </c>
      <c r="O51" s="66">
        <f>'Baseline Consumption'!O51*ramps!P74*(1+'Price Change'!O32*ramps!P45)</f>
        <v>7.8349229760606197E-4</v>
      </c>
      <c r="P51" s="66">
        <f>'Baseline Consumption'!P51*ramps!Q74*(1+'Price Change'!P32*ramps!Q45)</f>
        <v>1.0256073676866834E-3</v>
      </c>
      <c r="Q51" s="66">
        <f>'Baseline Consumption'!Q51*ramps!R74*(1+'Price Change'!Q32*ramps!R45)</f>
        <v>1.2237790966020366E-3</v>
      </c>
      <c r="R51" s="66">
        <f>'Baseline Consumption'!R51*ramps!S74*(1+'Price Change'!R32*ramps!S45)</f>
        <v>1.4534427983642956E-3</v>
      </c>
      <c r="S51" s="66">
        <f>'Baseline Consumption'!S51*ramps!T74*(1+'Price Change'!S32*ramps!T45)</f>
        <v>1.8520723024049483E-3</v>
      </c>
      <c r="T51" s="66">
        <f>'Baseline Consumption'!T51*ramps!U74*(1+'Price Change'!T32*ramps!U45)</f>
        <v>2.6567848510954503E-3</v>
      </c>
      <c r="U51" s="66">
        <f>'Baseline Consumption'!U51*ramps!V74*(1+'Price Change'!U32*ramps!V45)</f>
        <v>3.4733770227547787E-3</v>
      </c>
      <c r="V51" s="66">
        <f>'Baseline Consumption'!V51*ramps!W74*(1+'Price Change'!V32*ramps!W45)</f>
        <v>4.4102688208433882E-3</v>
      </c>
      <c r="W51" s="66">
        <f>'Baseline Consumption'!W51*ramps!X74*(1+'Price Change'!W32*ramps!X45)</f>
        <v>4.6259956513291511E-3</v>
      </c>
      <c r="X51" s="498">
        <f>'Baseline Consumption'!X51*ramps!Y74*(1+'Price Change'!X32*ramps!Y45)</f>
        <v>5.1028889851606751E-3</v>
      </c>
      <c r="Y51" s="66">
        <f>'Baseline Consumption'!Y51*ramps!Z74*(1+'Price Change'!Y32*ramps!Z45)</f>
        <v>5.315899519169289E-3</v>
      </c>
      <c r="Z51" s="66">
        <f>'Baseline Consumption'!Z51*ramps!AA74*(1+'Price Change'!Z32*ramps!AA45)</f>
        <v>5.4653094132578817E-3</v>
      </c>
      <c r="AA51" s="66">
        <f>'Baseline Consumption'!AA51*ramps!AB74*(1+'Price Change'!AA32*ramps!AB45)</f>
        <v>5.6830856137823548E-3</v>
      </c>
      <c r="AB51" s="66">
        <f>'Baseline Consumption'!AB51*ramps!AC74*(1+'Price Change'!AB32*ramps!AC45)</f>
        <v>5.4376123997212063E-3</v>
      </c>
      <c r="AC51" s="66">
        <f>'Baseline Consumption'!AC51*ramps!AD74*(1+'Price Change'!AC32*ramps!AD45)</f>
        <v>5.4336672447182627E-3</v>
      </c>
      <c r="AD51" s="66">
        <f>'Baseline Consumption'!AD51*ramps!AE74*(1+'Price Change'!AD32*ramps!AE45)</f>
        <v>5.6842585913972309E-3</v>
      </c>
      <c r="AE51" s="66">
        <f>'Baseline Consumption'!AE51*ramps!AF74*(1+'Price Change'!AE32*ramps!AF45)</f>
        <v>5.9511111575877539E-3</v>
      </c>
      <c r="AF51" s="66">
        <f>'Baseline Consumption'!AF51*ramps!AG74*(1+'Price Change'!AF32*ramps!AG45)</f>
        <v>6.2071762281608253E-3</v>
      </c>
      <c r="AG51" s="66">
        <f>'Baseline Consumption'!AG51*ramps!AH74*(1+'Price Change'!AG32*ramps!AH45)</f>
        <v>6.3287606430811614E-3</v>
      </c>
      <c r="AH51" s="66">
        <f>'Baseline Consumption'!AH51*ramps!AI74*(1+'Price Change'!AH32*ramps!AI45)</f>
        <v>6.4464408018222088E-3</v>
      </c>
      <c r="AI51" s="66">
        <f>'Baseline Consumption'!AI51*ramps!AJ74*(1+'Price Change'!AI32*ramps!AJ45)</f>
        <v>6.5111528347804098E-3</v>
      </c>
      <c r="AJ51" s="66">
        <f>'Baseline Consumption'!AJ51*ramps!AK74*(1+'Price Change'!AJ32*ramps!AK45)</f>
        <v>6.4890546323443203E-3</v>
      </c>
      <c r="AK51" s="66">
        <f>'Baseline Consumption'!AK51*ramps!AL74*(1+'Price Change'!AK32*ramps!AL45)</f>
        <v>6.3782610553968864E-3</v>
      </c>
    </row>
    <row r="52" spans="1:37">
      <c r="A52" s="70" t="s">
        <v>30</v>
      </c>
      <c r="B52" s="60"/>
      <c r="C52" s="60"/>
      <c r="D52" s="60"/>
      <c r="E52" s="60"/>
      <c r="F52" s="60"/>
      <c r="G52" s="60"/>
      <c r="H52" s="60"/>
      <c r="I52" s="60"/>
      <c r="J52" s="66"/>
      <c r="K52" s="66">
        <f>'Baseline Consumption'!K52*ramps!L74*ramps!L99*(1+'Price Change'!K33*ramps!L45)</f>
        <v>0.30345336248962124</v>
      </c>
      <c r="L52" s="537">
        <f>'Baseline Consumption'!L52*ramps!M74*ramps!M99*(1+'Price Change'!L33*ramps!M45)</f>
        <v>0.30733013761578848</v>
      </c>
      <c r="M52" s="537">
        <f>'Baseline Consumption'!M52*ramps!N74*ramps!N99*(1+'Price Change'!M33*ramps!N45)</f>
        <v>0.33025304377186565</v>
      </c>
      <c r="N52" s="537">
        <f>'Baseline Consumption'!N52*ramps!O74*ramps!O99*(1+'Price Change'!N33*ramps!O45)</f>
        <v>0.33210312797970093</v>
      </c>
      <c r="O52" s="537">
        <f>'Baseline Consumption'!O52*ramps!P74*ramps!P99*(1+'Price Change'!O33*ramps!P45)</f>
        <v>0.33148804554469402</v>
      </c>
      <c r="P52" s="537">
        <f>'Baseline Consumption'!P52*ramps!Q74*ramps!Q99*(1+'Price Change'!P33*ramps!Q45)</f>
        <v>0.33084071714157182</v>
      </c>
      <c r="Q52" s="537">
        <f>'Baseline Consumption'!Q52*ramps!R74*ramps!R99*(1+'Price Change'!Q33*ramps!R45)</f>
        <v>0.32627900484022365</v>
      </c>
      <c r="R52" s="537">
        <f>'Baseline Consumption'!R52*ramps!S74*ramps!S99*(1+'Price Change'!R33*ramps!S45)</f>
        <v>0.31891404231605081</v>
      </c>
      <c r="S52" s="537">
        <f>'Baseline Consumption'!S52*ramps!T74*ramps!T99*(1+'Price Change'!S33*ramps!T45)</f>
        <v>0.3108529108856527</v>
      </c>
      <c r="T52" s="537">
        <f>'Baseline Consumption'!T52*ramps!U74*ramps!U99*(1+'Price Change'!T33*ramps!U45)</f>
        <v>0.30173777773824079</v>
      </c>
      <c r="U52" s="537">
        <f>'Baseline Consumption'!U52*ramps!V74*ramps!V99*(1+'Price Change'!U33*ramps!V45)</f>
        <v>0.29241865165667213</v>
      </c>
      <c r="V52" s="537">
        <f>'Baseline Consumption'!V52*ramps!W74*ramps!W99*(1+'Price Change'!V33*ramps!W45)</f>
        <v>0.28270788268569458</v>
      </c>
      <c r="W52" s="537">
        <f>'Baseline Consumption'!W52*ramps!X74*ramps!X99*(1+'Price Change'!W33*ramps!X45)</f>
        <v>0.27485058773592402</v>
      </c>
      <c r="X52" s="537">
        <f>'Baseline Consumption'!X52*ramps!Y74*ramps!Y99*(1+'Price Change'!X33*ramps!Y45)</f>
        <v>0.26780577204286504</v>
      </c>
      <c r="Y52" s="537">
        <f>'Baseline Consumption'!Y52*ramps!Z74*ramps!Z99*(1+'Price Change'!Y33*ramps!Z45)</f>
        <v>0.26153726134462268</v>
      </c>
      <c r="Z52" s="537">
        <f>'Baseline Consumption'!Z52*ramps!AA74*ramps!AA99*(1+'Price Change'!Z33*ramps!AA45)</f>
        <v>0.25578989035882554</v>
      </c>
      <c r="AA52" s="537">
        <f>'Baseline Consumption'!AA52*ramps!AB74*ramps!AB99*(1+'Price Change'!AA33*ramps!AB45)</f>
        <v>0.26117564725956172</v>
      </c>
      <c r="AB52" s="537">
        <f>'Baseline Consumption'!AB52*ramps!AC74*ramps!AC99*(1+'Price Change'!AB33*ramps!AC45)</f>
        <v>0.25750042603389822</v>
      </c>
      <c r="AC52" s="537">
        <f>'Baseline Consumption'!AC52*ramps!AD74*ramps!AD99*(1+'Price Change'!AC33*ramps!AD45)</f>
        <v>0.25421851704435638</v>
      </c>
      <c r="AD52" s="537">
        <f>'Baseline Consumption'!AD52*ramps!AE74*ramps!AE99*(1+'Price Change'!AD33*ramps!AE45)</f>
        <v>0.25117318822952694</v>
      </c>
      <c r="AE52" s="537">
        <f>'Baseline Consumption'!AE52*ramps!AF74*ramps!AF99*(1+'Price Change'!AE33*ramps!AF45)</f>
        <v>0.24849568552467205</v>
      </c>
      <c r="AF52" s="537">
        <f>'Baseline Consumption'!AF52*ramps!AG74*ramps!AG99*(1+'Price Change'!AF33*ramps!AG45)</f>
        <v>0.24614148161238666</v>
      </c>
      <c r="AG52" s="537">
        <f>'Baseline Consumption'!AG52*ramps!AH74*ramps!AH99*(1+'Price Change'!AG33*ramps!AH45)</f>
        <v>0.24457742639612881</v>
      </c>
      <c r="AH52" s="537">
        <f>'Baseline Consumption'!AH52*ramps!AI74*ramps!AI99*(1+'Price Change'!AH33*ramps!AI45)</f>
        <v>0.24311021135379024</v>
      </c>
      <c r="AI52" s="537">
        <f>'Baseline Consumption'!AI52*ramps!AJ74*ramps!AJ99*(1+'Price Change'!AI33*ramps!AJ45)</f>
        <v>0.24204660360315208</v>
      </c>
      <c r="AJ52" s="537">
        <f>'Baseline Consumption'!AJ52*ramps!AK74*ramps!AK99*(1+'Price Change'!AJ33*ramps!AK45)</f>
        <v>0.24132278656998729</v>
      </c>
      <c r="AK52" s="537">
        <f>'Baseline Consumption'!AK52*ramps!AL74*ramps!AL99*(1+'Price Change'!AK33*ramps!AL45)</f>
        <v>0.24106162411741122</v>
      </c>
    </row>
    <row r="53" spans="1:37">
      <c r="A53" s="70" t="s">
        <v>39</v>
      </c>
      <c r="B53" s="60"/>
      <c r="C53" s="60"/>
      <c r="D53" s="60"/>
      <c r="E53" s="60"/>
      <c r="F53" s="60"/>
      <c r="G53" s="60"/>
      <c r="H53" s="60"/>
      <c r="I53" s="60"/>
      <c r="J53" s="66"/>
      <c r="K53" s="66">
        <f>'Baseline Consumption'!K53*ramps!L76*(1+'Price Change'!K34*ramps!L49)</f>
        <v>9.4401059747695054E-2</v>
      </c>
      <c r="L53" s="66">
        <f>'Baseline Consumption'!L53*ramps!M76*(1+'Price Change'!L34*ramps!M49)</f>
        <v>9.6108010636113891E-2</v>
      </c>
      <c r="M53" s="66">
        <f>'Baseline Consumption'!M53*ramps!N76*(1+'Price Change'!M34*ramps!N49)</f>
        <v>9.2591951033572983E-2</v>
      </c>
      <c r="N53" s="66">
        <f>'Baseline Consumption'!N53*ramps!O76*(1+'Price Change'!N34*ramps!O49)</f>
        <v>9.3923884179557104E-2</v>
      </c>
      <c r="O53" s="66">
        <f>'Baseline Consumption'!O53*ramps!P76*(1+'Price Change'!O34*ramps!P49)</f>
        <v>9.6407081055749452E-2</v>
      </c>
      <c r="P53" s="66">
        <f>'Baseline Consumption'!P53*ramps!Q76*(1+'Price Change'!P34*ramps!Q49)</f>
        <v>9.8601504981134652E-2</v>
      </c>
      <c r="Q53" s="66">
        <f>'Baseline Consumption'!Q53*ramps!R76*(1+'Price Change'!Q34*ramps!R49)</f>
        <v>0.1002152809994887</v>
      </c>
      <c r="R53" s="66">
        <f>'Baseline Consumption'!R53*ramps!S76*(1+'Price Change'!R34*ramps!S49)</f>
        <v>0.10205480771245974</v>
      </c>
      <c r="S53" s="66">
        <f>'Baseline Consumption'!S53*ramps!T76*(1+'Price Change'!S34*ramps!T49)</f>
        <v>0.10381728888249281</v>
      </c>
      <c r="T53" s="66">
        <f>'Baseline Consumption'!T53*ramps!U76*(1+'Price Change'!T34*ramps!U49)</f>
        <v>0.10533892302901665</v>
      </c>
      <c r="U53" s="66">
        <f>'Baseline Consumption'!U53*ramps!V76*(1+'Price Change'!U34*ramps!V49)</f>
        <v>0.10709355334683636</v>
      </c>
      <c r="V53" s="66">
        <f>'Baseline Consumption'!V53*ramps!W76*(1+'Price Change'!V34*ramps!W49)</f>
        <v>0.10891323338143244</v>
      </c>
      <c r="W53" s="66">
        <f>'Baseline Consumption'!W53*ramps!X76*(1+'Price Change'!W34*ramps!X49)</f>
        <v>0.11079698895624089</v>
      </c>
      <c r="X53" s="498">
        <f>'Baseline Consumption'!X53*ramps!Y76*(1+'Price Change'!X34*ramps!Y49)</f>
        <v>0.1128197084014574</v>
      </c>
      <c r="Y53" s="66">
        <f>'Baseline Consumption'!Y53*ramps!Z76*(1+'Price Change'!Y34*ramps!Z49)</f>
        <v>0.11511926868254535</v>
      </c>
      <c r="Z53" s="66">
        <f>'Baseline Consumption'!Z53*ramps!AA76*(1+'Price Change'!Z34*ramps!AA49)</f>
        <v>0.11742600769714995</v>
      </c>
      <c r="AA53" s="66">
        <f>'Baseline Consumption'!AA53*ramps!AB76*(1+'Price Change'!AA34*ramps!AB49)</f>
        <v>0.11965730153988634</v>
      </c>
      <c r="AB53" s="66">
        <f>'Baseline Consumption'!AB53*ramps!AC76*(1+'Price Change'!AB34*ramps!AC49)</f>
        <v>0.12186576405349303</v>
      </c>
      <c r="AC53" s="66">
        <f>'Baseline Consumption'!AC53*ramps!AD76*(1+'Price Change'!AC34*ramps!AD49)</f>
        <v>0.12414882251238447</v>
      </c>
      <c r="AD53" s="66">
        <f>'Baseline Consumption'!AD53*ramps!AE76*(1+'Price Change'!AD34*ramps!AE49)</f>
        <v>0.12635515681892287</v>
      </c>
      <c r="AE53" s="66">
        <f>'Baseline Consumption'!AE53*ramps!AF76*(1+'Price Change'!AE34*ramps!AF49)</f>
        <v>0.1285724413546499</v>
      </c>
      <c r="AF53" s="66">
        <f>'Baseline Consumption'!AF53*ramps!AG76*(1+'Price Change'!AF34*ramps!AG49)</f>
        <v>0.1308082994591574</v>
      </c>
      <c r="AG53" s="66">
        <f>'Baseline Consumption'!AG53*ramps!AH76*(1+'Price Change'!AG34*ramps!AH49)</f>
        <v>0.13305522187963989</v>
      </c>
      <c r="AH53" s="66">
        <f>'Baseline Consumption'!AH53*ramps!AI76*(1+'Price Change'!AH34*ramps!AI49)</f>
        <v>0.13520467022718069</v>
      </c>
      <c r="AI53" s="66">
        <f>'Baseline Consumption'!AI53*ramps!AJ76*(1+'Price Change'!AI34*ramps!AJ49)</f>
        <v>0.13742597620566535</v>
      </c>
      <c r="AJ53" s="66">
        <f>'Baseline Consumption'!AJ53*ramps!AK76*(1+'Price Change'!AJ34*ramps!AK49)</f>
        <v>0.13968324666861481</v>
      </c>
      <c r="AK53" s="66">
        <f>'Baseline Consumption'!AK53*ramps!AL76*(1+'Price Change'!AK34*ramps!AL49)</f>
        <v>0.1419738392575865</v>
      </c>
    </row>
    <row r="54" spans="1:37">
      <c r="A54" s="70" t="s">
        <v>40</v>
      </c>
      <c r="B54" s="60"/>
      <c r="C54" s="60"/>
      <c r="D54" s="60"/>
      <c r="E54" s="60"/>
      <c r="F54" s="60"/>
      <c r="G54" s="60"/>
      <c r="H54" s="60"/>
      <c r="I54" s="60"/>
      <c r="J54" s="66"/>
      <c r="K54" s="66">
        <f>'Baseline Consumption'!K54*ramps!L75*(1+'Price Change'!K35*ramps!L47)</f>
        <v>0.12487419237999998</v>
      </c>
      <c r="L54" s="66">
        <f>'Baseline Consumption'!L54*ramps!M75*(1+'Price Change'!L35*ramps!M47)</f>
        <v>0.12593633654</v>
      </c>
      <c r="M54" s="66">
        <f>'Baseline Consumption'!M54*ramps!N75*(1+'Price Change'!M35*ramps!N47)</f>
        <v>0.12647417422911944</v>
      </c>
      <c r="N54" s="66">
        <f>'Baseline Consumption'!N54*ramps!O75*(1+'Price Change'!N35*ramps!O47)</f>
        <v>0.1291737124310853</v>
      </c>
      <c r="O54" s="66">
        <f>'Baseline Consumption'!O54*ramps!P75*(1+'Price Change'!O35*ramps!P47)</f>
        <v>0.12829634471855178</v>
      </c>
      <c r="P54" s="66">
        <f>'Baseline Consumption'!P54*ramps!Q75*(1+'Price Change'!P35*ramps!Q47)</f>
        <v>0.12915090227764767</v>
      </c>
      <c r="Q54" s="66">
        <f>'Baseline Consumption'!Q54*ramps!R75*(1+'Price Change'!Q35*ramps!R47)</f>
        <v>0.13004337135267449</v>
      </c>
      <c r="R54" s="66">
        <f>'Baseline Consumption'!R54*ramps!S75*(1+'Price Change'!R35*ramps!S47)</f>
        <v>0.12676615511874137</v>
      </c>
      <c r="S54" s="66">
        <f>'Baseline Consumption'!S54*ramps!T75*(1+'Price Change'!S35*ramps!T47)</f>
        <v>0.12676035288600612</v>
      </c>
      <c r="T54" s="66">
        <f>'Baseline Consumption'!T54*ramps!U75*(1+'Price Change'!T35*ramps!U47)</f>
        <v>0.12646604855971383</v>
      </c>
      <c r="U54" s="66">
        <f>'Baseline Consumption'!U54*ramps!V75*(1+'Price Change'!U35*ramps!V47)</f>
        <v>0.12609630501284264</v>
      </c>
      <c r="V54" s="66">
        <f>'Baseline Consumption'!V54*ramps!W75*(1+'Price Change'!V35*ramps!W47)</f>
        <v>0.12537801730115908</v>
      </c>
      <c r="W54" s="66">
        <f>'Baseline Consumption'!W54*ramps!X75*(1+'Price Change'!W35*ramps!X47)</f>
        <v>0.12475738453950935</v>
      </c>
      <c r="X54" s="498">
        <f>'Baseline Consumption'!X54*ramps!Y75*(1+'Price Change'!X35*ramps!Y47)</f>
        <v>0.12387017598902761</v>
      </c>
      <c r="Y54" s="66">
        <f>'Baseline Consumption'!Y54*ramps!Z75*(1+'Price Change'!Y35*ramps!Z47)</f>
        <v>0.12288606143557855</v>
      </c>
      <c r="Z54" s="66">
        <f>'Baseline Consumption'!Z54*ramps!AA75*(1+'Price Change'!Z35*ramps!AA47)</f>
        <v>0.1219119192041113</v>
      </c>
      <c r="AA54" s="66">
        <f>'Baseline Consumption'!AA54*ramps!AB75*(1+'Price Change'!AA35*ramps!AB47)</f>
        <v>0.12508936073549712</v>
      </c>
      <c r="AB54" s="66">
        <f>'Baseline Consumption'!AB54*ramps!AC75*(1+'Price Change'!AB35*ramps!AC47)</f>
        <v>0.12472877188124602</v>
      </c>
      <c r="AC54" s="66">
        <f>'Baseline Consumption'!AC54*ramps!AD75*(1+'Price Change'!AC35*ramps!AD47)</f>
        <v>0.12438267176129063</v>
      </c>
      <c r="AD54" s="66">
        <f>'Baseline Consumption'!AD54*ramps!AE75*(1+'Price Change'!AD35*ramps!AE47)</f>
        <v>0.12411262250316557</v>
      </c>
      <c r="AE54" s="66">
        <f>'Baseline Consumption'!AE54*ramps!AF75*(1+'Price Change'!AE35*ramps!AF47)</f>
        <v>0.12413204383269709</v>
      </c>
      <c r="AF54" s="66">
        <f>'Baseline Consumption'!AF54*ramps!AG75*(1+'Price Change'!AF35*ramps!AG47)</f>
        <v>0.12440671364349694</v>
      </c>
      <c r="AG54" s="66">
        <f>'Baseline Consumption'!AG54*ramps!AH75*(1+'Price Change'!AG35*ramps!AH47)</f>
        <v>0.12486603489745247</v>
      </c>
      <c r="AH54" s="66">
        <f>'Baseline Consumption'!AH54*ramps!AI75*(1+'Price Change'!AH35*ramps!AI47)</f>
        <v>0.12529183158022492</v>
      </c>
      <c r="AI54" s="66">
        <f>'Baseline Consumption'!AI54*ramps!AJ75*(1+'Price Change'!AI35*ramps!AJ47)</f>
        <v>0.12584992526853445</v>
      </c>
      <c r="AJ54" s="66">
        <f>'Baseline Consumption'!AJ54*ramps!AK75*(1+'Price Change'!AJ35*ramps!AK47)</f>
        <v>0.1263670913922128</v>
      </c>
      <c r="AK54" s="66">
        <f>'Baseline Consumption'!AK54*ramps!AL75*(1+'Price Change'!AK35*ramps!AL47)</f>
        <v>0.12690656712764764</v>
      </c>
    </row>
    <row r="55" spans="1:37">
      <c r="A55" s="70" t="s">
        <v>31</v>
      </c>
      <c r="B55" s="60"/>
      <c r="C55" s="60"/>
      <c r="D55" s="60"/>
      <c r="E55" s="60"/>
      <c r="F55" s="60"/>
      <c r="G55" s="60"/>
      <c r="H55" s="60"/>
      <c r="I55" s="60"/>
      <c r="J55" s="66"/>
      <c r="K55" s="66">
        <f>'Baseline Consumption'!K55*(1+'Price Change'!K36*ramps!L48)</f>
        <v>2.8244637583621612E-2</v>
      </c>
      <c r="L55" s="66">
        <f>'Baseline Consumption'!L55*(1+'Price Change'!L36*ramps!M48)</f>
        <v>2.3722906936050506E-2</v>
      </c>
      <c r="M55" s="66">
        <f>'Baseline Consumption'!M55*(1+'Price Change'!M36*ramps!N48)</f>
        <v>5.6361689951724608E-2</v>
      </c>
      <c r="N55" s="66">
        <f>'Baseline Consumption'!N55*(1+'Price Change'!N36*ramps!O48)</f>
        <v>5.6926909025486298E-2</v>
      </c>
      <c r="O55" s="66">
        <f>'Baseline Consumption'!O55*(1+'Price Change'!O36*ramps!P48)</f>
        <v>5.6538735540234572E-2</v>
      </c>
      <c r="P55" s="66">
        <f>'Baseline Consumption'!P55*(1+'Price Change'!P36*ramps!Q48)</f>
        <v>5.5431963453969044E-2</v>
      </c>
      <c r="Q55" s="66">
        <f>'Baseline Consumption'!Q55*(1+'Price Change'!Q36*ramps!R48)</f>
        <v>4.0565602008360228E-2</v>
      </c>
      <c r="R55" s="66">
        <f>'Baseline Consumption'!R55*(1+'Price Change'!R36*ramps!S48)</f>
        <v>5.9344564257219498E-2</v>
      </c>
      <c r="S55" s="66">
        <f>'Baseline Consumption'!S55*(1+'Price Change'!S36*ramps!T48)</f>
        <v>5.4948692496144466E-2</v>
      </c>
      <c r="T55" s="66">
        <f>'Baseline Consumption'!T55*(1+'Price Change'!T36*ramps!U48)</f>
        <v>5.3997522135673146E-2</v>
      </c>
      <c r="U55" s="66">
        <f>'Baseline Consumption'!U55*(1+'Price Change'!U36*ramps!V48)</f>
        <v>5.6971768012058797E-2</v>
      </c>
      <c r="V55" s="66">
        <f>'Baseline Consumption'!V55*(1+'Price Change'!V36*ramps!W48)</f>
        <v>5.7810926767138358E-2</v>
      </c>
      <c r="W55" s="66">
        <f>'Baseline Consumption'!W55*(1+'Price Change'!W36*ramps!X48)</f>
        <v>5.5952998970460674E-2</v>
      </c>
      <c r="X55" s="498">
        <f>'Baseline Consumption'!X55*(1+'Price Change'!X36*ramps!Y48)</f>
        <v>5.6245378665438286E-2</v>
      </c>
      <c r="Y55" s="66">
        <f>'Baseline Consumption'!Y55*(1+'Price Change'!Y36*ramps!Z48)</f>
        <v>5.629111185238142E-2</v>
      </c>
      <c r="Z55" s="66">
        <f>'Baseline Consumption'!Z55*(1+'Price Change'!Z36*ramps!AA48)</f>
        <v>5.6251134734818117E-2</v>
      </c>
      <c r="AA55" s="66">
        <f>'Baseline Consumption'!AA55*(1+'Price Change'!AA36*ramps!AB48)</f>
        <v>5.6167191669178974E-2</v>
      </c>
      <c r="AB55" s="66">
        <f>'Baseline Consumption'!AB55*(1+'Price Change'!AB36*ramps!AC48)</f>
        <v>5.5964486806369937E-2</v>
      </c>
      <c r="AC55" s="66">
        <f>'Baseline Consumption'!AC55*(1+'Price Change'!AC36*ramps!AD48)</f>
        <v>5.5690718890435621E-2</v>
      </c>
      <c r="AD55" s="66">
        <f>'Baseline Consumption'!AD55*(1+'Price Change'!AD36*ramps!AE48)</f>
        <v>5.539895810390074E-2</v>
      </c>
      <c r="AE55" s="66">
        <f>'Baseline Consumption'!AE55*(1+'Price Change'!AE36*ramps!AF48)</f>
        <v>5.5054090799546228E-2</v>
      </c>
      <c r="AF55" s="66">
        <f>'Baseline Consumption'!AF55*(1+'Price Change'!AF36*ramps!AG48)</f>
        <v>5.4695104354693075E-2</v>
      </c>
      <c r="AG55" s="66">
        <f>'Baseline Consumption'!AG55*(1+'Price Change'!AG36*ramps!AH48)</f>
        <v>5.4600170766989461E-2</v>
      </c>
      <c r="AH55" s="66">
        <f>'Baseline Consumption'!AH55*(1+'Price Change'!AH36*ramps!AI48)</f>
        <v>5.3347164125971451E-2</v>
      </c>
      <c r="AI55" s="66">
        <f>'Baseline Consumption'!AI55*(1+'Price Change'!AI36*ramps!AJ48)</f>
        <v>5.292627088638386E-2</v>
      </c>
      <c r="AJ55" s="66">
        <f>'Baseline Consumption'!AJ55*(1+'Price Change'!AJ36*ramps!AK48)</f>
        <v>5.2277746469349358E-2</v>
      </c>
      <c r="AK55" s="66">
        <f>'Baseline Consumption'!AK55*(1+'Price Change'!AK36*ramps!AL48)</f>
        <v>5.1603856439153252E-2</v>
      </c>
    </row>
    <row r="56" spans="1:37">
      <c r="A56" s="70" t="s">
        <v>69</v>
      </c>
      <c r="B56" s="60"/>
      <c r="C56" s="60"/>
      <c r="D56" s="60"/>
      <c r="E56" s="60"/>
      <c r="F56" s="60"/>
      <c r="G56" s="60"/>
      <c r="H56" s="60"/>
      <c r="I56" s="60"/>
      <c r="J56" s="66"/>
      <c r="K56" s="66">
        <f>'Baseline Consumption'!K56</f>
        <v>4.7251878519457089E-3</v>
      </c>
      <c r="L56" s="66">
        <f>'Baseline Consumption'!L56</f>
        <v>4.7577817403228369E-3</v>
      </c>
      <c r="M56" s="66">
        <f>'Baseline Consumption'!M56</f>
        <v>3.5240396970298319E-3</v>
      </c>
      <c r="N56" s="66">
        <f>'Baseline Consumption'!N56</f>
        <v>3.5438157725992147E-3</v>
      </c>
      <c r="O56" s="66">
        <f>'Baseline Consumption'!O56</f>
        <v>3.5543983351104791E-3</v>
      </c>
      <c r="P56" s="66">
        <f>'Baseline Consumption'!P56</f>
        <v>3.566748094986335E-3</v>
      </c>
      <c r="Q56" s="66">
        <f>'Baseline Consumption'!Q56</f>
        <v>3.5823927282644394E-3</v>
      </c>
      <c r="R56" s="66">
        <f>'Baseline Consumption'!R56</f>
        <v>3.5872017302463182E-3</v>
      </c>
      <c r="S56" s="66">
        <f>'Baseline Consumption'!S56</f>
        <v>3.591591837125702E-3</v>
      </c>
      <c r="T56" s="66">
        <f>'Baseline Consumption'!T56</f>
        <v>3.5983861411953348E-3</v>
      </c>
      <c r="U56" s="66">
        <f>'Baseline Consumption'!U56</f>
        <v>3.6104747171313688E-3</v>
      </c>
      <c r="V56" s="66">
        <f>'Baseline Consumption'!V56</f>
        <v>3.6235404416828714E-3</v>
      </c>
      <c r="W56" s="66">
        <f>'Baseline Consumption'!W56</f>
        <v>3.6377031120788813E-3</v>
      </c>
      <c r="X56" s="498">
        <f>'Baseline Consumption'!X56</f>
        <v>3.6523619365472293E-3</v>
      </c>
      <c r="Y56" s="66">
        <f>'Baseline Consumption'!Y56</f>
        <v>3.6680907174766399E-3</v>
      </c>
      <c r="Z56" s="66">
        <f>'Baseline Consumption'!Z56</f>
        <v>3.6829547944741909E-3</v>
      </c>
      <c r="AA56" s="66">
        <f>'Baseline Consumption'!AA56</f>
        <v>3.6984451297202305E-3</v>
      </c>
      <c r="AB56" s="66">
        <f>'Baseline Consumption'!AB56</f>
        <v>3.7125014139280993E-3</v>
      </c>
      <c r="AC56" s="66">
        <f>'Baseline Consumption'!AC56</f>
        <v>3.7252509909949023E-3</v>
      </c>
      <c r="AD56" s="66">
        <f>'Baseline Consumption'!AD56</f>
        <v>3.7360909638991372E-3</v>
      </c>
      <c r="AE56" s="66">
        <f>'Baseline Consumption'!AE56</f>
        <v>3.747075525172984E-3</v>
      </c>
      <c r="AF56" s="66">
        <f>'Baseline Consumption'!AF56</f>
        <v>3.7592579278710827E-3</v>
      </c>
      <c r="AG56" s="66">
        <f>'Baseline Consumption'!AG56</f>
        <v>3.772941377247963E-3</v>
      </c>
      <c r="AH56" s="66">
        <f>'Baseline Consumption'!AH56</f>
        <v>3.7870078829111272E-3</v>
      </c>
      <c r="AI56" s="66">
        <f>'Baseline Consumption'!AI56</f>
        <v>3.8032314347736219E-3</v>
      </c>
      <c r="AJ56" s="66">
        <f>'Baseline Consumption'!AJ56</f>
        <v>3.8214774861605972E-3</v>
      </c>
      <c r="AK56" s="66">
        <f>'Baseline Consumption'!AK56</f>
        <v>3.8407442828911498E-3</v>
      </c>
    </row>
    <row r="57" spans="1:37">
      <c r="A57" s="70" t="s">
        <v>70</v>
      </c>
      <c r="B57" s="60"/>
      <c r="C57" s="60"/>
      <c r="D57" s="60"/>
      <c r="E57" s="60"/>
      <c r="F57" s="60"/>
      <c r="G57" s="60"/>
      <c r="H57" s="60"/>
      <c r="I57" s="60"/>
      <c r="J57" s="66"/>
      <c r="K57" s="66">
        <f>'Baseline Consumption'!K57*(1+'Price Change'!K37*ramps!L45)</f>
        <v>7.6542590343438698E-3</v>
      </c>
      <c r="L57" s="66">
        <f>'Baseline Consumption'!L57*(1+'Price Change'!L37*ramps!M45)</f>
        <v>1.0491304948248799E-2</v>
      </c>
      <c r="M57" s="66">
        <f>'Baseline Consumption'!M57*(1+'Price Change'!M37*ramps!N45)</f>
        <v>9.5635689109968107E-3</v>
      </c>
      <c r="N57" s="66">
        <f>'Baseline Consumption'!N57*(1+'Price Change'!N37*ramps!O45)</f>
        <v>8.6732216644605006E-3</v>
      </c>
      <c r="O57" s="66">
        <f>'Baseline Consumption'!O57*(1+'Price Change'!O37*ramps!P45)</f>
        <v>9.1173418278275055E-3</v>
      </c>
      <c r="P57" s="66">
        <f>'Baseline Consumption'!P57*(1+'Price Change'!P37*ramps!Q45)</f>
        <v>9.3710883476949489E-3</v>
      </c>
      <c r="Q57" s="66">
        <f>'Baseline Consumption'!Q57*(1+'Price Change'!Q37*ramps!R45)</f>
        <v>9.4011350388181446E-3</v>
      </c>
      <c r="R57" s="66">
        <f>'Baseline Consumption'!R57*(1+'Price Change'!R37*ramps!S45)</f>
        <v>9.3390550366097228E-3</v>
      </c>
      <c r="S57" s="66">
        <f>'Baseline Consumption'!S57*(1+'Price Change'!S37*ramps!T45)</f>
        <v>9.4000924170493678E-3</v>
      </c>
      <c r="T57" s="66">
        <f>'Baseline Consumption'!T57*(1+'Price Change'!T37*ramps!U45)</f>
        <v>9.4531104123714692E-3</v>
      </c>
      <c r="U57" s="66">
        <f>'Baseline Consumption'!U57*(1+'Price Change'!U37*ramps!V45)</f>
        <v>9.5254026081774464E-3</v>
      </c>
      <c r="V57" s="66">
        <f>'Baseline Consumption'!V57*(1+'Price Change'!V37*ramps!W45)</f>
        <v>9.55002588273564E-3</v>
      </c>
      <c r="W57" s="66">
        <f>'Baseline Consumption'!W57*(1+'Price Change'!W37*ramps!X45)</f>
        <v>9.4744465795800134E-3</v>
      </c>
      <c r="X57" s="498">
        <f>'Baseline Consumption'!X57*(1+'Price Change'!X37*ramps!Y45)</f>
        <v>9.4790714442871855E-3</v>
      </c>
      <c r="Y57" s="66">
        <f>'Baseline Consumption'!Y57*(1+'Price Change'!Y37*ramps!Z45)</f>
        <v>9.4733234429638293E-3</v>
      </c>
      <c r="Z57" s="66">
        <f>'Baseline Consumption'!Z57*(1+'Price Change'!Z37*ramps!AA45)</f>
        <v>9.4566914173397319E-3</v>
      </c>
      <c r="AA57" s="66">
        <f>'Baseline Consumption'!AA57*(1+'Price Change'!AA37*ramps!AB45)</f>
        <v>9.9456254067786642E-3</v>
      </c>
      <c r="AB57" s="66">
        <f>'Baseline Consumption'!AB57*(1+'Price Change'!AB37*ramps!AC45)</f>
        <v>9.9755516886462624E-3</v>
      </c>
      <c r="AC57" s="66">
        <f>'Baseline Consumption'!AC57*(1+'Price Change'!AC37*ramps!AD45)</f>
        <v>1.0023654712598723E-2</v>
      </c>
      <c r="AD57" s="66">
        <f>'Baseline Consumption'!AD57*(1+'Price Change'!AD37*ramps!AE45)</f>
        <v>1.0041174008383795E-2</v>
      </c>
      <c r="AE57" s="66">
        <f>'Baseline Consumption'!AE57*(1+'Price Change'!AE37*ramps!AF45)</f>
        <v>1.0088542027877387E-2</v>
      </c>
      <c r="AF57" s="66">
        <f>'Baseline Consumption'!AF57*(1+'Price Change'!AF37*ramps!AG45)</f>
        <v>1.0138345213746404E-2</v>
      </c>
      <c r="AG57" s="66">
        <f>'Baseline Consumption'!AG57*(1+'Price Change'!AG37*ramps!AH45)</f>
        <v>1.0213809922456213E-2</v>
      </c>
      <c r="AH57" s="66">
        <f>'Baseline Consumption'!AH57*(1+'Price Change'!AH37*ramps!AI45)</f>
        <v>1.0261753259902955E-2</v>
      </c>
      <c r="AI57" s="66">
        <f>'Baseline Consumption'!AI57*(1+'Price Change'!AI37*ramps!AJ45)</f>
        <v>1.0307541185928016E-2</v>
      </c>
      <c r="AJ57" s="66">
        <f>'Baseline Consumption'!AJ57*(1+'Price Change'!AJ37*ramps!AK45)</f>
        <v>1.0356491404989603E-2</v>
      </c>
      <c r="AK57" s="66">
        <f>'Baseline Consumption'!AK57*(1+'Price Change'!AK37*ramps!AL45)</f>
        <v>1.0381611402598948E-2</v>
      </c>
    </row>
    <row r="58" spans="1:37">
      <c r="A58" s="70" t="s">
        <v>71</v>
      </c>
      <c r="B58" s="60"/>
      <c r="C58" s="60"/>
      <c r="D58" s="60"/>
      <c r="E58" s="60"/>
      <c r="F58" s="60"/>
      <c r="G58" s="60"/>
      <c r="H58" s="60"/>
      <c r="I58" s="60"/>
      <c r="J58" s="66"/>
      <c r="K58" s="66">
        <f>'Baseline Consumption'!K58*(1+'Price Change'!K38*ramps!L45)</f>
        <v>2.7980264280246404E-4</v>
      </c>
      <c r="L58" s="66">
        <f>'Baseline Consumption'!L58*(1+'Price Change'!L38*ramps!M45)</f>
        <v>3.1085721642753989E-4</v>
      </c>
      <c r="M58" s="66">
        <f>'Baseline Consumption'!M58*(1+'Price Change'!M38*ramps!N45)</f>
        <v>1.0680664930692984E-3</v>
      </c>
      <c r="N58" s="66">
        <f>'Baseline Consumption'!N58*(1+'Price Change'!N38*ramps!O45)</f>
        <v>1.1991705929665461E-3</v>
      </c>
      <c r="O58" s="66">
        <f>'Baseline Consumption'!O58*(1+'Price Change'!O38*ramps!P45)</f>
        <v>1.3625559005886482E-3</v>
      </c>
      <c r="P58" s="66">
        <f>'Baseline Consumption'!P58*(1+'Price Change'!P38*ramps!Q45)</f>
        <v>1.5119247856123467E-3</v>
      </c>
      <c r="Q58" s="66">
        <f>'Baseline Consumption'!Q58*(1+'Price Change'!Q38*ramps!R45)</f>
        <v>1.5897530015356457E-3</v>
      </c>
      <c r="R58" s="66">
        <f>'Baseline Consumption'!R58*(1+'Price Change'!R38*ramps!S45)</f>
        <v>2.1623744494655072E-3</v>
      </c>
      <c r="S58" s="66">
        <f>'Baseline Consumption'!S58*(1+'Price Change'!S38*ramps!T45)</f>
        <v>2.3505519032994758E-3</v>
      </c>
      <c r="T58" s="66">
        <f>'Baseline Consumption'!T58*(1+'Price Change'!T38*ramps!U45)</f>
        <v>2.4817620442748509E-3</v>
      </c>
      <c r="U58" s="66">
        <f>'Baseline Consumption'!U58*(1+'Price Change'!U38*ramps!V45)</f>
        <v>2.5197101800986978E-3</v>
      </c>
      <c r="V58" s="66">
        <f>'Baseline Consumption'!V58*(1+'Price Change'!V38*ramps!W45)</f>
        <v>2.6471168964510745E-3</v>
      </c>
      <c r="W58" s="66">
        <f>'Baseline Consumption'!W58*(1+'Price Change'!W38*ramps!X45)</f>
        <v>2.8469105122507637E-3</v>
      </c>
      <c r="X58" s="498">
        <f>'Baseline Consumption'!X58*(1+'Price Change'!X38*ramps!Y45)</f>
        <v>3.0260075567613565E-3</v>
      </c>
      <c r="Y58" s="66">
        <f>'Baseline Consumption'!Y58*(1+'Price Change'!Y38*ramps!Z45)</f>
        <v>3.2170957842877603E-3</v>
      </c>
      <c r="Z58" s="66">
        <f>'Baseline Consumption'!Z58*(1+'Price Change'!Z38*ramps!AA45)</f>
        <v>3.4102409274828038E-3</v>
      </c>
      <c r="AA58" s="66">
        <f>'Baseline Consumption'!AA58*(1+'Price Change'!AA38*ramps!AB45)</f>
        <v>3.6586321658800412E-3</v>
      </c>
      <c r="AB58" s="66">
        <f>'Baseline Consumption'!AB58*(1+'Price Change'!AB38*ramps!AC45)</f>
        <v>3.8772706342459352E-3</v>
      </c>
      <c r="AC58" s="66">
        <f>'Baseline Consumption'!AC58*(1+'Price Change'!AC38*ramps!AD45)</f>
        <v>4.0912964608937332E-3</v>
      </c>
      <c r="AD58" s="66">
        <f>'Baseline Consumption'!AD58*(1+'Price Change'!AD38*ramps!AE45)</f>
        <v>4.3123909015732051E-3</v>
      </c>
      <c r="AE58" s="66">
        <f>'Baseline Consumption'!AE58*(1+'Price Change'!AE38*ramps!AF45)</f>
        <v>4.5518376999878667E-3</v>
      </c>
      <c r="AF58" s="66">
        <f>'Baseline Consumption'!AF58*(1+'Price Change'!AF38*ramps!AG45)</f>
        <v>4.7798192708668275E-3</v>
      </c>
      <c r="AG58" s="66">
        <f>'Baseline Consumption'!AG58*(1+'Price Change'!AG38*ramps!AH45)</f>
        <v>5.000531218905431E-3</v>
      </c>
      <c r="AH58" s="66">
        <f>'Baseline Consumption'!AH58*(1+'Price Change'!AH38*ramps!AI45)</f>
        <v>5.3138319443982122E-3</v>
      </c>
      <c r="AI58" s="66">
        <f>'Baseline Consumption'!AI58*(1+'Price Change'!AI38*ramps!AJ45)</f>
        <v>5.5652323183254145E-3</v>
      </c>
      <c r="AJ58" s="66">
        <f>'Baseline Consumption'!AJ58*(1+'Price Change'!AJ38*ramps!AK45)</f>
        <v>5.8366122504585121E-3</v>
      </c>
      <c r="AK58" s="66">
        <f>'Baseline Consumption'!AK58*(1+'Price Change'!AK38*ramps!AL45)</f>
        <v>6.1378262509239811E-3</v>
      </c>
    </row>
    <row r="59" spans="1:37">
      <c r="A59" s="70" t="s">
        <v>72</v>
      </c>
      <c r="B59" s="60"/>
      <c r="C59" s="60"/>
      <c r="D59" s="60"/>
      <c r="E59" s="60"/>
      <c r="F59" s="60"/>
      <c r="G59" s="60"/>
      <c r="H59" s="60"/>
      <c r="I59" s="60"/>
      <c r="J59" s="66"/>
      <c r="K59" s="66">
        <f>'Baseline Consumption'!K59</f>
        <v>1.8519254759732349E-7</v>
      </c>
      <c r="L59" s="66">
        <f>'Baseline Consumption'!L59</f>
        <v>8.5188571894768807E-6</v>
      </c>
      <c r="M59" s="66">
        <f>'Baseline Consumption'!M59</f>
        <v>7.6812258118750917E-6</v>
      </c>
      <c r="N59" s="66">
        <f>'Baseline Consumption'!N59</f>
        <v>1.1681789790085217E-5</v>
      </c>
      <c r="O59" s="66">
        <f>'Baseline Consumption'!O59</f>
        <v>2.3390265893364494E-5</v>
      </c>
      <c r="P59" s="66">
        <f>'Baseline Consumption'!P59</f>
        <v>4.0271768787402663E-5</v>
      </c>
      <c r="Q59" s="66">
        <f>'Baseline Consumption'!Q59</f>
        <v>6.7563927536998274E-5</v>
      </c>
      <c r="R59" s="66">
        <f>'Baseline Consumption'!R59</f>
        <v>1.0255306961137048E-4</v>
      </c>
      <c r="S59" s="66">
        <f>'Baseline Consumption'!S59</f>
        <v>1.4116481658685756E-4</v>
      </c>
      <c r="T59" s="66">
        <f>'Baseline Consumption'!T59</f>
        <v>1.7950551258727237E-4</v>
      </c>
      <c r="U59" s="66">
        <f>'Baseline Consumption'!U59</f>
        <v>2.2030225940287916E-4</v>
      </c>
      <c r="V59" s="66">
        <f>'Baseline Consumption'!V59</f>
        <v>2.6648087784777969E-4</v>
      </c>
      <c r="W59" s="66">
        <f>'Baseline Consumption'!W59</f>
        <v>3.1016375665115223E-4</v>
      </c>
      <c r="X59" s="498">
        <f>'Baseline Consumption'!X59</f>
        <v>3.4819834307924771E-4</v>
      </c>
      <c r="Y59" s="66">
        <f>'Baseline Consumption'!Y59</f>
        <v>3.8058720010738167E-4</v>
      </c>
      <c r="Z59" s="66">
        <f>'Baseline Consumption'!Z59</f>
        <v>4.11428260228219E-4</v>
      </c>
      <c r="AA59" s="66">
        <f>'Baseline Consumption'!AA59</f>
        <v>4.4127654810609458E-4</v>
      </c>
      <c r="AB59" s="66">
        <f>'Baseline Consumption'!AB59</f>
        <v>4.6912161724447642E-4</v>
      </c>
      <c r="AC59" s="66">
        <f>'Baseline Consumption'!AC59</f>
        <v>4.9546893733998221E-4</v>
      </c>
      <c r="AD59" s="66">
        <f>'Baseline Consumption'!AD59</f>
        <v>5.2060703441858482E-4</v>
      </c>
      <c r="AE59" s="66">
        <f>'Baseline Consumption'!AE59</f>
        <v>5.44796251843379E-4</v>
      </c>
      <c r="AF59" s="66">
        <f>'Baseline Consumption'!AF59</f>
        <v>5.6764274446841068E-4</v>
      </c>
      <c r="AG59" s="66">
        <f>'Baseline Consumption'!AG59</f>
        <v>5.9001049482059137E-4</v>
      </c>
      <c r="AH59" s="66">
        <f>'Baseline Consumption'!AH59</f>
        <v>6.1066574628897401E-4</v>
      </c>
      <c r="AI59" s="66">
        <f>'Baseline Consumption'!AI59</f>
        <v>6.2997048540308859E-4</v>
      </c>
      <c r="AJ59" s="66">
        <f>'Baseline Consumption'!AJ59</f>
        <v>6.4786557278247463E-4</v>
      </c>
      <c r="AK59" s="66">
        <f>'Baseline Consumption'!AK59</f>
        <v>6.655663437938375E-4</v>
      </c>
    </row>
    <row r="60" spans="1:37">
      <c r="A60" s="72" t="s">
        <v>390</v>
      </c>
      <c r="B60" s="60"/>
      <c r="C60" s="60"/>
      <c r="D60" s="60"/>
      <c r="E60" s="60"/>
      <c r="F60" s="60"/>
      <c r="G60" s="60"/>
      <c r="H60" s="60"/>
      <c r="I60" s="60"/>
      <c r="J60" s="66"/>
      <c r="K60" s="66">
        <f>('Baseline Consumption'!K60+K65)*(1+'Price Change'!K38*ramps!L56)</f>
        <v>5.7637900128040972E-4</v>
      </c>
      <c r="L60" s="66">
        <f>('Baseline Consumption'!L60+L65)*(1+'Price Change'!L38*ramps!M56)</f>
        <v>1.1620145113102858E-4</v>
      </c>
      <c r="M60" s="66">
        <f>('Baseline Consumption'!M60+M65)*(1+'Price Change'!M38*ramps!N56)</f>
        <v>1.3979172001707217E-4</v>
      </c>
      <c r="N60" s="66">
        <f>('Baseline Consumption'!N60+N65)*(1+'Price Change'!N38*ramps!O56)</f>
        <v>6.172356807511738E-4</v>
      </c>
      <c r="O60" s="66">
        <f>('Baseline Consumption'!O60+O65)*(1+'Price Change'!O38*ramps!P56)</f>
        <v>8.5457311139564669E-4</v>
      </c>
      <c r="P60" s="66">
        <f>('Baseline Consumption'!P60+P65)*(1+'Price Change'!P38*ramps!Q56)</f>
        <v>1.1288348271446863E-3</v>
      </c>
      <c r="Q60" s="66">
        <f>('Baseline Consumption'!Q60+Q65)*(1+'Price Change'!Q38*ramps!R56)</f>
        <v>1.423196050211145E-3</v>
      </c>
      <c r="R60" s="66">
        <f>('Baseline Consumption'!R60+R65)*(1+'Price Change'!R38*ramps!S56)</f>
        <v>1.7471153122589156E-3</v>
      </c>
      <c r="S60" s="66">
        <f>('Baseline Consumption'!S60+S65)*(1+'Price Change'!S38*ramps!T56)</f>
        <v>2.0942995083819624E-3</v>
      </c>
      <c r="T60" s="66">
        <f>('Baseline Consumption'!T60+T65)*(1+'Price Change'!T38*ramps!U56)</f>
        <v>2.4616403537846498E-3</v>
      </c>
      <c r="U60" s="66">
        <f>('Baseline Consumption'!U60+U65)*(1+'Price Change'!U38*ramps!V56)</f>
        <v>2.8455547986405189E-3</v>
      </c>
      <c r="V60" s="66">
        <f>('Baseline Consumption'!V60+V65)*(1+'Price Change'!V38*ramps!W56)</f>
        <v>3.2474847302776228E-3</v>
      </c>
      <c r="W60" s="66">
        <f>('Baseline Consumption'!W60+W65)*(1+'Price Change'!W38*ramps!X56)</f>
        <v>3.6671260287842776E-3</v>
      </c>
      <c r="X60" s="498">
        <f>('Baseline Consumption'!X60+X65)*(1+'Price Change'!X38*ramps!Y56)</f>
        <v>4.0791663307873909E-3</v>
      </c>
      <c r="Y60" s="66">
        <f>('Baseline Consumption'!Y60+Y65)*(1+'Price Change'!Y38*ramps!Z56)</f>
        <v>4.48090715102685E-3</v>
      </c>
      <c r="Z60" s="66">
        <f>('Baseline Consumption'!Z60+Z65)*(1+'Price Change'!Z38*ramps!AA56)</f>
        <v>4.866998656984969E-3</v>
      </c>
      <c r="AA60" s="66">
        <f>('Baseline Consumption'!AA60+AA65)*(1+'Price Change'!AA38*ramps!AB56)</f>
        <v>5.2743320529236026E-3</v>
      </c>
      <c r="AB60" s="66">
        <f>('Baseline Consumption'!AB60+AB65)*(1+'Price Change'!AB38*ramps!AC56)</f>
        <v>5.567743918053778E-3</v>
      </c>
      <c r="AC60" s="66">
        <f>('Baseline Consumption'!AC60+AC65)*(1+'Price Change'!AC38*ramps!AD56)</f>
        <v>5.8514246692274868E-3</v>
      </c>
      <c r="AD60" s="66">
        <f>('Baseline Consumption'!AD60+AD65)*(1+'Price Change'!AD38*ramps!AE56)</f>
        <v>6.0934221084080259E-3</v>
      </c>
      <c r="AE60" s="66">
        <f>('Baseline Consumption'!AE60+AE65)*(1+'Price Change'!AE38*ramps!AF56)</f>
        <v>6.3314622279129328E-3</v>
      </c>
      <c r="AF60" s="66">
        <f>('Baseline Consumption'!AF60+AF65)*(1+'Price Change'!AF38*ramps!AG56)</f>
        <v>6.4979496372172428E-3</v>
      </c>
      <c r="AG60" s="66">
        <f>('Baseline Consumption'!AG60+AG65)*(1+'Price Change'!AG38*ramps!AH56)</f>
        <v>6.7705352112675315E-3</v>
      </c>
      <c r="AH60" s="66">
        <f>('Baseline Consumption'!AH60+AH65)*(1+'Price Change'!AH38*ramps!AI56)</f>
        <v>7.0045801109687609E-3</v>
      </c>
      <c r="AI60" s="66">
        <f>('Baseline Consumption'!AI60+AI65)*(1+'Price Change'!AI38*ramps!AJ56)</f>
        <v>7.2386250106699895E-3</v>
      </c>
      <c r="AJ60" s="66">
        <f>('Baseline Consumption'!AJ60+AJ65)*(1+'Price Change'!AJ38*ramps!AK56)</f>
        <v>7.472669910371218E-3</v>
      </c>
      <c r="AK60" s="66">
        <f>('Baseline Consumption'!AK60+AK65)*(1+'Price Change'!AK38*ramps!AL56)</f>
        <v>7.7067148100724474E-3</v>
      </c>
    </row>
    <row r="61" spans="1:37">
      <c r="A61" s="70" t="s">
        <v>28</v>
      </c>
      <c r="B61" s="60"/>
      <c r="C61" s="60"/>
      <c r="D61" s="60"/>
      <c r="E61" s="60"/>
      <c r="F61" s="60"/>
      <c r="G61" s="60"/>
      <c r="H61" s="60"/>
      <c r="I61" s="60"/>
      <c r="J61" s="66"/>
      <c r="K61" s="85">
        <f>SUM(K50:K60)</f>
        <v>0.56516268233575506</v>
      </c>
      <c r="L61" s="85">
        <f t="shared" ref="L61:AJ61" si="4">SUM(L50:L60)</f>
        <v>0.56989884708936211</v>
      </c>
      <c r="M61" s="85">
        <f t="shared" si="4"/>
        <v>0.62030026223733492</v>
      </c>
      <c r="N61" s="85">
        <f t="shared" si="4"/>
        <v>0.62653230291984363</v>
      </c>
      <c r="O61" s="85">
        <f t="shared" si="4"/>
        <v>0.62859328189599351</v>
      </c>
      <c r="P61" s="85">
        <f t="shared" si="4"/>
        <v>0.63084514771571254</v>
      </c>
      <c r="Q61" s="85">
        <f t="shared" si="4"/>
        <v>0.61458351568495695</v>
      </c>
      <c r="R61" s="85">
        <f t="shared" si="4"/>
        <v>0.62566783651118185</v>
      </c>
      <c r="S61" s="85">
        <f t="shared" si="4"/>
        <v>0.61600117388679088</v>
      </c>
      <c r="T61" s="85">
        <f t="shared" si="4"/>
        <v>0.60856082467212269</v>
      </c>
      <c r="U61" s="85">
        <f t="shared" si="4"/>
        <v>0.60496325295753628</v>
      </c>
      <c r="V61" s="85">
        <f t="shared" si="4"/>
        <v>0.59874057682469584</v>
      </c>
      <c r="W61" s="85">
        <f t="shared" si="4"/>
        <v>0.59110539736620316</v>
      </c>
      <c r="X61" s="499">
        <f t="shared" si="4"/>
        <v>0.58661643303617184</v>
      </c>
      <c r="Y61" s="85">
        <f t="shared" si="4"/>
        <v>0.58256058787740717</v>
      </c>
      <c r="Z61" s="85">
        <f t="shared" si="4"/>
        <v>0.57886624403076259</v>
      </c>
      <c r="AA61" s="85">
        <f t="shared" si="4"/>
        <v>0.59099726047472867</v>
      </c>
      <c r="AB61" s="85">
        <f t="shared" si="4"/>
        <v>0.58930941091872413</v>
      </c>
      <c r="AC61" s="85">
        <f t="shared" si="4"/>
        <v>0.58827459316323105</v>
      </c>
      <c r="AD61" s="85">
        <f t="shared" si="4"/>
        <v>0.58764365696910648</v>
      </c>
      <c r="AE61" s="85">
        <f t="shared" si="4"/>
        <v>0.58768826282711184</v>
      </c>
      <c r="AF61" s="85">
        <f t="shared" si="4"/>
        <v>0.58822393926800021</v>
      </c>
      <c r="AG61" s="85">
        <f t="shared" si="4"/>
        <v>0.59000079288943075</v>
      </c>
      <c r="AH61" s="85">
        <f t="shared" si="4"/>
        <v>0.59060930010021617</v>
      </c>
      <c r="AI61" s="85">
        <f t="shared" si="4"/>
        <v>0.59253889819459282</v>
      </c>
      <c r="AJ61" s="85">
        <f t="shared" si="4"/>
        <v>0.59451435837907241</v>
      </c>
      <c r="AK61" s="85">
        <f>SUM(AK50:AK60)</f>
        <v>0.59690164605770957</v>
      </c>
    </row>
    <row r="62" spans="1:37">
      <c r="A62" s="70"/>
      <c r="B62" s="60"/>
      <c r="C62" s="60"/>
      <c r="D62" s="60"/>
      <c r="E62" s="60"/>
      <c r="F62" s="60"/>
      <c r="G62" s="60"/>
      <c r="H62" s="60"/>
      <c r="I62" s="60"/>
      <c r="J62" s="66"/>
      <c r="K62" s="161"/>
      <c r="L62" s="161"/>
      <c r="M62" s="161"/>
      <c r="N62" s="161"/>
      <c r="O62" s="161"/>
      <c r="P62" s="161"/>
      <c r="Q62" s="161"/>
      <c r="R62" s="161"/>
      <c r="S62" s="161"/>
      <c r="T62" s="161"/>
      <c r="U62" s="161"/>
      <c r="V62" s="161"/>
      <c r="W62" s="161"/>
      <c r="X62" s="500"/>
      <c r="Y62" s="161"/>
      <c r="Z62" s="161"/>
      <c r="AA62" s="161"/>
      <c r="AB62" s="161"/>
      <c r="AC62" s="161"/>
      <c r="AD62" s="161"/>
      <c r="AE62" s="161"/>
      <c r="AF62" s="161"/>
      <c r="AG62" s="161"/>
      <c r="AH62" s="161"/>
      <c r="AI62" s="161"/>
      <c r="AJ62" s="161"/>
      <c r="AK62" s="161"/>
    </row>
    <row r="63" spans="1:37">
      <c r="A63" s="425" t="s">
        <v>1064</v>
      </c>
      <c r="B63" s="60"/>
      <c r="C63" s="60"/>
      <c r="D63" s="60"/>
      <c r="E63" s="60"/>
      <c r="F63" s="60"/>
      <c r="G63" s="60"/>
      <c r="H63" s="60"/>
      <c r="I63" s="60"/>
      <c r="J63" s="66"/>
      <c r="K63" s="161"/>
      <c r="L63" s="161"/>
      <c r="M63" s="161"/>
      <c r="N63" s="161"/>
      <c r="O63" s="161"/>
      <c r="P63" s="161"/>
      <c r="Q63" s="161"/>
      <c r="R63" s="161"/>
      <c r="S63" s="161"/>
      <c r="T63" s="161"/>
      <c r="U63" s="161"/>
      <c r="V63" s="161"/>
      <c r="W63" s="161"/>
      <c r="X63" s="500"/>
      <c r="Y63" s="161"/>
      <c r="Z63" s="161"/>
      <c r="AA63" s="161"/>
      <c r="AB63" s="161"/>
      <c r="AC63" s="161"/>
      <c r="AD63" s="161"/>
      <c r="AE63" s="161"/>
      <c r="AF63" s="161"/>
      <c r="AG63" s="161"/>
      <c r="AH63" s="161"/>
      <c r="AI63" s="161"/>
      <c r="AJ63" s="161"/>
      <c r="AK63" s="161"/>
    </row>
    <row r="64" spans="1:37">
      <c r="A64" s="98" t="s">
        <v>1065</v>
      </c>
      <c r="B64" s="60"/>
      <c r="C64" s="60"/>
      <c r="D64" s="60"/>
      <c r="E64" s="60"/>
      <c r="F64" s="60"/>
      <c r="G64" s="60"/>
      <c r="H64" s="60"/>
      <c r="I64" s="60"/>
      <c r="J64" s="66"/>
      <c r="K64" s="161">
        <f>'Baseline Consumption'!K52*ramps!L74*ramps!L100</f>
        <v>0</v>
      </c>
      <c r="L64" s="161">
        <f>'Baseline Consumption'!L52*ramps!M74*ramps!M100</f>
        <v>0</v>
      </c>
      <c r="M64" s="161">
        <f>'Baseline Consumption'!M52*ramps!N74*ramps!N100</f>
        <v>0</v>
      </c>
      <c r="N64" s="161">
        <f>'Baseline Consumption'!N52*ramps!O74*ramps!O100</f>
        <v>0</v>
      </c>
      <c r="O64" s="161">
        <f>'Baseline Consumption'!O52*ramps!P74*ramps!P100</f>
        <v>0</v>
      </c>
      <c r="P64" s="161">
        <f>'Baseline Consumption'!P52*ramps!Q74*ramps!Q100</f>
        <v>0</v>
      </c>
      <c r="Q64" s="161">
        <f>'Baseline Consumption'!Q52*ramps!R74*ramps!R100</f>
        <v>0</v>
      </c>
      <c r="R64" s="161">
        <f>'Baseline Consumption'!R52*ramps!S74*ramps!S100</f>
        <v>0</v>
      </c>
      <c r="S64" s="161">
        <f>'Baseline Consumption'!S52*ramps!T74*ramps!T100</f>
        <v>0</v>
      </c>
      <c r="T64" s="161">
        <f>'Baseline Consumption'!T52*ramps!U74*ramps!U100</f>
        <v>0</v>
      </c>
      <c r="U64" s="161">
        <f>'Baseline Consumption'!U52*ramps!V74*ramps!V100</f>
        <v>0</v>
      </c>
      <c r="V64" s="161">
        <f>'Baseline Consumption'!V52*ramps!W74*ramps!W100</f>
        <v>0</v>
      </c>
      <c r="W64" s="161">
        <f>'Baseline Consumption'!W52*ramps!X74*ramps!X100</f>
        <v>0</v>
      </c>
      <c r="X64" s="500">
        <f>'Baseline Consumption'!X52*ramps!Y74*ramps!Y100</f>
        <v>0</v>
      </c>
      <c r="Y64" s="161">
        <f>'Baseline Consumption'!Y52*ramps!Z74*ramps!Z100</f>
        <v>0</v>
      </c>
      <c r="Z64" s="161">
        <f>'Baseline Consumption'!Z52*ramps!AA74*ramps!AA100</f>
        <v>0</v>
      </c>
      <c r="AA64" s="161">
        <f>'Baseline Consumption'!AA52*ramps!AB74*ramps!AB100</f>
        <v>0</v>
      </c>
      <c r="AB64" s="161">
        <f>'Baseline Consumption'!AB52*ramps!AC74*ramps!AC100</f>
        <v>0</v>
      </c>
      <c r="AC64" s="161">
        <f>'Baseline Consumption'!AC52*ramps!AD74*ramps!AD100</f>
        <v>0</v>
      </c>
      <c r="AD64" s="161">
        <f>'Baseline Consumption'!AD52*ramps!AE74*ramps!AE100</f>
        <v>0</v>
      </c>
      <c r="AE64" s="161">
        <f>'Baseline Consumption'!AE52*ramps!AF74*ramps!AF100</f>
        <v>0</v>
      </c>
      <c r="AF64" s="161">
        <f>'Baseline Consumption'!AF52*ramps!AG74*ramps!AG100</f>
        <v>0</v>
      </c>
      <c r="AG64" s="161">
        <f>'Baseline Consumption'!AG52*ramps!AH74*ramps!AH100</f>
        <v>0</v>
      </c>
      <c r="AH64" s="161">
        <f>'Baseline Consumption'!AH52*ramps!AI74*ramps!AI100</f>
        <v>0</v>
      </c>
      <c r="AI64" s="161">
        <f>'Baseline Consumption'!AI52*ramps!AJ74*ramps!AJ100</f>
        <v>0</v>
      </c>
      <c r="AJ64" s="161">
        <f>'Baseline Consumption'!AJ52*ramps!AK74*ramps!AK100</f>
        <v>0</v>
      </c>
      <c r="AK64" s="161">
        <f>'Baseline Consumption'!AK52*ramps!AL74*ramps!AL100</f>
        <v>0</v>
      </c>
    </row>
    <row r="65" spans="1:37">
      <c r="A65" s="98" t="s">
        <v>1066</v>
      </c>
      <c r="B65" s="60"/>
      <c r="C65" s="60"/>
      <c r="D65" s="60"/>
      <c r="E65" s="60"/>
      <c r="F65" s="60"/>
      <c r="G65" s="60"/>
      <c r="H65" s="60"/>
      <c r="I65" s="60"/>
      <c r="J65" s="66"/>
      <c r="K65" s="161">
        <f>K64*ramps!L103</f>
        <v>0</v>
      </c>
      <c r="L65" s="161">
        <f>L64*ramps!M103</f>
        <v>0</v>
      </c>
      <c r="M65" s="161">
        <f>M64*ramps!N103</f>
        <v>0</v>
      </c>
      <c r="N65" s="161">
        <f>N64*ramps!O103</f>
        <v>0</v>
      </c>
      <c r="O65" s="161">
        <f>O64*ramps!P103</f>
        <v>0</v>
      </c>
      <c r="P65" s="161">
        <f>P64*ramps!Q103</f>
        <v>0</v>
      </c>
      <c r="Q65" s="161">
        <f>Q64*ramps!R103</f>
        <v>0</v>
      </c>
      <c r="R65" s="161">
        <f>R64*ramps!S103</f>
        <v>0</v>
      </c>
      <c r="S65" s="161">
        <f>S64*ramps!T103</f>
        <v>0</v>
      </c>
      <c r="T65" s="161">
        <f>T64*ramps!U103</f>
        <v>0</v>
      </c>
      <c r="U65" s="161">
        <f>U64*ramps!V103</f>
        <v>0</v>
      </c>
      <c r="V65" s="161">
        <f>V64*ramps!W103</f>
        <v>0</v>
      </c>
      <c r="W65" s="161">
        <f>W64*ramps!X103</f>
        <v>0</v>
      </c>
      <c r="X65" s="500">
        <f>X64*ramps!Y103</f>
        <v>0</v>
      </c>
      <c r="Y65" s="161">
        <f>Y64*ramps!Z103</f>
        <v>0</v>
      </c>
      <c r="Z65" s="161">
        <f>Z64*ramps!AA103</f>
        <v>0</v>
      </c>
      <c r="AA65" s="161">
        <f>AA64*ramps!AB103</f>
        <v>0</v>
      </c>
      <c r="AB65" s="161">
        <f>AB64*ramps!AC103</f>
        <v>0</v>
      </c>
      <c r="AC65" s="161">
        <f>AC64*ramps!AD103</f>
        <v>0</v>
      </c>
      <c r="AD65" s="161">
        <f>AD64*ramps!AE103</f>
        <v>0</v>
      </c>
      <c r="AE65" s="161">
        <f>AE64*ramps!AF103</f>
        <v>0</v>
      </c>
      <c r="AF65" s="161">
        <f>AF64*ramps!AG103</f>
        <v>0</v>
      </c>
      <c r="AG65" s="161">
        <f>AG64*ramps!AH103</f>
        <v>0</v>
      </c>
      <c r="AH65" s="161">
        <f>AH64*ramps!AI103</f>
        <v>0</v>
      </c>
      <c r="AI65" s="161">
        <f>AI64*ramps!AJ103</f>
        <v>0</v>
      </c>
      <c r="AJ65" s="161">
        <f>AJ64*ramps!AK103</f>
        <v>0</v>
      </c>
      <c r="AK65" s="161">
        <f>AK64*ramps!AL103</f>
        <v>0</v>
      </c>
    </row>
    <row r="66" spans="1:37">
      <c r="A66" s="98"/>
      <c r="B66" s="60"/>
      <c r="C66" s="60"/>
      <c r="D66" s="60"/>
      <c r="E66" s="60"/>
      <c r="F66" s="60"/>
      <c r="G66" s="60"/>
      <c r="H66" s="60"/>
      <c r="I66" s="60"/>
      <c r="J66" s="537"/>
      <c r="K66" s="538"/>
      <c r="L66" s="538"/>
      <c r="M66" s="538"/>
      <c r="N66" s="538"/>
      <c r="O66" s="538"/>
      <c r="P66" s="538"/>
      <c r="Q66" s="538"/>
      <c r="R66" s="538"/>
      <c r="S66" s="538"/>
      <c r="T66" s="538"/>
      <c r="U66" s="538"/>
      <c r="V66" s="538"/>
      <c r="W66" s="538"/>
      <c r="X66" s="500"/>
      <c r="Y66" s="538"/>
      <c r="Z66" s="538"/>
      <c r="AA66" s="538"/>
      <c r="AB66" s="538"/>
      <c r="AC66" s="538"/>
      <c r="AD66" s="538"/>
      <c r="AE66" s="538"/>
      <c r="AF66" s="538"/>
      <c r="AG66" s="538"/>
      <c r="AH66" s="538"/>
      <c r="AI66" s="538"/>
      <c r="AJ66" s="538"/>
      <c r="AK66" s="538"/>
    </row>
    <row r="67" spans="1:37">
      <c r="A67" s="727" t="s">
        <v>1363</v>
      </c>
      <c r="B67" s="60"/>
      <c r="C67" s="60"/>
      <c r="D67" s="60"/>
      <c r="E67" s="60"/>
      <c r="F67" s="60"/>
      <c r="G67" s="60"/>
      <c r="H67" s="60"/>
      <c r="I67" s="60"/>
      <c r="J67" s="537"/>
      <c r="K67" s="538"/>
      <c r="L67" s="538"/>
      <c r="M67" s="538"/>
      <c r="N67" s="538"/>
      <c r="O67" s="538"/>
      <c r="P67" s="538"/>
      <c r="Q67" s="538"/>
      <c r="R67" s="538"/>
      <c r="S67" s="538"/>
      <c r="T67" s="538"/>
      <c r="U67" s="538"/>
      <c r="V67" s="538"/>
      <c r="W67" s="538"/>
      <c r="X67" s="500"/>
      <c r="Y67" s="538"/>
      <c r="Z67" s="538"/>
      <c r="AA67" s="538"/>
      <c r="AB67" s="538"/>
      <c r="AC67" s="538"/>
      <c r="AD67" s="538"/>
      <c r="AE67" s="538"/>
      <c r="AF67" s="538"/>
      <c r="AG67" s="538"/>
      <c r="AH67" s="538"/>
      <c r="AI67" s="538"/>
      <c r="AJ67" s="538"/>
      <c r="AK67" s="538"/>
    </row>
    <row r="68" spans="1:37">
      <c r="A68" s="98" t="s">
        <v>1364</v>
      </c>
      <c r="B68" s="60"/>
      <c r="C68" s="60"/>
      <c r="D68" s="60"/>
      <c r="E68" s="60"/>
      <c r="F68" s="60"/>
      <c r="G68" s="60"/>
      <c r="H68" s="60"/>
      <c r="I68" s="60"/>
      <c r="J68" s="537"/>
      <c r="K68" s="538"/>
      <c r="L68" s="538"/>
      <c r="M68" s="538"/>
      <c r="N68" s="538"/>
      <c r="O68" s="538"/>
      <c r="P68" s="538"/>
      <c r="Q68" s="538"/>
      <c r="R68" s="538"/>
      <c r="S68" s="538"/>
      <c r="T68" s="538"/>
      <c r="U68" s="538"/>
      <c r="V68" s="538"/>
      <c r="W68" s="538"/>
      <c r="X68" s="500"/>
      <c r="Y68" s="538"/>
      <c r="Z68" s="538"/>
      <c r="AA68" s="538"/>
      <c r="AB68" s="538"/>
      <c r="AC68" s="538"/>
      <c r="AD68" s="538"/>
      <c r="AE68" s="538"/>
      <c r="AF68" s="538"/>
      <c r="AG68" s="538"/>
      <c r="AH68" s="538"/>
      <c r="AI68" s="538"/>
      <c r="AJ68" s="538"/>
      <c r="AK68" s="538"/>
    </row>
    <row r="69" spans="1:37">
      <c r="A69" s="98" t="s">
        <v>1365</v>
      </c>
      <c r="B69" s="60"/>
      <c r="C69" s="60"/>
      <c r="D69" s="60"/>
      <c r="E69" s="60"/>
      <c r="F69" s="60"/>
      <c r="G69" s="60"/>
      <c r="H69" s="60"/>
      <c r="I69" s="60"/>
      <c r="J69" s="66"/>
      <c r="K69" s="66"/>
      <c r="L69" s="66"/>
      <c r="M69" s="66"/>
      <c r="N69" s="66"/>
      <c r="O69" s="66"/>
      <c r="P69" s="66"/>
      <c r="Q69" s="66"/>
      <c r="R69" s="66"/>
      <c r="S69" s="66"/>
      <c r="T69" s="66"/>
      <c r="U69" s="66"/>
      <c r="V69" s="66"/>
      <c r="W69" s="66"/>
      <c r="X69" s="498"/>
      <c r="Y69" s="66"/>
      <c r="Z69" s="66"/>
      <c r="AA69" s="66"/>
      <c r="AB69" s="66"/>
      <c r="AC69" s="66"/>
      <c r="AD69" s="66"/>
      <c r="AE69" s="66"/>
      <c r="AF69" s="66"/>
      <c r="AG69" s="66"/>
      <c r="AH69" s="66"/>
      <c r="AI69" s="66"/>
      <c r="AJ69" s="66"/>
      <c r="AK69" s="66"/>
    </row>
    <row r="70" spans="1:37">
      <c r="A70" s="98"/>
      <c r="B70" s="60"/>
      <c r="C70" s="60"/>
      <c r="D70" s="60"/>
      <c r="E70" s="60"/>
      <c r="F70" s="60"/>
      <c r="G70" s="60"/>
      <c r="H70" s="60"/>
      <c r="I70" s="60"/>
      <c r="J70" s="537"/>
      <c r="K70" s="537"/>
      <c r="L70" s="537"/>
      <c r="M70" s="537"/>
      <c r="N70" s="537"/>
      <c r="O70" s="537"/>
      <c r="P70" s="537"/>
      <c r="Q70" s="537"/>
      <c r="R70" s="537"/>
      <c r="S70" s="537"/>
      <c r="T70" s="537"/>
      <c r="U70" s="537"/>
      <c r="V70" s="537"/>
      <c r="W70" s="537"/>
      <c r="X70" s="498"/>
      <c r="Y70" s="537"/>
      <c r="Z70" s="537"/>
      <c r="AA70" s="537"/>
      <c r="AB70" s="537"/>
      <c r="AC70" s="537"/>
      <c r="AD70" s="537"/>
      <c r="AE70" s="537"/>
      <c r="AF70" s="537"/>
      <c r="AG70" s="537"/>
      <c r="AH70" s="537"/>
      <c r="AI70" s="537"/>
      <c r="AJ70" s="537"/>
      <c r="AK70" s="537"/>
    </row>
    <row r="71" spans="1:37">
      <c r="A71" s="728" t="s">
        <v>1366</v>
      </c>
      <c r="B71" s="60"/>
      <c r="C71" s="60"/>
      <c r="D71" s="60"/>
      <c r="E71" s="60"/>
      <c r="F71" s="60"/>
      <c r="G71" s="60"/>
      <c r="H71" s="60"/>
      <c r="I71" s="60"/>
      <c r="J71" s="66"/>
      <c r="K71" s="66">
        <f>K13+K25+K46+K60</f>
        <v>0.32423589244558265</v>
      </c>
      <c r="L71" s="66">
        <f t="shared" ref="L71:AJ71" si="5">L13+L25+L46+L60</f>
        <v>0.31953592573623563</v>
      </c>
      <c r="M71" s="66">
        <f t="shared" si="5"/>
        <v>0.31488841923550687</v>
      </c>
      <c r="N71" s="66">
        <f t="shared" si="5"/>
        <v>0.30332012857384211</v>
      </c>
      <c r="O71" s="66">
        <f t="shared" si="5"/>
        <v>0.30390001248335979</v>
      </c>
      <c r="P71" s="66">
        <f t="shared" si="5"/>
        <v>0.30205822264127702</v>
      </c>
      <c r="Q71" s="66">
        <f t="shared" si="5"/>
        <v>0.29932079093801434</v>
      </c>
      <c r="R71" s="66">
        <f t="shared" si="5"/>
        <v>0.2967264853606752</v>
      </c>
      <c r="S71" s="66">
        <f t="shared" si="5"/>
        <v>0.29404046037671255</v>
      </c>
      <c r="T71" s="66">
        <f t="shared" si="5"/>
        <v>0.29141096131251515</v>
      </c>
      <c r="U71" s="66">
        <f t="shared" si="5"/>
        <v>0.28870741463975219</v>
      </c>
      <c r="V71" s="66">
        <f t="shared" si="5"/>
        <v>0.28633015676750173</v>
      </c>
      <c r="W71" s="66">
        <f t="shared" si="5"/>
        <v>0.28427556048873315</v>
      </c>
      <c r="X71" s="498">
        <f t="shared" si="5"/>
        <v>0.28235977993873224</v>
      </c>
      <c r="Y71" s="66">
        <f t="shared" si="5"/>
        <v>0.28096922258047857</v>
      </c>
      <c r="Z71" s="66">
        <f t="shared" si="5"/>
        <v>0.28105251137735648</v>
      </c>
      <c r="AA71" s="66">
        <f t="shared" si="5"/>
        <v>0.28626306293150316</v>
      </c>
      <c r="AB71" s="66">
        <f t="shared" si="5"/>
        <v>0.28817032063530174</v>
      </c>
      <c r="AC71" s="66">
        <f t="shared" si="5"/>
        <v>0.29116937381498598</v>
      </c>
      <c r="AD71" s="66">
        <f t="shared" si="5"/>
        <v>0.29432204133525908</v>
      </c>
      <c r="AE71" s="66">
        <f t="shared" si="5"/>
        <v>0.29762295264554506</v>
      </c>
      <c r="AF71" s="66">
        <f t="shared" si="5"/>
        <v>0.30111226856530598</v>
      </c>
      <c r="AG71" s="66">
        <f t="shared" si="5"/>
        <v>0.30418063380644933</v>
      </c>
      <c r="AH71" s="66">
        <f t="shared" si="5"/>
        <v>0.30741438127550585</v>
      </c>
      <c r="AI71" s="66">
        <f t="shared" si="5"/>
        <v>0.31064812874456277</v>
      </c>
      <c r="AJ71" s="66">
        <f t="shared" si="5"/>
        <v>0.31388187621361968</v>
      </c>
      <c r="AK71" s="66">
        <f>AK13+AK25+AK46+AK60</f>
        <v>0.31711562368267665</v>
      </c>
    </row>
    <row r="72" spans="1:37">
      <c r="A72" s="99" t="s">
        <v>446</v>
      </c>
      <c r="B72" s="60"/>
      <c r="C72" s="60"/>
      <c r="D72" s="60"/>
      <c r="E72" s="60"/>
      <c r="F72" s="60"/>
      <c r="G72" s="60"/>
      <c r="H72" s="60"/>
      <c r="I72" s="60"/>
      <c r="J72" s="66"/>
      <c r="K72" s="67">
        <f>K71/'Baseline Consumption'!K63</f>
        <v>1</v>
      </c>
      <c r="L72" s="67">
        <f>L71/'Baseline Consumption'!L63</f>
        <v>1</v>
      </c>
      <c r="M72" s="67">
        <f>M71/'Baseline Consumption'!M63</f>
        <v>1</v>
      </c>
      <c r="N72" s="67">
        <f>N71/'Baseline Consumption'!N63</f>
        <v>1</v>
      </c>
      <c r="O72" s="67">
        <f>O71/'Baseline Consumption'!O63</f>
        <v>1</v>
      </c>
      <c r="P72" s="67">
        <f>P71/'Baseline Consumption'!P63</f>
        <v>1</v>
      </c>
      <c r="Q72" s="67">
        <f>Q71/'Baseline Consumption'!Q63</f>
        <v>0.99902559650279865</v>
      </c>
      <c r="R72" s="67">
        <f>R71/'Baseline Consumption'!R63</f>
        <v>0.998046424871607</v>
      </c>
      <c r="S72" s="67">
        <f>S71/'Baseline Consumption'!S63</f>
        <v>0.99695137788473975</v>
      </c>
      <c r="T72" s="67">
        <f>T71/'Baseline Consumption'!T63</f>
        <v>0.99601079255623926</v>
      </c>
      <c r="U72" s="67">
        <f>U71/'Baseline Consumption'!U63</f>
        <v>0.99477234659797031</v>
      </c>
      <c r="V72" s="67">
        <f>V71/'Baseline Consumption'!V63</f>
        <v>0.99367696534293692</v>
      </c>
      <c r="W72" s="67">
        <f>W71/'Baseline Consumption'!W63</f>
        <v>0.99322323228251508</v>
      </c>
      <c r="X72" s="501">
        <f>X71/'Baseline Consumption'!X63</f>
        <v>0.99201817354516331</v>
      </c>
      <c r="Y72" s="67">
        <f>Y71/'Baseline Consumption'!Y63</f>
        <v>0.99080461361555527</v>
      </c>
      <c r="Z72" s="67">
        <f>Z71/'Baseline Consumption'!Z63</f>
        <v>0.98951514031888688</v>
      </c>
      <c r="AA72" s="67">
        <f>AA71/'Baseline Consumption'!AA63</f>
        <v>1</v>
      </c>
      <c r="AB72" s="67">
        <f>AB71/'Baseline Consumption'!AB63</f>
        <v>1</v>
      </c>
      <c r="AC72" s="67">
        <f>AC71/'Baseline Consumption'!AC63</f>
        <v>1</v>
      </c>
      <c r="AD72" s="67">
        <f>AD71/'Baseline Consumption'!AD63</f>
        <v>1</v>
      </c>
      <c r="AE72" s="67">
        <f>AE71/'Baseline Consumption'!AE63</f>
        <v>1</v>
      </c>
      <c r="AF72" s="67">
        <f>AF71/'Baseline Consumption'!AF63</f>
        <v>1</v>
      </c>
      <c r="AG72" s="67">
        <f>AG71/'Baseline Consumption'!AG63</f>
        <v>1</v>
      </c>
      <c r="AH72" s="67">
        <f>AH71/'Baseline Consumption'!AH63</f>
        <v>1</v>
      </c>
      <c r="AI72" s="67">
        <f>AI71/'Baseline Consumption'!AI63</f>
        <v>1</v>
      </c>
      <c r="AJ72" s="67">
        <f>AJ71/'Baseline Consumption'!AJ63</f>
        <v>1</v>
      </c>
      <c r="AK72" s="67">
        <f>AK71/'Baseline Consumption'!AK63</f>
        <v>1</v>
      </c>
    </row>
    <row r="73" spans="1:37">
      <c r="A73" s="98"/>
      <c r="B73" s="60"/>
      <c r="C73" s="60"/>
      <c r="D73" s="60"/>
      <c r="E73" s="60"/>
      <c r="F73" s="60"/>
      <c r="G73" s="60"/>
      <c r="H73" s="60"/>
      <c r="I73" s="60"/>
      <c r="J73" s="66"/>
      <c r="K73" s="66"/>
      <c r="L73" s="66"/>
      <c r="M73" s="66"/>
      <c r="N73" s="66"/>
      <c r="O73" s="66"/>
      <c r="P73" s="66"/>
      <c r="Q73" s="66"/>
      <c r="R73" s="66"/>
      <c r="S73" s="66"/>
      <c r="T73" s="66"/>
      <c r="U73" s="66"/>
      <c r="V73" s="66"/>
      <c r="W73" s="66"/>
      <c r="X73" s="498"/>
      <c r="Y73" s="66"/>
      <c r="Z73" s="66"/>
      <c r="AA73" s="66"/>
      <c r="AB73" s="66"/>
      <c r="AC73" s="66"/>
      <c r="AD73" s="66"/>
      <c r="AE73" s="66"/>
      <c r="AF73" s="66"/>
      <c r="AG73" s="66"/>
      <c r="AH73" s="66"/>
      <c r="AI73" s="66"/>
      <c r="AJ73" s="66"/>
      <c r="AK73" s="66"/>
    </row>
    <row r="74" spans="1:37" ht="38.25">
      <c r="A74" s="111" t="s">
        <v>449</v>
      </c>
      <c r="B74" s="60"/>
      <c r="C74" s="60"/>
      <c r="D74" s="60"/>
      <c r="E74" s="60"/>
      <c r="F74" s="60"/>
      <c r="G74" s="60"/>
      <c r="H74" s="60"/>
      <c r="I74" s="60"/>
      <c r="J74" s="66"/>
      <c r="K74" s="66"/>
      <c r="L74" s="66"/>
      <c r="M74" s="66"/>
      <c r="N74" s="66"/>
      <c r="O74" s="66"/>
      <c r="P74" s="66"/>
      <c r="Q74" s="66"/>
      <c r="R74" s="66"/>
      <c r="S74" s="66"/>
      <c r="T74" s="66"/>
      <c r="U74" s="66"/>
      <c r="V74" s="66"/>
      <c r="W74" s="66"/>
      <c r="X74" s="498"/>
      <c r="Y74" s="66"/>
      <c r="Z74" s="66"/>
      <c r="AA74" s="66"/>
      <c r="AB74" s="66"/>
      <c r="AC74" s="66"/>
      <c r="AD74" s="66"/>
      <c r="AE74" s="66"/>
      <c r="AF74" s="66"/>
      <c r="AG74" s="66"/>
      <c r="AH74" s="66"/>
      <c r="AI74" s="66"/>
      <c r="AJ74" s="66"/>
      <c r="AK74" s="66"/>
    </row>
    <row r="75" spans="1:37">
      <c r="A75" s="91" t="s">
        <v>372</v>
      </c>
      <c r="B75" s="60"/>
      <c r="C75" s="60"/>
      <c r="D75" s="60"/>
      <c r="E75" s="60"/>
      <c r="F75" s="60"/>
      <c r="G75" s="60"/>
      <c r="H75" s="60"/>
      <c r="I75" s="60"/>
      <c r="J75" s="66"/>
      <c r="K75" s="67">
        <f t="shared" ref="K75:AK75" si="6">K$72*(1+K130)</f>
        <v>1</v>
      </c>
      <c r="L75" s="67">
        <f t="shared" si="6"/>
        <v>1</v>
      </c>
      <c r="M75" s="67">
        <f t="shared" si="6"/>
        <v>1</v>
      </c>
      <c r="N75" s="67">
        <f t="shared" si="6"/>
        <v>1</v>
      </c>
      <c r="O75" s="67">
        <f>O$72*(1+O130)</f>
        <v>1</v>
      </c>
      <c r="P75" s="67">
        <f t="shared" si="6"/>
        <v>1</v>
      </c>
      <c r="Q75" s="67">
        <f t="shared" si="6"/>
        <v>0.99017932285533816</v>
      </c>
      <c r="R75" s="67">
        <f t="shared" si="6"/>
        <v>0.97837103348845222</v>
      </c>
      <c r="S75" s="67">
        <f t="shared" si="6"/>
        <v>0.96457771764032385</v>
      </c>
      <c r="T75" s="67">
        <f t="shared" si="6"/>
        <v>0.94911118459140054</v>
      </c>
      <c r="U75" s="67">
        <f t="shared" si="6"/>
        <v>0.93239936700613157</v>
      </c>
      <c r="V75" s="67">
        <f t="shared" si="6"/>
        <v>0.91498851946017723</v>
      </c>
      <c r="W75" s="67">
        <f t="shared" si="6"/>
        <v>0.89658931960008836</v>
      </c>
      <c r="X75" s="501">
        <f t="shared" si="6"/>
        <v>0.87684984091947249</v>
      </c>
      <c r="Y75" s="67">
        <f t="shared" si="6"/>
        <v>0.85652249317829721</v>
      </c>
      <c r="Z75" s="67">
        <f t="shared" si="6"/>
        <v>0.8343285750784265</v>
      </c>
      <c r="AA75" s="67">
        <f t="shared" si="6"/>
        <v>1</v>
      </c>
      <c r="AB75" s="67">
        <f t="shared" si="6"/>
        <v>1</v>
      </c>
      <c r="AC75" s="67">
        <f t="shared" si="6"/>
        <v>1</v>
      </c>
      <c r="AD75" s="67">
        <f t="shared" si="6"/>
        <v>1</v>
      </c>
      <c r="AE75" s="67">
        <f t="shared" si="6"/>
        <v>1</v>
      </c>
      <c r="AF75" s="67">
        <f t="shared" si="6"/>
        <v>1</v>
      </c>
      <c r="AG75" s="67">
        <f t="shared" si="6"/>
        <v>1</v>
      </c>
      <c r="AH75" s="67">
        <f t="shared" si="6"/>
        <v>1</v>
      </c>
      <c r="AI75" s="67">
        <f t="shared" si="6"/>
        <v>1</v>
      </c>
      <c r="AJ75" s="67">
        <f t="shared" si="6"/>
        <v>1</v>
      </c>
      <c r="AK75" s="67">
        <f t="shared" si="6"/>
        <v>1</v>
      </c>
    </row>
    <row r="76" spans="1:37">
      <c r="A76" s="91" t="s">
        <v>422</v>
      </c>
      <c r="B76" s="60"/>
      <c r="C76" s="60"/>
      <c r="D76" s="60"/>
      <c r="E76" s="60"/>
      <c r="F76" s="60"/>
      <c r="G76" s="60"/>
      <c r="H76" s="60"/>
      <c r="I76" s="60"/>
      <c r="J76" s="66"/>
      <c r="K76" s="67">
        <f t="shared" ref="K76:AK76" si="7">K$72*(1+K131)</f>
        <v>1</v>
      </c>
      <c r="L76" s="67">
        <f t="shared" si="7"/>
        <v>1</v>
      </c>
      <c r="M76" s="67">
        <f t="shared" si="7"/>
        <v>1</v>
      </c>
      <c r="N76" s="67">
        <f t="shared" si="7"/>
        <v>1</v>
      </c>
      <c r="O76" s="67">
        <f>O$72*(1+O131)</f>
        <v>1</v>
      </c>
      <c r="P76" s="67">
        <f t="shared" si="7"/>
        <v>1</v>
      </c>
      <c r="Q76" s="67">
        <f t="shared" si="7"/>
        <v>0.99632151006280911</v>
      </c>
      <c r="R76" s="67">
        <f t="shared" si="7"/>
        <v>0.99192504588683661</v>
      </c>
      <c r="S76" s="67">
        <f t="shared" si="7"/>
        <v>0.98678209104378278</v>
      </c>
      <c r="T76" s="67">
        <f t="shared" si="7"/>
        <v>0.98157004012286619</v>
      </c>
      <c r="U76" s="67">
        <f t="shared" si="7"/>
        <v>0.9758237083736554</v>
      </c>
      <c r="V76" s="67">
        <f t="shared" si="7"/>
        <v>0.97044323463331994</v>
      </c>
      <c r="W76" s="67">
        <f t="shared" si="7"/>
        <v>0.9649923953825883</v>
      </c>
      <c r="X76" s="501">
        <f t="shared" si="7"/>
        <v>0.95849472439013839</v>
      </c>
      <c r="Y76" s="67">
        <f t="shared" si="7"/>
        <v>0.9514824262121877</v>
      </c>
      <c r="Z76" s="67">
        <f t="shared" si="7"/>
        <v>0.94426031404978394</v>
      </c>
      <c r="AA76" s="67">
        <f t="shared" si="7"/>
        <v>1</v>
      </c>
      <c r="AB76" s="67">
        <f t="shared" si="7"/>
        <v>1</v>
      </c>
      <c r="AC76" s="67">
        <f t="shared" si="7"/>
        <v>1</v>
      </c>
      <c r="AD76" s="67">
        <f t="shared" si="7"/>
        <v>1</v>
      </c>
      <c r="AE76" s="67">
        <f t="shared" si="7"/>
        <v>1</v>
      </c>
      <c r="AF76" s="67">
        <f t="shared" si="7"/>
        <v>1</v>
      </c>
      <c r="AG76" s="67">
        <f t="shared" si="7"/>
        <v>1</v>
      </c>
      <c r="AH76" s="67">
        <f t="shared" si="7"/>
        <v>1</v>
      </c>
      <c r="AI76" s="67">
        <f t="shared" si="7"/>
        <v>1</v>
      </c>
      <c r="AJ76" s="67">
        <f t="shared" si="7"/>
        <v>1</v>
      </c>
      <c r="AK76" s="67">
        <f t="shared" si="7"/>
        <v>1</v>
      </c>
    </row>
    <row r="77" spans="1:37">
      <c r="A77" s="91" t="s">
        <v>423</v>
      </c>
      <c r="B77" s="60"/>
      <c r="C77" s="60"/>
      <c r="D77" s="60"/>
      <c r="E77" s="60"/>
      <c r="F77" s="60"/>
      <c r="G77" s="60"/>
      <c r="H77" s="60"/>
      <c r="I77" s="60"/>
      <c r="J77" s="66"/>
      <c r="K77" s="67">
        <f t="shared" ref="K77:AK77" si="8">K$72*(1+K132)</f>
        <v>1</v>
      </c>
      <c r="L77" s="67">
        <f t="shared" si="8"/>
        <v>1</v>
      </c>
      <c r="M77" s="67">
        <f t="shared" si="8"/>
        <v>1</v>
      </c>
      <c r="N77" s="67">
        <f t="shared" si="8"/>
        <v>1</v>
      </c>
      <c r="O77" s="67">
        <f t="shared" si="8"/>
        <v>1</v>
      </c>
      <c r="P77" s="67">
        <f t="shared" si="8"/>
        <v>1</v>
      </c>
      <c r="Q77" s="67">
        <f t="shared" si="8"/>
        <v>0.99632151006280911</v>
      </c>
      <c r="R77" s="67">
        <f t="shared" si="8"/>
        <v>0.99192504588683661</v>
      </c>
      <c r="S77" s="67">
        <f t="shared" si="8"/>
        <v>0.98678209104378278</v>
      </c>
      <c r="T77" s="67">
        <f t="shared" si="8"/>
        <v>0.98157004012286619</v>
      </c>
      <c r="U77" s="67">
        <f t="shared" si="8"/>
        <v>0.9758237083736554</v>
      </c>
      <c r="V77" s="67">
        <f t="shared" si="8"/>
        <v>0.97044323463331994</v>
      </c>
      <c r="W77" s="67">
        <f t="shared" si="8"/>
        <v>0.9649923953825883</v>
      </c>
      <c r="X77" s="501">
        <f t="shared" si="8"/>
        <v>0.95849472439013839</v>
      </c>
      <c r="Y77" s="67">
        <f t="shared" si="8"/>
        <v>0.9514824262121877</v>
      </c>
      <c r="Z77" s="67">
        <f t="shared" si="8"/>
        <v>0.94426031404978394</v>
      </c>
      <c r="AA77" s="67">
        <f t="shared" si="8"/>
        <v>1</v>
      </c>
      <c r="AB77" s="67">
        <f t="shared" si="8"/>
        <v>1</v>
      </c>
      <c r="AC77" s="67">
        <f t="shared" si="8"/>
        <v>1</v>
      </c>
      <c r="AD77" s="67">
        <f t="shared" si="8"/>
        <v>1</v>
      </c>
      <c r="AE77" s="67">
        <f t="shared" si="8"/>
        <v>1</v>
      </c>
      <c r="AF77" s="67">
        <f t="shared" si="8"/>
        <v>1</v>
      </c>
      <c r="AG77" s="67">
        <f t="shared" si="8"/>
        <v>1</v>
      </c>
      <c r="AH77" s="67">
        <f t="shared" si="8"/>
        <v>1</v>
      </c>
      <c r="AI77" s="67">
        <f t="shared" si="8"/>
        <v>1</v>
      </c>
      <c r="AJ77" s="67">
        <f t="shared" si="8"/>
        <v>1</v>
      </c>
      <c r="AK77" s="67">
        <f t="shared" si="8"/>
        <v>1</v>
      </c>
    </row>
    <row r="78" spans="1:37">
      <c r="A78" s="91" t="s">
        <v>424</v>
      </c>
      <c r="B78" s="60"/>
      <c r="C78" s="60"/>
      <c r="D78" s="60"/>
      <c r="E78" s="60"/>
      <c r="F78" s="60"/>
      <c r="G78" s="60"/>
      <c r="H78" s="60"/>
      <c r="I78" s="60"/>
      <c r="J78" s="66"/>
      <c r="K78" s="67">
        <f t="shared" ref="K78:AK78" si="9">K$72*(1+K133)</f>
        <v>1</v>
      </c>
      <c r="L78" s="67">
        <f t="shared" si="9"/>
        <v>1</v>
      </c>
      <c r="M78" s="67">
        <f t="shared" si="9"/>
        <v>1</v>
      </c>
      <c r="N78" s="67">
        <f t="shared" si="9"/>
        <v>1</v>
      </c>
      <c r="O78" s="67">
        <f t="shared" si="9"/>
        <v>1</v>
      </c>
      <c r="P78" s="67">
        <f t="shared" si="9"/>
        <v>1</v>
      </c>
      <c r="Q78" s="67">
        <f t="shared" si="9"/>
        <v>0.99561815482382887</v>
      </c>
      <c r="R78" s="67">
        <f t="shared" si="9"/>
        <v>0.99090899778228303</v>
      </c>
      <c r="S78" s="67">
        <f t="shared" si="9"/>
        <v>0.98539678170441181</v>
      </c>
      <c r="T78" s="67">
        <f t="shared" si="9"/>
        <v>0.97949227661746663</v>
      </c>
      <c r="U78" s="67">
        <f t="shared" si="9"/>
        <v>0.97270098293138962</v>
      </c>
      <c r="V78" s="67">
        <f t="shared" si="9"/>
        <v>0.96554518620299346</v>
      </c>
      <c r="W78" s="67">
        <f t="shared" si="9"/>
        <v>0.95871475780932736</v>
      </c>
      <c r="X78" s="501">
        <f t="shared" si="9"/>
        <v>0.95099968203095075</v>
      </c>
      <c r="Y78" s="67">
        <f t="shared" si="9"/>
        <v>0.94326918550986483</v>
      </c>
      <c r="Z78" s="67">
        <f t="shared" si="9"/>
        <v>0.93494856658600645</v>
      </c>
      <c r="AA78" s="67">
        <f t="shared" si="9"/>
        <v>1</v>
      </c>
      <c r="AB78" s="67">
        <f t="shared" si="9"/>
        <v>1</v>
      </c>
      <c r="AC78" s="67">
        <f t="shared" si="9"/>
        <v>1</v>
      </c>
      <c r="AD78" s="67">
        <f t="shared" si="9"/>
        <v>1</v>
      </c>
      <c r="AE78" s="67">
        <f t="shared" si="9"/>
        <v>1</v>
      </c>
      <c r="AF78" s="67">
        <f t="shared" si="9"/>
        <v>1</v>
      </c>
      <c r="AG78" s="67">
        <f t="shared" si="9"/>
        <v>1</v>
      </c>
      <c r="AH78" s="67">
        <f t="shared" si="9"/>
        <v>1</v>
      </c>
      <c r="AI78" s="67">
        <f t="shared" si="9"/>
        <v>1</v>
      </c>
      <c r="AJ78" s="67">
        <f t="shared" si="9"/>
        <v>1</v>
      </c>
      <c r="AK78" s="67">
        <f t="shared" si="9"/>
        <v>1</v>
      </c>
    </row>
    <row r="79" spans="1:37">
      <c r="A79" s="91"/>
      <c r="B79" s="60"/>
      <c r="C79" s="60"/>
      <c r="D79" s="60"/>
      <c r="E79" s="60"/>
      <c r="F79" s="60"/>
      <c r="G79" s="60"/>
      <c r="H79" s="60"/>
      <c r="I79" s="60"/>
      <c r="J79" s="66"/>
      <c r="K79" s="66"/>
      <c r="L79" s="66"/>
      <c r="M79" s="66"/>
      <c r="N79" s="66"/>
      <c r="O79" s="66"/>
      <c r="P79" s="66"/>
      <c r="Q79" s="66"/>
      <c r="R79" s="66"/>
      <c r="S79" s="66"/>
      <c r="T79" s="66"/>
      <c r="U79" s="66"/>
      <c r="V79" s="66"/>
      <c r="W79" s="66"/>
      <c r="X79" s="498"/>
      <c r="Y79" s="66"/>
      <c r="Z79" s="66"/>
      <c r="AA79" s="66"/>
      <c r="AB79" s="66"/>
      <c r="AC79" s="66"/>
      <c r="AD79" s="66"/>
      <c r="AE79" s="66"/>
      <c r="AF79" s="66"/>
      <c r="AG79" s="66"/>
      <c r="AH79" s="66"/>
      <c r="AI79" s="66"/>
      <c r="AJ79" s="66"/>
      <c r="AK79" s="537"/>
    </row>
    <row r="80" spans="1:37" s="5" customFormat="1" ht="15">
      <c r="A80" s="72" t="s">
        <v>447</v>
      </c>
      <c r="B80" s="60"/>
      <c r="C80" s="60"/>
      <c r="D80" s="60"/>
      <c r="E80" s="60"/>
      <c r="F80" s="60"/>
      <c r="G80" s="60"/>
      <c r="H80" s="60"/>
      <c r="I80" s="60"/>
      <c r="J80" s="66"/>
      <c r="K80" s="66"/>
      <c r="L80" s="66"/>
      <c r="M80" s="66"/>
      <c r="N80" s="66"/>
      <c r="O80" s="66"/>
      <c r="P80" s="66"/>
      <c r="Q80" s="66"/>
      <c r="R80" s="66"/>
      <c r="S80" s="66"/>
      <c r="T80" s="66"/>
      <c r="U80" s="66"/>
      <c r="V80" s="66"/>
      <c r="W80" s="66"/>
      <c r="X80" s="498"/>
      <c r="Y80" s="66"/>
      <c r="Z80" s="66"/>
      <c r="AA80" s="66"/>
      <c r="AB80" s="66"/>
      <c r="AC80" s="66"/>
      <c r="AD80" s="66"/>
      <c r="AE80" s="66"/>
      <c r="AF80" s="66"/>
      <c r="AG80" s="66"/>
      <c r="AH80" s="66"/>
      <c r="AI80" s="66"/>
      <c r="AJ80" s="66"/>
      <c r="AK80" s="537"/>
    </row>
    <row r="81" spans="1:38">
      <c r="A81" s="91" t="s">
        <v>372</v>
      </c>
      <c r="B81" s="60"/>
      <c r="C81" s="60"/>
      <c r="D81" s="60"/>
      <c r="E81" s="60"/>
      <c r="F81" s="60"/>
      <c r="G81" s="60"/>
      <c r="H81" s="60"/>
      <c r="I81" s="60"/>
      <c r="J81" s="66"/>
      <c r="K81" s="537">
        <f>(K75*'Adjusted Consumption'!K123)+'Adjusted price'!K63</f>
        <v>0.1513329970238238</v>
      </c>
      <c r="L81" s="537">
        <f>(L75*'Adjusted Consumption'!L123)+'Adjusted price'!L63</f>
        <v>0.159607047247045</v>
      </c>
      <c r="M81" s="537">
        <f>(M75*'Adjusted Consumption'!M123)+'Adjusted price'!M63</f>
        <v>0.14132656560259083</v>
      </c>
      <c r="N81" s="537">
        <f>(N75*'Adjusted Consumption'!N123)+'Adjusted price'!N63</f>
        <v>0.12125803677553121</v>
      </c>
      <c r="O81" s="537">
        <f>(O75*'Adjusted Consumption'!O123)+'Adjusted price'!O63</f>
        <v>0.11653589835328161</v>
      </c>
      <c r="P81" s="537">
        <f>(P75*'Adjusted Consumption'!P123)+'Adjusted price'!P63</f>
        <v>0.11112030405217826</v>
      </c>
      <c r="Q81" s="537">
        <f>(Q75*'Adjusted Consumption'!Q123)+'Adjusted price'!Q63</f>
        <v>0.10355060842858607</v>
      </c>
      <c r="R81" s="537">
        <f>(R75*'Adjusted Consumption'!R123)+'Adjusted price'!R63</f>
        <v>7.9868489378602706E-2</v>
      </c>
      <c r="S81" s="537">
        <f>(S75*'Adjusted Consumption'!S123)+'Adjusted price'!S63</f>
        <v>7.5197748140138548E-2</v>
      </c>
      <c r="T81" s="537">
        <f>(T75*'Adjusted Consumption'!T123)+'Adjusted price'!T63</f>
        <v>6.009001316831071E-2</v>
      </c>
      <c r="U81" s="537">
        <f>(U75*'Adjusted Consumption'!U123)+'Adjusted price'!U63</f>
        <v>5.5572640308205801E-2</v>
      </c>
      <c r="V81" s="537">
        <f>(V75*'Adjusted Consumption'!V123)+'Adjusted price'!V63</f>
        <v>5.20958723598407E-2</v>
      </c>
      <c r="W81" s="537">
        <f>(W75*'Adjusted Consumption'!W123)+'Adjusted price'!W63</f>
        <v>3.2579460621857466E-2</v>
      </c>
      <c r="X81" s="537">
        <f>(X75*'Adjusted Consumption'!X123)+'Adjusted price'!X63</f>
        <v>3.1246811601987973E-2</v>
      </c>
      <c r="Y81" s="537">
        <f>(Y75*'Adjusted Consumption'!Y123)+'Adjusted price'!Y63</f>
        <v>3.0074282586476812E-2</v>
      </c>
      <c r="Z81" s="537">
        <f>(Z75*'Adjusted Consumption'!Z123)+'Adjusted price'!Z63</f>
        <v>2.9159165598077637E-2</v>
      </c>
      <c r="AA81" s="537">
        <f>(AA75*'Adjusted Consumption'!AA123)+'Adjusted price'!AA63</f>
        <v>4.106623606082644E-2</v>
      </c>
      <c r="AB81" s="537">
        <f>(AB75*'Adjusted Consumption'!AB123)+'Adjusted price'!AB63</f>
        <v>4.167854237644094E-2</v>
      </c>
      <c r="AC81" s="537">
        <f>(AC75*'Adjusted Consumption'!AC123)+'Adjusted price'!AC63</f>
        <v>4.2636107300693005E-2</v>
      </c>
      <c r="AD81" s="537">
        <f>(AD75*'Adjusted Consumption'!AD123)+'Adjusted price'!AD63</f>
        <v>4.3640752831809244E-2</v>
      </c>
      <c r="AE81" s="537">
        <f>(AE75*'Adjusted Consumption'!AE123)+'Adjusted price'!AE63</f>
        <v>4.4694304808104914E-2</v>
      </c>
      <c r="AF81" s="537">
        <f>(AF75*'Adjusted Consumption'!AF123)+'Adjusted price'!AF63</f>
        <v>4.5808486614209908E-2</v>
      </c>
      <c r="AG81" s="537">
        <f>(AG75*'Adjusted Consumption'!AG123)+'Adjusted price'!AG63</f>
        <v>4.6788663837393017E-2</v>
      </c>
      <c r="AH81" s="537">
        <f>(AH75*'Adjusted Consumption'!AH123)+'Adjusted price'!AH63</f>
        <v>4.7820932475770149E-2</v>
      </c>
      <c r="AI81" s="537">
        <f>(AI75*'Adjusted Consumption'!AI123)+'Adjusted price'!AI63</f>
        <v>4.8853915116891106E-2</v>
      </c>
      <c r="AJ81" s="537">
        <f>(AJ75*'Adjusted Consumption'!AJ123)+'Adjusted price'!AJ63</f>
        <v>4.9887522428895749E-2</v>
      </c>
      <c r="AK81" s="537">
        <f>(AK75*'Adjusted Consumption'!AK123)+'Adjusted price'!AK63</f>
        <v>5.0920949787959732E-2</v>
      </c>
      <c r="AL81" s="8"/>
    </row>
    <row r="82" spans="1:38">
      <c r="A82" s="91" t="s">
        <v>422</v>
      </c>
      <c r="B82" s="60"/>
      <c r="C82" s="60"/>
      <c r="D82" s="60"/>
      <c r="E82" s="60"/>
      <c r="F82" s="60"/>
      <c r="G82" s="60"/>
      <c r="H82" s="60"/>
      <c r="I82" s="60"/>
      <c r="J82" s="66"/>
      <c r="K82" s="537">
        <f>(K76*'Adjusted Consumption'!K124)+'Adjusted price'!K62</f>
        <v>7.766859456875147E-2</v>
      </c>
      <c r="L82" s="537">
        <f>(L76*'Adjusted Consumption'!L124)+'Adjusted price'!L62</f>
        <v>9.1344304441403679E-2</v>
      </c>
      <c r="M82" s="537">
        <f>(M76*'Adjusted Consumption'!M124)+'Adjusted price'!M62</f>
        <v>7.5264671075957135E-2</v>
      </c>
      <c r="N82" s="537">
        <f>(N76*'Adjusted Consumption'!N124)+'Adjusted price'!N62</f>
        <v>7.1671376365202946E-2</v>
      </c>
      <c r="O82" s="537">
        <f>(O76*'Adjusted Consumption'!O124)+'Adjusted price'!O62</f>
        <v>7.2041207519307107E-2</v>
      </c>
      <c r="P82" s="537">
        <f>(P76*'Adjusted Consumption'!P124)+'Adjusted price'!P62</f>
        <v>7.1834789479685246E-2</v>
      </c>
      <c r="Q82" s="537">
        <f>(Q76*'Adjusted Consumption'!Q124)+'Adjusted price'!Q62</f>
        <v>7.189327158789964E-2</v>
      </c>
      <c r="R82" s="537">
        <f>(R76*'Adjusted Consumption'!R124)+'Adjusted price'!R62</f>
        <v>8.2800056767532201E-2</v>
      </c>
      <c r="S82" s="537">
        <f>(S76*'Adjusted Consumption'!S124)+'Adjusted price'!S62</f>
        <v>8.5017953456611131E-2</v>
      </c>
      <c r="T82" s="537">
        <f>(T76*'Adjusted Consumption'!T124)+'Adjusted price'!T62</f>
        <v>9.1920132921246372E-2</v>
      </c>
      <c r="U82" s="537">
        <f>(U76*'Adjusted Consumption'!U124)+'Adjusted price'!U62</f>
        <v>9.3920302315908963E-2</v>
      </c>
      <c r="V82" s="537">
        <f>(V76*'Adjusted Consumption'!V124)+'Adjusted price'!V62</f>
        <v>9.5284327967635224E-2</v>
      </c>
      <c r="W82" s="537">
        <f>(W76*'Adjusted Consumption'!W124)+'Adjusted price'!W62</f>
        <v>0.1039782986414973</v>
      </c>
      <c r="X82" s="537">
        <f>(X76*'Adjusted Consumption'!X124)+'Adjusted price'!X62</f>
        <v>0.1027225018892854</v>
      </c>
      <c r="Y82" s="537">
        <f>(Y76*'Adjusted Consumption'!Y124)+'Adjusted price'!Y62</f>
        <v>0.10154955692765373</v>
      </c>
      <c r="Z82" s="537">
        <f>(Z76*'Adjusted Consumption'!Z124)+'Adjusted price'!Z62</f>
        <v>0.10083000756522228</v>
      </c>
      <c r="AA82" s="537">
        <f>(AA76*'Adjusted Consumption'!AA124)+'Adjusted price'!AA62</f>
        <v>0.10371596430500771</v>
      </c>
      <c r="AB82" s="537">
        <f>(AB76*'Adjusted Consumption'!AB124)+'Adjusted price'!AB62</f>
        <v>0.10405283655290387</v>
      </c>
      <c r="AC82" s="537">
        <f>(AC76*'Adjusted Consumption'!AC124)+'Adjusted price'!AC62</f>
        <v>0.10469890615652083</v>
      </c>
      <c r="AD82" s="537">
        <f>(AD76*'Adjusted Consumption'!AD124)+'Adjusted price'!AD62</f>
        <v>0.10538563943266151</v>
      </c>
      <c r="AE82" s="537">
        <f>(AE76*'Adjusted Consumption'!AE124)+'Adjusted price'!AE62</f>
        <v>0.10611126031310303</v>
      </c>
      <c r="AF82" s="537">
        <f>(AF76*'Adjusted Consumption'!AF124)+'Adjusted price'!AF62</f>
        <v>0.10688689630364318</v>
      </c>
      <c r="AG82" s="537">
        <f>(AG76*'Adjusted Consumption'!AG124)+'Adjusted price'!AG62</f>
        <v>0.1075400685162002</v>
      </c>
      <c r="AH82" s="537">
        <f>(AH76*'Adjusted Consumption'!AH124)+'Adjusted price'!AH62</f>
        <v>0.10823683467555788</v>
      </c>
      <c r="AI82" s="537">
        <f>(AI76*'Adjusted Consumption'!AI124)+'Adjusted price'!AI62</f>
        <v>0.10893038361000415</v>
      </c>
      <c r="AJ82" s="537">
        <f>(AJ76*'Adjusted Consumption'!AJ124)+'Adjusted price'!AJ62</f>
        <v>0.10962072540137398</v>
      </c>
      <c r="AK82" s="537">
        <f>(AK76*'Adjusted Consumption'!AK124)+'Adjusted price'!AK62</f>
        <v>0.11030787010404393</v>
      </c>
      <c r="AL82" s="8"/>
    </row>
    <row r="83" spans="1:38">
      <c r="A83" s="91" t="s">
        <v>423</v>
      </c>
      <c r="B83" s="60"/>
      <c r="C83" s="60"/>
      <c r="D83" s="60"/>
      <c r="E83" s="60"/>
      <c r="F83" s="60"/>
      <c r="G83" s="60"/>
      <c r="H83" s="60"/>
      <c r="I83" s="60"/>
      <c r="J83" s="66"/>
      <c r="K83" s="66">
        <f>K77*'Adjusted Consumption'!K125</f>
        <v>7.7588871681748299E-3</v>
      </c>
      <c r="L83" s="66">
        <f>L77*'Adjusted Consumption'!L125</f>
        <v>7.3848941545642055E-3</v>
      </c>
      <c r="M83" s="66">
        <f>M77*'Adjusted Consumption'!M125</f>
        <v>7.2629292180900343E-3</v>
      </c>
      <c r="N83" s="66">
        <f>N77*'Adjusted Consumption'!N125</f>
        <v>8.3785360325783487E-3</v>
      </c>
      <c r="O83" s="66">
        <f>O77*'Adjusted Consumption'!O125</f>
        <v>8.3777649127048364E-3</v>
      </c>
      <c r="P83" s="66">
        <f>P77*'Adjusted Consumption'!P125</f>
        <v>8.310337380515528E-3</v>
      </c>
      <c r="Q83" s="66">
        <f>Q77*'Adjusted Consumption'!Q125</f>
        <v>8.1963087435304033E-3</v>
      </c>
      <c r="R83" s="66">
        <f>R77*'Adjusted Consumption'!R125</f>
        <v>8.0811561933832547E-3</v>
      </c>
      <c r="S83" s="66">
        <f>S77*'Adjusted Consumption'!S125</f>
        <v>7.9592838259612778E-3</v>
      </c>
      <c r="T83" s="66">
        <f>T77*'Adjusted Consumption'!T125</f>
        <v>7.8381449655290682E-3</v>
      </c>
      <c r="U83" s="66">
        <f>U77*'Adjusted Consumption'!U125</f>
        <v>7.7141183666871874E-3</v>
      </c>
      <c r="V83" s="66">
        <f>V77*'Adjusted Consumption'!V125</f>
        <v>7.6015690691691156E-3</v>
      </c>
      <c r="W83" s="66">
        <f>W77*'Adjusted Consumption'!W125</f>
        <v>7.4930447755524347E-3</v>
      </c>
      <c r="X83" s="498">
        <f>X77*'Adjusted Consumption'!X125</f>
        <v>7.3866114751328709E-3</v>
      </c>
      <c r="Y83" s="66">
        <f>Y77*'Adjusted Consumption'!Y125</f>
        <v>7.2907862428489584E-3</v>
      </c>
      <c r="Z83" s="66">
        <f>Z77*'Adjusted Consumption'!Z125</f>
        <v>7.2325287677020679E-3</v>
      </c>
      <c r="AA83" s="66">
        <f>AA77*'Adjusted Consumption'!AA125</f>
        <v>7.7042303764361785E-3</v>
      </c>
      <c r="AB83" s="66">
        <f>AB77*'Adjusted Consumption'!AB125</f>
        <v>7.7400494987380272E-3</v>
      </c>
      <c r="AC83" s="66">
        <f>AC77*'Adjusted Consumption'!AC125</f>
        <v>7.8049607265396146E-3</v>
      </c>
      <c r="AD83" s="66">
        <f>AD77*'Adjusted Consumption'!AD125</f>
        <v>7.8736908335910911E-3</v>
      </c>
      <c r="AE83" s="66">
        <f>AE77*'Adjusted Consumption'!AE125</f>
        <v>7.9460726803648636E-3</v>
      </c>
      <c r="AF83" s="66">
        <f>AF77*'Adjusted Consumption'!AF125</f>
        <v>8.0231535565449923E-3</v>
      </c>
      <c r="AG83" s="66">
        <f>AG77*'Adjusted Consumption'!AG125</f>
        <v>8.0887005026172507E-3</v>
      </c>
      <c r="AH83" s="66">
        <f>AH77*'Adjusted Consumption'!AH125</f>
        <v>8.1583421783299262E-3</v>
      </c>
      <c r="AI83" s="66">
        <f>AI77*'Adjusted Consumption'!AI125</f>
        <v>8.227672932537752E-3</v>
      </c>
      <c r="AJ83" s="66">
        <f>AJ77*'Adjusted Consumption'!AJ125</f>
        <v>8.2966937303600302E-3</v>
      </c>
      <c r="AK83" s="66">
        <f>AK77*'Adjusted Consumption'!AK125</f>
        <v>8.3654055342992934E-3</v>
      </c>
    </row>
    <row r="84" spans="1:38">
      <c r="A84" s="91" t="s">
        <v>424</v>
      </c>
      <c r="B84" s="60"/>
      <c r="C84" s="60"/>
      <c r="D84" s="60"/>
      <c r="E84" s="60"/>
      <c r="F84" s="60"/>
      <c r="G84" s="60"/>
      <c r="H84" s="60"/>
      <c r="I84" s="60"/>
      <c r="J84" s="66"/>
      <c r="K84" s="66">
        <f>K78*'Adjusted Consumption'!K126</f>
        <v>6.6765725283209022E-4</v>
      </c>
      <c r="L84" s="66">
        <f>L78*'Adjusted Consumption'!L126</f>
        <v>5.3688492239015954E-4</v>
      </c>
      <c r="M84" s="66">
        <f>M78*'Adjusted Consumption'!M126</f>
        <v>6.984261876083435E-4</v>
      </c>
      <c r="N84" s="66">
        <f>N78*'Adjusted Consumption'!N126</f>
        <v>5.1418489958197997E-4</v>
      </c>
      <c r="O84" s="66">
        <f>O78*'Adjusted Consumption'!O126</f>
        <v>4.7589832144852789E-4</v>
      </c>
      <c r="P84" s="66">
        <f>P78*'Adjusted Consumption'!P126</f>
        <v>4.3739601676482374E-4</v>
      </c>
      <c r="Q84" s="66">
        <f>Q78*'Adjusted Consumption'!Q126</f>
        <v>3.9416750185848859E-4</v>
      </c>
      <c r="R84" s="66">
        <f>R78*'Adjusted Consumption'!R126</f>
        <v>3.5341863868881422E-4</v>
      </c>
      <c r="S84" s="66">
        <f>S78*'Adjusted Consumption'!S126</f>
        <v>3.1347299244600019E-4</v>
      </c>
      <c r="T84" s="66">
        <f>T78*'Adjusted Consumption'!T126</f>
        <v>2.7452802998467811E-4</v>
      </c>
      <c r="U84" s="66">
        <f>U78*'Adjusted Consumption'!U126</f>
        <v>2.3674083185026341E-4</v>
      </c>
      <c r="V84" s="66">
        <f>V78*'Adjusted Consumption'!V126</f>
        <v>2.0011072409081357E-4</v>
      </c>
      <c r="W84" s="66">
        <f>W78*'Adjusted Consumption'!W126</f>
        <v>1.6508819754785495E-4</v>
      </c>
      <c r="X84" s="498">
        <f>X78*'Adjusted Consumption'!X126</f>
        <v>1.6223784849250737E-4</v>
      </c>
      <c r="Y84" s="66">
        <f>Y78*'Adjusted Consumption'!Y126</f>
        <v>1.5971552288663408E-4</v>
      </c>
      <c r="Z84" s="66">
        <f>Z78*'Adjusted Consumption'!Z126</f>
        <v>1.5796678560213293E-4</v>
      </c>
      <c r="AA84" s="66">
        <f>AA78*'Adjusted Consumption'!AA126</f>
        <v>1.6963886315956233E-4</v>
      </c>
      <c r="AB84" s="66">
        <f>AB78*'Adjusted Consumption'!AB126</f>
        <v>1.7014706612551649E-4</v>
      </c>
      <c r="AC84" s="66">
        <f>AC78*'Adjusted Consumption'!AC126</f>
        <v>1.7125021076785425E-4</v>
      </c>
      <c r="AD84" s="66">
        <f>AD78*'Adjusted Consumption'!AD126</f>
        <v>1.7244914743021588E-4</v>
      </c>
      <c r="AE84" s="66">
        <f>AE78*'Adjusted Consumption'!AE126</f>
        <v>1.7372066813384229E-4</v>
      </c>
      <c r="AF84" s="66">
        <f>AF78*'Adjusted Consumption'!AF126</f>
        <v>1.75085107023486E-4</v>
      </c>
      <c r="AG84" s="66">
        <f>AG78*'Adjusted Consumption'!AG126</f>
        <v>1.7619008704613533E-4</v>
      </c>
      <c r="AH84" s="66">
        <f>AH78*'Adjusted Consumption'!AH126</f>
        <v>1.7737234882770597E-4</v>
      </c>
      <c r="AI84" s="66">
        <f>AI78*'Adjusted Consumption'!AI126</f>
        <v>1.7854769035012227E-4</v>
      </c>
      <c r="AJ84" s="66">
        <f>AJ78*'Adjusted Consumption'!AJ126</f>
        <v>1.7970455735043654E-4</v>
      </c>
      <c r="AK84" s="66">
        <f>AK78*'Adjusted Consumption'!AK126</f>
        <v>1.8084684386433027E-4</v>
      </c>
    </row>
    <row r="85" spans="1:38">
      <c r="X85" s="502"/>
    </row>
    <row r="86" spans="1:38" s="57" customFormat="1">
      <c r="A86" s="57" t="s">
        <v>971</v>
      </c>
      <c r="B86" s="76"/>
      <c r="C86" s="76"/>
      <c r="D86" s="76"/>
      <c r="E86" s="76"/>
      <c r="F86" s="76"/>
      <c r="G86" s="76"/>
      <c r="H86" s="76"/>
      <c r="I86" s="76"/>
      <c r="J86" s="76"/>
      <c r="K86" s="76"/>
      <c r="L86" s="76"/>
      <c r="M86" s="76"/>
      <c r="N86" s="76"/>
      <c r="O86" s="76"/>
      <c r="P86" s="76"/>
      <c r="Q86" s="76"/>
      <c r="R86" s="76"/>
      <c r="S86" s="76"/>
      <c r="T86" s="76"/>
      <c r="U86" s="76"/>
      <c r="V86" s="76"/>
      <c r="W86" s="76"/>
      <c r="X86" s="503"/>
      <c r="Y86" s="76"/>
      <c r="Z86" s="76"/>
      <c r="AA86" s="76"/>
      <c r="AB86" s="76"/>
      <c r="AC86" s="76"/>
      <c r="AD86" s="76"/>
      <c r="AE86" s="76"/>
      <c r="AF86" s="76"/>
      <c r="AG86" s="76"/>
      <c r="AH86" s="76"/>
      <c r="AI86" s="76"/>
      <c r="AJ86" s="76"/>
      <c r="AK86" s="76"/>
      <c r="AL86" s="94"/>
    </row>
    <row r="87" spans="1:38" s="57" customFormat="1">
      <c r="A87" s="77" t="s">
        <v>961</v>
      </c>
      <c r="B87" s="76"/>
      <c r="C87" s="76"/>
      <c r="D87" s="76"/>
      <c r="E87" s="76"/>
      <c r="F87" s="76"/>
      <c r="G87" s="76"/>
      <c r="H87" s="76"/>
      <c r="I87" s="76"/>
      <c r="J87" s="76"/>
      <c r="K87" s="76"/>
      <c r="L87" s="76"/>
      <c r="M87" s="76"/>
      <c r="N87" s="76"/>
      <c r="O87" s="76"/>
      <c r="P87" s="76"/>
      <c r="Q87" s="76"/>
      <c r="R87" s="76"/>
      <c r="S87" s="76"/>
      <c r="T87" s="76"/>
      <c r="U87" s="76"/>
      <c r="V87" s="76"/>
      <c r="W87" s="76"/>
      <c r="X87" s="503"/>
      <c r="Y87" s="76"/>
      <c r="Z87" s="76"/>
      <c r="AA87" s="76"/>
      <c r="AB87" s="76"/>
      <c r="AC87" s="76"/>
      <c r="AD87" s="76"/>
      <c r="AE87" s="76"/>
      <c r="AF87" s="76"/>
      <c r="AG87" s="76"/>
      <c r="AH87" s="76"/>
      <c r="AI87" s="76"/>
      <c r="AJ87" s="76"/>
      <c r="AK87" s="76"/>
      <c r="AL87" s="94"/>
    </row>
    <row r="88" spans="1:38" s="57" customFormat="1">
      <c r="A88" s="156" t="s">
        <v>960</v>
      </c>
      <c r="B88" s="76"/>
      <c r="C88" s="76"/>
      <c r="D88" s="76"/>
      <c r="E88" s="76"/>
      <c r="F88" s="76"/>
      <c r="G88" s="76"/>
      <c r="H88" s="76"/>
      <c r="I88" s="76"/>
      <c r="J88" s="76"/>
      <c r="K88" s="61">
        <f>IF(AND(Dashboard!$F$76="o.k.",'Baseline Consumption'!K$6&gt;=Dashboard!$C$76),parameters!$C$131,0)</f>
        <v>0</v>
      </c>
      <c r="L88" s="61">
        <f>IF(AND(Dashboard!$F$76="o.k.",'Baseline Consumption'!L$6&gt;=Dashboard!$C$76),parameters!$C$131,0)</f>
        <v>0</v>
      </c>
      <c r="M88" s="61">
        <f>IF(AND(Dashboard!$F$76="o.k.",'Baseline Consumption'!M$6&gt;=Dashboard!$C$76),parameters!$C$131,0)</f>
        <v>0</v>
      </c>
      <c r="N88" s="61">
        <f>IF(AND(Dashboard!$F$76="o.k.",'Baseline Consumption'!N$6&gt;=Dashboard!$C$76),parameters!$C$131,0)</f>
        <v>0</v>
      </c>
      <c r="O88" s="61">
        <f>IF(AND(Dashboard!$F$76="o.k.",'Baseline Consumption'!O$6&gt;=Dashboard!$C$76),parameters!$C$131,0)</f>
        <v>0</v>
      </c>
      <c r="P88" s="61">
        <f>IF(AND(Dashboard!$F$76="o.k.",'Baseline Consumption'!P$6&gt;=Dashboard!$C$76),parameters!$C$131,0)</f>
        <v>0</v>
      </c>
      <c r="Q88" s="61">
        <f>IF(AND(Dashboard!$F$76="o.k.",'Baseline Consumption'!Q$6&gt;=Dashboard!$C$76),parameters!$C$131,0)</f>
        <v>0</v>
      </c>
      <c r="R88" s="61">
        <f>IF(AND(Dashboard!$F$76="o.k.",'Baseline Consumption'!R$6&gt;=Dashboard!$C$76),parameters!$C$131,0)</f>
        <v>0</v>
      </c>
      <c r="S88" s="61">
        <f>IF(AND(Dashboard!$F$76="o.k.",'Baseline Consumption'!S$6&gt;=Dashboard!$C$76),parameters!$C$131,0)</f>
        <v>0</v>
      </c>
      <c r="T88" s="61">
        <f>IF(AND(Dashboard!$F$76="o.k.",'Baseline Consumption'!T$6&gt;=Dashboard!$C$76),parameters!$C$131,0)</f>
        <v>0</v>
      </c>
      <c r="U88" s="61">
        <f>IF(AND(Dashboard!$F$76="o.k.",'Baseline Consumption'!U$6&gt;=Dashboard!$C$76),parameters!$C$131,0)</f>
        <v>0</v>
      </c>
      <c r="V88" s="61">
        <f>IF(AND(Dashboard!$F$76="o.k.",'Baseline Consumption'!V$6&gt;=Dashboard!$C$76),parameters!$C$131,0)</f>
        <v>0</v>
      </c>
      <c r="W88" s="61">
        <f>IF(AND(Dashboard!$F$76="o.k.",'Baseline Consumption'!W$6&gt;=Dashboard!$C$76),parameters!$C$131,0)</f>
        <v>0</v>
      </c>
      <c r="X88" s="504">
        <f>IF(AND(Dashboard!$F$76="o.k.",'Baseline Consumption'!X$6&gt;=Dashboard!$C$76),parameters!$C$131,0)</f>
        <v>0</v>
      </c>
      <c r="Y88" s="61">
        <f>IF(AND(Dashboard!$F$76="o.k.",'Baseline Consumption'!Y$6&gt;=Dashboard!$C$76),parameters!$C$131,0)</f>
        <v>0</v>
      </c>
      <c r="Z88" s="61">
        <f>IF(AND(Dashboard!$F$76="o.k.",'Baseline Consumption'!Z$6&gt;=Dashboard!$C$76),parameters!$C$131,0)</f>
        <v>0</v>
      </c>
      <c r="AA88" s="61">
        <f>IF(AND(Dashboard!$F$76="o.k.",'Baseline Consumption'!AA$6&gt;=Dashboard!$C$76),parameters!$C$131,0)</f>
        <v>0</v>
      </c>
      <c r="AB88" s="61">
        <f>IF(AND(Dashboard!$F$76="o.k.",'Baseline Consumption'!AB$6&gt;=Dashboard!$C$76),parameters!$C$131,0)</f>
        <v>0</v>
      </c>
      <c r="AC88" s="61">
        <f>IF(AND(Dashboard!$F$76="o.k.",'Baseline Consumption'!AC$6&gt;=Dashboard!$C$76),parameters!$C$131,0)</f>
        <v>0</v>
      </c>
      <c r="AD88" s="61">
        <f>IF(AND(Dashboard!$F$76="o.k.",'Baseline Consumption'!AD$6&gt;=Dashboard!$C$76),parameters!$C$131,0)</f>
        <v>0</v>
      </c>
      <c r="AE88" s="61">
        <f>IF(AND(Dashboard!$F$76="o.k.",'Baseline Consumption'!AE$6&gt;=Dashboard!$C$76),parameters!$C$131,0)</f>
        <v>0</v>
      </c>
      <c r="AF88" s="61">
        <f>IF(AND(Dashboard!$F$76="o.k.",'Baseline Consumption'!AF$6&gt;=Dashboard!$C$76),parameters!$C$131,0)</f>
        <v>0</v>
      </c>
      <c r="AG88" s="61">
        <f>IF(AND(Dashboard!$F$76="o.k.",'Baseline Consumption'!AG$6&gt;=Dashboard!$C$76),parameters!$C$131,0)</f>
        <v>0</v>
      </c>
      <c r="AH88" s="61">
        <f>IF(AND(Dashboard!$F$76="o.k.",'Baseline Consumption'!AH$6&gt;=Dashboard!$C$76),parameters!$C$131,0)</f>
        <v>0</v>
      </c>
      <c r="AI88" s="61">
        <f>IF(AND(Dashboard!$F$76="o.k.",'Baseline Consumption'!AI$6&gt;=Dashboard!$C$76),parameters!$C$131,0)</f>
        <v>0</v>
      </c>
      <c r="AJ88" s="61">
        <f>IF(AND(Dashboard!$F$76="o.k.",'Baseline Consumption'!AJ$6&gt;=Dashboard!$C$76),parameters!$C$131,0)</f>
        <v>0</v>
      </c>
      <c r="AK88" s="61">
        <f>IF(AND(Dashboard!$F$76="o.k.",'Baseline Consumption'!AK$6&gt;=Dashboard!$C$76),parameters!$C$131,0)</f>
        <v>0</v>
      </c>
      <c r="AL88" s="94"/>
    </row>
    <row r="89" spans="1:38" s="57" customFormat="1">
      <c r="A89" s="156" t="s">
        <v>957</v>
      </c>
      <c r="B89" s="76"/>
      <c r="C89" s="76"/>
      <c r="D89" s="76"/>
      <c r="E89" s="76"/>
      <c r="F89" s="76"/>
      <c r="G89" s="76"/>
      <c r="H89" s="76"/>
      <c r="I89" s="76"/>
      <c r="J89" s="76"/>
      <c r="K89" s="61">
        <f>K88*'Baseline Consumption'!K$66</f>
        <v>0</v>
      </c>
      <c r="L89" s="61">
        <f>L88*'Baseline Consumption'!L$66</f>
        <v>0</v>
      </c>
      <c r="M89" s="61">
        <f>M88*'Baseline Consumption'!M$66</f>
        <v>0</v>
      </c>
      <c r="N89" s="61">
        <f>N88*'Baseline Consumption'!N$66</f>
        <v>0</v>
      </c>
      <c r="O89" s="61">
        <f>O88*'Baseline Consumption'!O$66</f>
        <v>0</v>
      </c>
      <c r="P89" s="61">
        <f>P88*'Baseline Consumption'!P$66</f>
        <v>0</v>
      </c>
      <c r="Q89" s="61">
        <f>Q88*'Baseline Consumption'!Q$66</f>
        <v>0</v>
      </c>
      <c r="R89" s="61">
        <f>R88*'Baseline Consumption'!R$66</f>
        <v>0</v>
      </c>
      <c r="S89" s="61">
        <f>S88*'Baseline Consumption'!S$66</f>
        <v>0</v>
      </c>
      <c r="T89" s="61">
        <f>T88*'Baseline Consumption'!T$66</f>
        <v>0</v>
      </c>
      <c r="U89" s="61">
        <f>U88*'Baseline Consumption'!U$66</f>
        <v>0</v>
      </c>
      <c r="V89" s="61">
        <f>V88*'Baseline Consumption'!V$66</f>
        <v>0</v>
      </c>
      <c r="W89" s="61">
        <f>W88*'Baseline Consumption'!W$66</f>
        <v>0</v>
      </c>
      <c r="X89" s="504">
        <f>X88*'Baseline Consumption'!X$66</f>
        <v>0</v>
      </c>
      <c r="Y89" s="61">
        <f>Y88*'Baseline Consumption'!Y$66</f>
        <v>0</v>
      </c>
      <c r="Z89" s="61">
        <f>Z88*'Baseline Consumption'!Z$66</f>
        <v>0</v>
      </c>
      <c r="AA89" s="61">
        <f>AA88*'Baseline Consumption'!AA$66</f>
        <v>0</v>
      </c>
      <c r="AB89" s="61">
        <f>AB88*'Baseline Consumption'!AB$66</f>
        <v>0</v>
      </c>
      <c r="AC89" s="61">
        <f>AC88*'Baseline Consumption'!AC$66</f>
        <v>0</v>
      </c>
      <c r="AD89" s="61">
        <f>AD88*'Baseline Consumption'!AD$66</f>
        <v>0</v>
      </c>
      <c r="AE89" s="61">
        <f>AE88*'Baseline Consumption'!AE$66</f>
        <v>0</v>
      </c>
      <c r="AF89" s="61">
        <f>AF88*'Baseline Consumption'!AF$66</f>
        <v>0</v>
      </c>
      <c r="AG89" s="61">
        <f>AG88*'Baseline Consumption'!AG$66</f>
        <v>0</v>
      </c>
      <c r="AH89" s="61">
        <f>AH88*'Baseline Consumption'!AH$66</f>
        <v>0</v>
      </c>
      <c r="AI89" s="61">
        <f>AI88*'Baseline Consumption'!AI$66</f>
        <v>0</v>
      </c>
      <c r="AJ89" s="61">
        <f>AJ88*'Baseline Consumption'!AJ$66</f>
        <v>0</v>
      </c>
      <c r="AK89" s="61">
        <f>AK88*'Baseline Consumption'!AK$66</f>
        <v>0</v>
      </c>
      <c r="AL89" s="94"/>
    </row>
    <row r="90" spans="1:38" s="57" customFormat="1">
      <c r="A90" s="156" t="s">
        <v>958</v>
      </c>
      <c r="B90" s="76"/>
      <c r="C90" s="76"/>
      <c r="D90" s="76"/>
      <c r="E90" s="76"/>
      <c r="F90" s="76"/>
      <c r="G90" s="76"/>
      <c r="H90" s="76"/>
      <c r="I90" s="76"/>
      <c r="J90" s="76"/>
      <c r="K90" s="61">
        <f>K89*Dashboard!$D$76</f>
        <v>0</v>
      </c>
      <c r="L90" s="61">
        <f>L89*Dashboard!$D$76</f>
        <v>0</v>
      </c>
      <c r="M90" s="61">
        <f>M89*Dashboard!$D$76</f>
        <v>0</v>
      </c>
      <c r="N90" s="61">
        <f>N89*Dashboard!$D$76</f>
        <v>0</v>
      </c>
      <c r="O90" s="61">
        <f>O89*Dashboard!$D$76</f>
        <v>0</v>
      </c>
      <c r="P90" s="61">
        <f>P89*Dashboard!$D$76</f>
        <v>0</v>
      </c>
      <c r="Q90" s="61">
        <f>Q89*Dashboard!$D$76</f>
        <v>0</v>
      </c>
      <c r="R90" s="61">
        <f>R89*Dashboard!$D$76</f>
        <v>0</v>
      </c>
      <c r="S90" s="61">
        <f>S89*Dashboard!$D$76</f>
        <v>0</v>
      </c>
      <c r="T90" s="61">
        <f>T89*Dashboard!$D$76</f>
        <v>0</v>
      </c>
      <c r="U90" s="61">
        <f>U89*Dashboard!$D$76</f>
        <v>0</v>
      </c>
      <c r="V90" s="61">
        <f>V89*Dashboard!$D$76</f>
        <v>0</v>
      </c>
      <c r="W90" s="61">
        <f>W89*Dashboard!$D$76</f>
        <v>0</v>
      </c>
      <c r="X90" s="504">
        <f>X89*Dashboard!$D$76</f>
        <v>0</v>
      </c>
      <c r="Y90" s="61">
        <f>Y89*Dashboard!$D$76</f>
        <v>0</v>
      </c>
      <c r="Z90" s="61">
        <f>Z89*Dashboard!$D$76</f>
        <v>0</v>
      </c>
      <c r="AA90" s="61">
        <f>AA89*Dashboard!$D$76</f>
        <v>0</v>
      </c>
      <c r="AB90" s="61">
        <f>AB89*Dashboard!$D$76</f>
        <v>0</v>
      </c>
      <c r="AC90" s="61">
        <f>AC89*Dashboard!$D$76</f>
        <v>0</v>
      </c>
      <c r="AD90" s="61">
        <f>AD89*Dashboard!$D$76</f>
        <v>0</v>
      </c>
      <c r="AE90" s="61">
        <f>AE89*Dashboard!$D$76</f>
        <v>0</v>
      </c>
      <c r="AF90" s="61">
        <f>AF89*Dashboard!$D$76</f>
        <v>0</v>
      </c>
      <c r="AG90" s="61">
        <f>AG89*Dashboard!$D$76</f>
        <v>0</v>
      </c>
      <c r="AH90" s="61">
        <f>AH89*Dashboard!$D$76</f>
        <v>0</v>
      </c>
      <c r="AI90" s="61">
        <f>AI89*Dashboard!$D$76</f>
        <v>0</v>
      </c>
      <c r="AJ90" s="61">
        <f>AJ89*Dashboard!$D$76</f>
        <v>0</v>
      </c>
      <c r="AK90" s="61">
        <f>AK89*Dashboard!$D$76</f>
        <v>0</v>
      </c>
      <c r="AL90" s="94"/>
    </row>
    <row r="91" spans="1:38" s="57" customFormat="1">
      <c r="A91" s="77" t="s">
        <v>962</v>
      </c>
      <c r="B91" s="76"/>
      <c r="C91" s="76"/>
      <c r="D91" s="76"/>
      <c r="E91" s="76"/>
      <c r="F91" s="76"/>
      <c r="G91" s="76"/>
      <c r="H91" s="76"/>
      <c r="I91" s="76"/>
      <c r="J91" s="76"/>
      <c r="K91" s="76"/>
      <c r="L91" s="76"/>
      <c r="M91" s="76"/>
      <c r="N91" s="76"/>
      <c r="O91" s="76"/>
      <c r="P91" s="76"/>
      <c r="Q91" s="76"/>
      <c r="R91" s="76"/>
      <c r="S91" s="76"/>
      <c r="T91" s="76"/>
      <c r="U91" s="76"/>
      <c r="V91" s="76"/>
      <c r="W91" s="76"/>
      <c r="X91" s="503"/>
      <c r="Y91" s="76"/>
      <c r="Z91" s="76"/>
      <c r="AA91" s="76"/>
      <c r="AB91" s="76"/>
      <c r="AC91" s="76"/>
      <c r="AD91" s="76"/>
      <c r="AE91" s="76"/>
      <c r="AF91" s="76"/>
      <c r="AG91" s="76"/>
      <c r="AH91" s="76"/>
      <c r="AI91" s="76"/>
      <c r="AJ91" s="76"/>
      <c r="AK91" s="76"/>
      <c r="AL91" s="94"/>
    </row>
    <row r="92" spans="1:38" s="57" customFormat="1">
      <c r="A92" s="156" t="s">
        <v>960</v>
      </c>
      <c r="B92" s="76"/>
      <c r="C92" s="76"/>
      <c r="D92" s="76"/>
      <c r="E92" s="76"/>
      <c r="F92" s="76"/>
      <c r="G92" s="76"/>
      <c r="H92" s="76"/>
      <c r="I92" s="76"/>
      <c r="J92" s="76"/>
      <c r="K92" s="61">
        <f>IF(AND(Dashboard!$F$77="o.k.",'Baseline Consumption'!K$6&gt;=Dashboard!$C$77),parameters!$C$132,0)</f>
        <v>0</v>
      </c>
      <c r="L92" s="61">
        <f>IF(AND(Dashboard!$F$77="o.k.",'Baseline Consumption'!L$6&gt;=Dashboard!$C$77),parameters!$C$132,0)</f>
        <v>0</v>
      </c>
      <c r="M92" s="61">
        <f>IF(AND(Dashboard!$F$77="o.k.",'Baseline Consumption'!M$6&gt;=Dashboard!$C$77),parameters!$C$132,0)</f>
        <v>0</v>
      </c>
      <c r="N92" s="61">
        <f>IF(AND(Dashboard!$F$77="o.k.",'Baseline Consumption'!N$6&gt;=Dashboard!$C$77),parameters!$C$132,0)</f>
        <v>0</v>
      </c>
      <c r="O92" s="61">
        <f>IF(AND(Dashboard!$F$77="o.k.",'Baseline Consumption'!O$6&gt;=Dashboard!$C$77),parameters!$C$132,0)</f>
        <v>0</v>
      </c>
      <c r="P92" s="61">
        <f>IF(AND(Dashboard!$F$77="o.k.",'Baseline Consumption'!P$6&gt;=Dashboard!$C$77),parameters!$C$132,0)</f>
        <v>0</v>
      </c>
      <c r="Q92" s="61">
        <f>IF(AND(Dashboard!$F$77="o.k.",'Baseline Consumption'!Q$6&gt;=Dashboard!$C$77),parameters!$C$132,0)</f>
        <v>0</v>
      </c>
      <c r="R92" s="61">
        <f>IF(AND(Dashboard!$F$77="o.k.",'Baseline Consumption'!R$6&gt;=Dashboard!$C$77),parameters!$C$132,0)</f>
        <v>0</v>
      </c>
      <c r="S92" s="61">
        <f>IF(AND(Dashboard!$F$77="o.k.",'Baseline Consumption'!S$6&gt;=Dashboard!$C$77),parameters!$C$132,0)</f>
        <v>0</v>
      </c>
      <c r="T92" s="61">
        <f>IF(AND(Dashboard!$F$77="o.k.",'Baseline Consumption'!T$6&gt;=Dashboard!$C$77),parameters!$C$132,0)</f>
        <v>0</v>
      </c>
      <c r="U92" s="61">
        <f>IF(AND(Dashboard!$F$77="o.k.",'Baseline Consumption'!U$6&gt;=Dashboard!$C$77),parameters!$C$132,0)</f>
        <v>0</v>
      </c>
      <c r="V92" s="61">
        <f>IF(AND(Dashboard!$F$77="o.k.",'Baseline Consumption'!V$6&gt;=Dashboard!$C$77),parameters!$C$132,0)</f>
        <v>0</v>
      </c>
      <c r="W92" s="61">
        <f>IF(AND(Dashboard!$F$77="o.k.",'Baseline Consumption'!W$6&gt;=Dashboard!$C$77),parameters!$C$132,0)</f>
        <v>0</v>
      </c>
      <c r="X92" s="504">
        <f>IF(AND(Dashboard!$F$77="o.k.",'Baseline Consumption'!X$6&gt;=Dashboard!$C$77),parameters!$C$132,0)</f>
        <v>0</v>
      </c>
      <c r="Y92" s="61">
        <f>IF(AND(Dashboard!$F$77="o.k.",'Baseline Consumption'!Y$6&gt;=Dashboard!$C$77),parameters!$C$132,0)</f>
        <v>0</v>
      </c>
      <c r="Z92" s="61">
        <f>IF(AND(Dashboard!$F$77="o.k.",'Baseline Consumption'!Z$6&gt;=Dashboard!$C$77),parameters!$C$132,0)</f>
        <v>0</v>
      </c>
      <c r="AA92" s="61">
        <f>IF(AND(Dashboard!$F$77="o.k.",'Baseline Consumption'!AA$6&gt;=Dashboard!$C$77),parameters!$C$132,0)</f>
        <v>0</v>
      </c>
      <c r="AB92" s="61">
        <f>IF(AND(Dashboard!$F$77="o.k.",'Baseline Consumption'!AB$6&gt;=Dashboard!$C$77),parameters!$C$132,0)</f>
        <v>0</v>
      </c>
      <c r="AC92" s="61">
        <f>IF(AND(Dashboard!$F$77="o.k.",'Baseline Consumption'!AC$6&gt;=Dashboard!$C$77),parameters!$C$132,0)</f>
        <v>0</v>
      </c>
      <c r="AD92" s="61">
        <f>IF(AND(Dashboard!$F$77="o.k.",'Baseline Consumption'!AD$6&gt;=Dashboard!$C$77),parameters!$C$132,0)</f>
        <v>0</v>
      </c>
      <c r="AE92" s="61">
        <f>IF(AND(Dashboard!$F$77="o.k.",'Baseline Consumption'!AE$6&gt;=Dashboard!$C$77),parameters!$C$132,0)</f>
        <v>0</v>
      </c>
      <c r="AF92" s="61">
        <f>IF(AND(Dashboard!$F$77="o.k.",'Baseline Consumption'!AF$6&gt;=Dashboard!$C$77),parameters!$C$132,0)</f>
        <v>0</v>
      </c>
      <c r="AG92" s="61">
        <f>IF(AND(Dashboard!$F$77="o.k.",'Baseline Consumption'!AG$6&gt;=Dashboard!$C$77),parameters!$C$132,0)</f>
        <v>0</v>
      </c>
      <c r="AH92" s="61">
        <f>IF(AND(Dashboard!$F$77="o.k.",'Baseline Consumption'!AH$6&gt;=Dashboard!$C$77),parameters!$C$132,0)</f>
        <v>0</v>
      </c>
      <c r="AI92" s="61">
        <f>IF(AND(Dashboard!$F$77="o.k.",'Baseline Consumption'!AI$6&gt;=Dashboard!$C$77),parameters!$C$132,0)</f>
        <v>0</v>
      </c>
      <c r="AJ92" s="61">
        <f>IF(AND(Dashboard!$F$77="o.k.",'Baseline Consumption'!AJ$6&gt;=Dashboard!$C$77),parameters!$C$132,0)</f>
        <v>0</v>
      </c>
      <c r="AK92" s="61">
        <f>IF(AND(Dashboard!$F$77="o.k.",'Baseline Consumption'!AK$6&gt;=Dashboard!$C$77),parameters!$C$132,0)</f>
        <v>0</v>
      </c>
      <c r="AL92" s="94"/>
    </row>
    <row r="93" spans="1:38" s="57" customFormat="1">
      <c r="A93" s="156" t="s">
        <v>957</v>
      </c>
      <c r="B93" s="76"/>
      <c r="C93" s="76"/>
      <c r="D93" s="76"/>
      <c r="E93" s="76"/>
      <c r="F93" s="76"/>
      <c r="G93" s="76"/>
      <c r="H93" s="76"/>
      <c r="I93" s="76"/>
      <c r="J93" s="76"/>
      <c r="K93" s="61">
        <f>K92*'Baseline Consumption'!K$66</f>
        <v>0</v>
      </c>
      <c r="L93" s="61">
        <f>L92*'Baseline Consumption'!L$66</f>
        <v>0</v>
      </c>
      <c r="M93" s="61">
        <f>M92*'Baseline Consumption'!M$66</f>
        <v>0</v>
      </c>
      <c r="N93" s="61">
        <f>N92*'Baseline Consumption'!N$66</f>
        <v>0</v>
      </c>
      <c r="O93" s="61">
        <f>O92*'Baseline Consumption'!O$66</f>
        <v>0</v>
      </c>
      <c r="P93" s="61">
        <f>P92*'Baseline Consumption'!P$66</f>
        <v>0</v>
      </c>
      <c r="Q93" s="61">
        <f>Q92*'Baseline Consumption'!Q$66</f>
        <v>0</v>
      </c>
      <c r="R93" s="61">
        <f>R92*'Baseline Consumption'!R$66</f>
        <v>0</v>
      </c>
      <c r="S93" s="61">
        <f>S92*'Baseline Consumption'!S$66</f>
        <v>0</v>
      </c>
      <c r="T93" s="61">
        <f>T92*'Baseline Consumption'!T$66</f>
        <v>0</v>
      </c>
      <c r="U93" s="61">
        <f>U92*'Baseline Consumption'!U$66</f>
        <v>0</v>
      </c>
      <c r="V93" s="61">
        <f>V92*'Baseline Consumption'!V$66</f>
        <v>0</v>
      </c>
      <c r="W93" s="61">
        <f>W92*'Baseline Consumption'!W$66</f>
        <v>0</v>
      </c>
      <c r="X93" s="504">
        <f>X92*'Baseline Consumption'!X$66</f>
        <v>0</v>
      </c>
      <c r="Y93" s="61">
        <f>Y92*'Baseline Consumption'!Y$66</f>
        <v>0</v>
      </c>
      <c r="Z93" s="61">
        <f>Z92*'Baseline Consumption'!Z$66</f>
        <v>0</v>
      </c>
      <c r="AA93" s="61">
        <f>AA92*'Baseline Consumption'!AA$66</f>
        <v>0</v>
      </c>
      <c r="AB93" s="61">
        <f>AB92*'Baseline Consumption'!AB$66</f>
        <v>0</v>
      </c>
      <c r="AC93" s="61">
        <f>AC92*'Baseline Consumption'!AC$66</f>
        <v>0</v>
      </c>
      <c r="AD93" s="61">
        <f>AD92*'Baseline Consumption'!AD$66</f>
        <v>0</v>
      </c>
      <c r="AE93" s="61">
        <f>AE92*'Baseline Consumption'!AE$66</f>
        <v>0</v>
      </c>
      <c r="AF93" s="61">
        <f>AF92*'Baseline Consumption'!AF$66</f>
        <v>0</v>
      </c>
      <c r="AG93" s="61">
        <f>AG92*'Baseline Consumption'!AG$66</f>
        <v>0</v>
      </c>
      <c r="AH93" s="61">
        <f>AH92*'Baseline Consumption'!AH$66</f>
        <v>0</v>
      </c>
      <c r="AI93" s="61">
        <f>AI92*'Baseline Consumption'!AI$66</f>
        <v>0</v>
      </c>
      <c r="AJ93" s="61">
        <f>AJ92*'Baseline Consumption'!AJ$66</f>
        <v>0</v>
      </c>
      <c r="AK93" s="61">
        <f>AK92*'Baseline Consumption'!AK$66</f>
        <v>0</v>
      </c>
      <c r="AL93" s="94"/>
    </row>
    <row r="94" spans="1:38" s="57" customFormat="1">
      <c r="A94" s="156" t="s">
        <v>958</v>
      </c>
      <c r="B94" s="76"/>
      <c r="C94" s="76"/>
      <c r="D94" s="76"/>
      <c r="E94" s="76"/>
      <c r="F94" s="76"/>
      <c r="G94" s="76"/>
      <c r="H94" s="76"/>
      <c r="I94" s="76"/>
      <c r="J94" s="76"/>
      <c r="K94" s="61">
        <f>K93*Dashboard!$D$77</f>
        <v>0</v>
      </c>
      <c r="L94" s="61">
        <f>L93*Dashboard!$D$77</f>
        <v>0</v>
      </c>
      <c r="M94" s="61">
        <f>M93*Dashboard!$D$77</f>
        <v>0</v>
      </c>
      <c r="N94" s="61">
        <f>N93*Dashboard!$D$77</f>
        <v>0</v>
      </c>
      <c r="O94" s="61">
        <f>O93*Dashboard!$D$77</f>
        <v>0</v>
      </c>
      <c r="P94" s="61">
        <f>P93*Dashboard!$D$77</f>
        <v>0</v>
      </c>
      <c r="Q94" s="61">
        <f>Q93*Dashboard!$D$77</f>
        <v>0</v>
      </c>
      <c r="R94" s="61">
        <f>R93*Dashboard!$D$77</f>
        <v>0</v>
      </c>
      <c r="S94" s="61">
        <f>S93*Dashboard!$D$77</f>
        <v>0</v>
      </c>
      <c r="T94" s="61">
        <f>T93*Dashboard!$D$77</f>
        <v>0</v>
      </c>
      <c r="U94" s="61">
        <f>U93*Dashboard!$D$77</f>
        <v>0</v>
      </c>
      <c r="V94" s="61">
        <f>V93*Dashboard!$D$77</f>
        <v>0</v>
      </c>
      <c r="W94" s="61">
        <f>W93*Dashboard!$D$77</f>
        <v>0</v>
      </c>
      <c r="X94" s="504">
        <f>X93*Dashboard!$D$77</f>
        <v>0</v>
      </c>
      <c r="Y94" s="61">
        <f>Y93*Dashboard!$D$77</f>
        <v>0</v>
      </c>
      <c r="Z94" s="61">
        <f>Z93*Dashboard!$D$77</f>
        <v>0</v>
      </c>
      <c r="AA94" s="61">
        <f>AA93*Dashboard!$D$77</f>
        <v>0</v>
      </c>
      <c r="AB94" s="61">
        <f>AB93*Dashboard!$D$77</f>
        <v>0</v>
      </c>
      <c r="AC94" s="61">
        <f>AC93*Dashboard!$D$77</f>
        <v>0</v>
      </c>
      <c r="AD94" s="61">
        <f>AD93*Dashboard!$D$77</f>
        <v>0</v>
      </c>
      <c r="AE94" s="61">
        <f>AE93*Dashboard!$D$77</f>
        <v>0</v>
      </c>
      <c r="AF94" s="61">
        <f>AF93*Dashboard!$D$77</f>
        <v>0</v>
      </c>
      <c r="AG94" s="61">
        <f>AG93*Dashboard!$D$77</f>
        <v>0</v>
      </c>
      <c r="AH94" s="61">
        <f>AH93*Dashboard!$D$77</f>
        <v>0</v>
      </c>
      <c r="AI94" s="61">
        <f>AI93*Dashboard!$D$77</f>
        <v>0</v>
      </c>
      <c r="AJ94" s="61">
        <f>AJ93*Dashboard!$D$77</f>
        <v>0</v>
      </c>
      <c r="AK94" s="61">
        <f>AK93*Dashboard!$D$77</f>
        <v>0</v>
      </c>
      <c r="AL94" s="94"/>
    </row>
    <row r="95" spans="1:38" s="57" customFormat="1">
      <c r="A95" s="77" t="s">
        <v>963</v>
      </c>
      <c r="B95" s="76"/>
      <c r="C95" s="76"/>
      <c r="D95" s="76"/>
      <c r="E95" s="76"/>
      <c r="F95" s="76"/>
      <c r="G95" s="76"/>
      <c r="H95" s="76"/>
      <c r="I95" s="76"/>
      <c r="J95" s="76"/>
      <c r="K95" s="76"/>
      <c r="L95" s="76"/>
      <c r="M95" s="76"/>
      <c r="N95" s="76"/>
      <c r="O95" s="76"/>
      <c r="P95" s="76"/>
      <c r="Q95" s="76"/>
      <c r="R95" s="76"/>
      <c r="S95" s="76"/>
      <c r="T95" s="76"/>
      <c r="U95" s="76"/>
      <c r="V95" s="76"/>
      <c r="W95" s="76"/>
      <c r="X95" s="503"/>
      <c r="Y95" s="76"/>
      <c r="Z95" s="76"/>
      <c r="AA95" s="76"/>
      <c r="AB95" s="76"/>
      <c r="AC95" s="76"/>
      <c r="AD95" s="76"/>
      <c r="AE95" s="76"/>
      <c r="AF95" s="76"/>
      <c r="AG95" s="76"/>
      <c r="AH95" s="76"/>
      <c r="AI95" s="76"/>
      <c r="AJ95" s="76"/>
      <c r="AK95" s="76"/>
      <c r="AL95" s="94"/>
    </row>
    <row r="96" spans="1:38" s="70" customFormat="1">
      <c r="A96" s="493" t="s">
        <v>957</v>
      </c>
      <c r="B96" s="494"/>
      <c r="C96" s="494"/>
      <c r="D96" s="494"/>
      <c r="E96" s="494"/>
      <c r="F96" s="494"/>
      <c r="G96" s="495"/>
      <c r="H96" s="495"/>
      <c r="I96" s="495"/>
      <c r="J96" s="495"/>
      <c r="K96" s="497">
        <f t="shared" ref="K96:AK96" si="10">SUM(K89,K93)</f>
        <v>0</v>
      </c>
      <c r="L96" s="497">
        <f t="shared" si="10"/>
        <v>0</v>
      </c>
      <c r="M96" s="497">
        <f t="shared" si="10"/>
        <v>0</v>
      </c>
      <c r="N96" s="497">
        <f t="shared" si="10"/>
        <v>0</v>
      </c>
      <c r="O96" s="497">
        <f t="shared" si="10"/>
        <v>0</v>
      </c>
      <c r="P96" s="497">
        <f t="shared" si="10"/>
        <v>0</v>
      </c>
      <c r="Q96" s="497">
        <f t="shared" si="10"/>
        <v>0</v>
      </c>
      <c r="R96" s="497">
        <f t="shared" si="10"/>
        <v>0</v>
      </c>
      <c r="S96" s="497">
        <f t="shared" si="10"/>
        <v>0</v>
      </c>
      <c r="T96" s="497">
        <f t="shared" si="10"/>
        <v>0</v>
      </c>
      <c r="U96" s="497">
        <f t="shared" si="10"/>
        <v>0</v>
      </c>
      <c r="V96" s="497">
        <f t="shared" si="10"/>
        <v>0</v>
      </c>
      <c r="W96" s="497">
        <f t="shared" si="10"/>
        <v>0</v>
      </c>
      <c r="X96" s="497">
        <f t="shared" si="10"/>
        <v>0</v>
      </c>
      <c r="Y96" s="497">
        <f t="shared" si="10"/>
        <v>0</v>
      </c>
      <c r="Z96" s="497">
        <f t="shared" si="10"/>
        <v>0</v>
      </c>
      <c r="AA96" s="497">
        <f t="shared" si="10"/>
        <v>0</v>
      </c>
      <c r="AB96" s="497">
        <f t="shared" si="10"/>
        <v>0</v>
      </c>
      <c r="AC96" s="497">
        <f t="shared" si="10"/>
        <v>0</v>
      </c>
      <c r="AD96" s="497">
        <f t="shared" si="10"/>
        <v>0</v>
      </c>
      <c r="AE96" s="497">
        <f t="shared" si="10"/>
        <v>0</v>
      </c>
      <c r="AF96" s="497">
        <f t="shared" si="10"/>
        <v>0</v>
      </c>
      <c r="AG96" s="497">
        <f t="shared" si="10"/>
        <v>0</v>
      </c>
      <c r="AH96" s="497">
        <f t="shared" si="10"/>
        <v>0</v>
      </c>
      <c r="AI96" s="497">
        <f t="shared" si="10"/>
        <v>0</v>
      </c>
      <c r="AJ96" s="497">
        <f t="shared" si="10"/>
        <v>0</v>
      </c>
      <c r="AK96" s="497">
        <f t="shared" si="10"/>
        <v>0</v>
      </c>
      <c r="AL96" s="496"/>
    </row>
    <row r="97" spans="1:39" s="70" customFormat="1">
      <c r="A97" s="493" t="s">
        <v>958</v>
      </c>
      <c r="B97" s="494"/>
      <c r="C97" s="494"/>
      <c r="D97" s="494"/>
      <c r="E97" s="494"/>
      <c r="F97" s="494"/>
      <c r="G97" s="495"/>
      <c r="H97" s="495"/>
      <c r="I97" s="495"/>
      <c r="J97" s="495"/>
      <c r="K97" s="497">
        <f t="shared" ref="K97:AK97" si="11">SUM(K90,K94)</f>
        <v>0</v>
      </c>
      <c r="L97" s="497">
        <f t="shared" si="11"/>
        <v>0</v>
      </c>
      <c r="M97" s="497">
        <f t="shared" si="11"/>
        <v>0</v>
      </c>
      <c r="N97" s="497">
        <f t="shared" si="11"/>
        <v>0</v>
      </c>
      <c r="O97" s="497">
        <f t="shared" si="11"/>
        <v>0</v>
      </c>
      <c r="P97" s="497">
        <f t="shared" si="11"/>
        <v>0</v>
      </c>
      <c r="Q97" s="497">
        <f t="shared" si="11"/>
        <v>0</v>
      </c>
      <c r="R97" s="497">
        <f t="shared" si="11"/>
        <v>0</v>
      </c>
      <c r="S97" s="497">
        <f t="shared" si="11"/>
        <v>0</v>
      </c>
      <c r="T97" s="497">
        <f t="shared" si="11"/>
        <v>0</v>
      </c>
      <c r="U97" s="497">
        <f t="shared" si="11"/>
        <v>0</v>
      </c>
      <c r="V97" s="497">
        <f t="shared" si="11"/>
        <v>0</v>
      </c>
      <c r="W97" s="497">
        <f t="shared" si="11"/>
        <v>0</v>
      </c>
      <c r="X97" s="497">
        <f t="shared" si="11"/>
        <v>0</v>
      </c>
      <c r="Y97" s="497">
        <f t="shared" si="11"/>
        <v>0</v>
      </c>
      <c r="Z97" s="497">
        <f t="shared" si="11"/>
        <v>0</v>
      </c>
      <c r="AA97" s="497">
        <f t="shared" si="11"/>
        <v>0</v>
      </c>
      <c r="AB97" s="497">
        <f t="shared" si="11"/>
        <v>0</v>
      </c>
      <c r="AC97" s="497">
        <f t="shared" si="11"/>
        <v>0</v>
      </c>
      <c r="AD97" s="497">
        <f t="shared" si="11"/>
        <v>0</v>
      </c>
      <c r="AE97" s="497">
        <f t="shared" si="11"/>
        <v>0</v>
      </c>
      <c r="AF97" s="497">
        <f t="shared" si="11"/>
        <v>0</v>
      </c>
      <c r="AG97" s="497">
        <f t="shared" si="11"/>
        <v>0</v>
      </c>
      <c r="AH97" s="497">
        <f t="shared" si="11"/>
        <v>0</v>
      </c>
      <c r="AI97" s="497">
        <f t="shared" si="11"/>
        <v>0</v>
      </c>
      <c r="AJ97" s="497">
        <f t="shared" si="11"/>
        <v>0</v>
      </c>
      <c r="AK97" s="497">
        <f t="shared" si="11"/>
        <v>0</v>
      </c>
      <c r="AL97" s="496"/>
    </row>
    <row r="98" spans="1:39" s="70" customFormat="1">
      <c r="A98" s="493" t="s">
        <v>959</v>
      </c>
      <c r="B98" s="494"/>
      <c r="C98" s="494"/>
      <c r="D98" s="494"/>
      <c r="E98" s="494"/>
      <c r="F98" s="494"/>
      <c r="G98" s="495"/>
      <c r="H98" s="495"/>
      <c r="I98" s="495"/>
      <c r="J98" s="495"/>
      <c r="K98" s="497">
        <f t="shared" ref="K98:AK98" si="12">K96-K97</f>
        <v>0</v>
      </c>
      <c r="L98" s="497">
        <f t="shared" si="12"/>
        <v>0</v>
      </c>
      <c r="M98" s="497">
        <f t="shared" si="12"/>
        <v>0</v>
      </c>
      <c r="N98" s="497">
        <f t="shared" si="12"/>
        <v>0</v>
      </c>
      <c r="O98" s="497">
        <f t="shared" si="12"/>
        <v>0</v>
      </c>
      <c r="P98" s="497">
        <f t="shared" si="12"/>
        <v>0</v>
      </c>
      <c r="Q98" s="497">
        <f t="shared" si="12"/>
        <v>0</v>
      </c>
      <c r="R98" s="497">
        <f t="shared" si="12"/>
        <v>0</v>
      </c>
      <c r="S98" s="497">
        <f t="shared" si="12"/>
        <v>0</v>
      </c>
      <c r="T98" s="497">
        <f t="shared" si="12"/>
        <v>0</v>
      </c>
      <c r="U98" s="497">
        <f t="shared" si="12"/>
        <v>0</v>
      </c>
      <c r="V98" s="497">
        <f t="shared" si="12"/>
        <v>0</v>
      </c>
      <c r="W98" s="497">
        <f t="shared" si="12"/>
        <v>0</v>
      </c>
      <c r="X98" s="497">
        <f t="shared" si="12"/>
        <v>0</v>
      </c>
      <c r="Y98" s="497">
        <f t="shared" si="12"/>
        <v>0</v>
      </c>
      <c r="Z98" s="497">
        <f t="shared" si="12"/>
        <v>0</v>
      </c>
      <c r="AA98" s="497">
        <f t="shared" si="12"/>
        <v>0</v>
      </c>
      <c r="AB98" s="497">
        <f t="shared" si="12"/>
        <v>0</v>
      </c>
      <c r="AC98" s="497">
        <f t="shared" si="12"/>
        <v>0</v>
      </c>
      <c r="AD98" s="497">
        <f t="shared" si="12"/>
        <v>0</v>
      </c>
      <c r="AE98" s="497">
        <f t="shared" si="12"/>
        <v>0</v>
      </c>
      <c r="AF98" s="497">
        <f t="shared" si="12"/>
        <v>0</v>
      </c>
      <c r="AG98" s="497">
        <f t="shared" si="12"/>
        <v>0</v>
      </c>
      <c r="AH98" s="497">
        <f t="shared" si="12"/>
        <v>0</v>
      </c>
      <c r="AI98" s="497">
        <f t="shared" si="12"/>
        <v>0</v>
      </c>
      <c r="AJ98" s="497">
        <f t="shared" si="12"/>
        <v>0</v>
      </c>
      <c r="AK98" s="497">
        <f t="shared" si="12"/>
        <v>0</v>
      </c>
      <c r="AL98" s="496"/>
    </row>
    <row r="99" spans="1:39" s="425" customFormat="1">
      <c r="A99" s="488"/>
      <c r="B99" s="334"/>
      <c r="C99" s="334"/>
      <c r="D99" s="334"/>
      <c r="E99" s="334"/>
      <c r="F99" s="334"/>
      <c r="G99" s="489"/>
      <c r="H99" s="489"/>
      <c r="I99" s="489"/>
      <c r="J99" s="489"/>
      <c r="K99" s="490"/>
      <c r="L99" s="490"/>
      <c r="M99" s="490"/>
      <c r="N99" s="490"/>
      <c r="O99" s="490"/>
      <c r="P99" s="490"/>
      <c r="Q99" s="490"/>
      <c r="R99" s="490"/>
      <c r="S99" s="490"/>
      <c r="T99" s="490"/>
      <c r="U99" s="490"/>
      <c r="V99" s="490"/>
      <c r="W99" s="490"/>
      <c r="X99" s="497"/>
      <c r="Y99" s="490"/>
      <c r="Z99" s="490"/>
      <c r="AA99" s="490"/>
      <c r="AB99" s="490"/>
      <c r="AC99" s="490"/>
      <c r="AD99" s="490"/>
      <c r="AE99" s="490"/>
      <c r="AF99" s="490"/>
      <c r="AG99" s="490"/>
      <c r="AH99" s="490"/>
      <c r="AI99" s="490"/>
      <c r="AJ99" s="490"/>
      <c r="AK99" s="490"/>
      <c r="AL99" s="491"/>
    </row>
    <row r="100" spans="1:39" s="57" customFormat="1">
      <c r="A100" s="77" t="s">
        <v>968</v>
      </c>
      <c r="B100" s="76"/>
      <c r="C100" s="76"/>
      <c r="D100" s="76"/>
      <c r="E100" s="76"/>
      <c r="F100" s="76"/>
      <c r="G100" s="76"/>
      <c r="H100" s="76"/>
      <c r="I100" s="76"/>
      <c r="J100" s="76"/>
      <c r="K100" s="76"/>
      <c r="L100" s="76"/>
      <c r="M100" s="76"/>
      <c r="N100" s="76"/>
      <c r="O100" s="76"/>
      <c r="P100" s="76"/>
      <c r="Q100" s="76"/>
      <c r="R100" s="76"/>
      <c r="S100" s="76"/>
      <c r="T100" s="76"/>
      <c r="U100" s="76"/>
      <c r="V100" s="76"/>
      <c r="W100" s="76"/>
      <c r="X100" s="503"/>
      <c r="Y100" s="76"/>
      <c r="Z100" s="76"/>
      <c r="AA100" s="76"/>
      <c r="AB100" s="76"/>
      <c r="AC100" s="76"/>
      <c r="AD100" s="76"/>
      <c r="AE100" s="76"/>
      <c r="AF100" s="76"/>
      <c r="AG100" s="76"/>
      <c r="AH100" s="76"/>
      <c r="AI100" s="76"/>
      <c r="AJ100" s="76"/>
      <c r="AK100" s="76"/>
      <c r="AL100" s="94"/>
    </row>
    <row r="101" spans="1:39" s="57" customFormat="1">
      <c r="A101" s="156" t="s">
        <v>1258</v>
      </c>
      <c r="B101" s="76"/>
      <c r="C101" s="76"/>
      <c r="D101" s="76"/>
      <c r="E101" s="76"/>
      <c r="F101" s="76"/>
      <c r="G101" s="76"/>
      <c r="H101" s="76"/>
      <c r="I101" s="76"/>
      <c r="J101" s="76"/>
      <c r="K101" s="61">
        <f>'Baseline Consumption'!K71/SUM('Baseline Consumption'!K$71:K$75)</f>
        <v>0.9591356207645928</v>
      </c>
      <c r="L101" s="61">
        <f>'Baseline Consumption'!L71/SUM('Baseline Consumption'!L$71:L$75)</f>
        <v>0.95749240190698437</v>
      </c>
      <c r="M101" s="61">
        <f>'Baseline Consumption'!M71/SUM('Baseline Consumption'!M$71:M$75)</f>
        <v>0.92770591418267467</v>
      </c>
      <c r="N101" s="61">
        <f>'Baseline Consumption'!N71/SUM('Baseline Consumption'!N$71:N$75)</f>
        <v>0.89339573631600711</v>
      </c>
      <c r="O101" s="61">
        <f>'Baseline Consumption'!O71/SUM('Baseline Consumption'!O$71:O$75)</f>
        <v>0.87998350221710975</v>
      </c>
      <c r="P101" s="61">
        <f>'Baseline Consumption'!P71/SUM('Baseline Consumption'!P$71:P$75)</f>
        <v>0.86675363264187233</v>
      </c>
      <c r="Q101" s="61">
        <f>'Baseline Consumption'!Q71/SUM('Baseline Consumption'!Q$71:Q$75)</f>
        <v>0.85370243332301388</v>
      </c>
      <c r="R101" s="61">
        <f>'Baseline Consumption'!R71/SUM('Baseline Consumption'!R$71:R$75)</f>
        <v>0.85209155013675508</v>
      </c>
      <c r="S101" s="61">
        <f>'Baseline Consumption'!S71/SUM('Baseline Consumption'!S$71:S$75)</f>
        <v>0.85168011120853793</v>
      </c>
      <c r="T101" s="61">
        <f>'Baseline Consumption'!T71/SUM('Baseline Consumption'!T$71:T$75)</f>
        <v>0.85057588310562993</v>
      </c>
      <c r="U101" s="61">
        <f>'Baseline Consumption'!U71/SUM('Baseline Consumption'!U$71:U$75)</f>
        <v>0.85015581639856597</v>
      </c>
      <c r="V101" s="61">
        <f>'Baseline Consumption'!V71/SUM('Baseline Consumption'!V$71:V$75)</f>
        <v>0.84973537645267472</v>
      </c>
      <c r="W101" s="61">
        <f>'Baseline Consumption'!W71/SUM('Baseline Consumption'!W$71:W$75)</f>
        <v>0.84811438886560164</v>
      </c>
      <c r="X101" s="504">
        <f>'Baseline Consumption'!X71/SUM('Baseline Consumption'!X$71:X$75)</f>
        <v>0.84809742265465449</v>
      </c>
      <c r="Y101" s="61">
        <f>'Baseline Consumption'!Y71/SUM('Baseline Consumption'!Y$71:Y$75)</f>
        <v>0.84808601895679137</v>
      </c>
      <c r="Z101" s="61">
        <f>'Baseline Consumption'!Z71/SUM('Baseline Consumption'!Z$71:Z$75)</f>
        <v>0.84809093400462165</v>
      </c>
      <c r="AA101" s="61">
        <f>'Baseline Consumption'!AA71/SUM('Baseline Consumption'!AA$71:AA$75)</f>
        <v>0.84811489912525007</v>
      </c>
      <c r="AB101" s="61">
        <f>'Baseline Consumption'!AB71/SUM('Baseline Consumption'!AB$71:AB$75)</f>
        <v>0.84813508756077383</v>
      </c>
      <c r="AC101" s="61">
        <f>'Baseline Consumption'!AC71/SUM('Baseline Consumption'!AC$71:AC$75)</f>
        <v>0.84816631415347932</v>
      </c>
      <c r="AD101" s="61">
        <f>'Baseline Consumption'!AD71/SUM('Baseline Consumption'!AD$71:AD$75)</f>
        <v>0.84819847485367883</v>
      </c>
      <c r="AE101" s="61">
        <f>'Baseline Consumption'!AE71/SUM('Baseline Consumption'!AE$71:AE$75)</f>
        <v>0.84823143950404567</v>
      </c>
      <c r="AF101" s="61">
        <f>'Baseline Consumption'!AF71/SUM('Baseline Consumption'!AF$71:AF$75)</f>
        <v>0.84826552312084447</v>
      </c>
      <c r="AG101" s="61">
        <f>'Baseline Consumption'!AG71/SUM('Baseline Consumption'!AG$71:AG$75)</f>
        <v>0.84829486768279594</v>
      </c>
      <c r="AH101" s="61">
        <f>'Baseline Consumption'!AH71/SUM('Baseline Consumption'!AH$71:AH$75)</f>
        <v>0.8483251782819119</v>
      </c>
      <c r="AI101" s="61">
        <f>'Baseline Consumption'!AI71/SUM('Baseline Consumption'!AI$71:AI$75)</f>
        <v>0.84835487595292214</v>
      </c>
      <c r="AJ101" s="61">
        <f>'Baseline Consumption'!AJ71/SUM('Baseline Consumption'!AJ$71:AJ$75)</f>
        <v>0.84838397910129204</v>
      </c>
      <c r="AK101" s="61">
        <f>'Baseline Consumption'!AK71/SUM('Baseline Consumption'!AK$71:AK$75)</f>
        <v>0.84841250540286561</v>
      </c>
      <c r="AL101" s="802" t="s">
        <v>1241</v>
      </c>
      <c r="AM101" s="803"/>
    </row>
    <row r="102" spans="1:39" s="57" customFormat="1">
      <c r="A102" s="156" t="s">
        <v>964</v>
      </c>
      <c r="B102" s="76"/>
      <c r="C102" s="76"/>
      <c r="D102" s="76"/>
      <c r="E102" s="76"/>
      <c r="F102" s="76"/>
      <c r="G102" s="76"/>
      <c r="H102" s="76"/>
      <c r="I102" s="76"/>
      <c r="J102" s="76"/>
      <c r="K102" s="61">
        <f>'Baseline Consumption'!K72/SUM('Baseline Consumption'!K$71:K$75)</f>
        <v>4.8245366591699226E-3</v>
      </c>
      <c r="L102" s="61">
        <f>'Baseline Consumption'!L72/SUM('Baseline Consumption'!L$71:L$75)</f>
        <v>6.9493208801584402E-3</v>
      </c>
      <c r="M102" s="61">
        <f>'Baseline Consumption'!M72/SUM('Baseline Consumption'!M$71:M$75)</f>
        <v>1.1253651279336259E-2</v>
      </c>
      <c r="N102" s="61">
        <f>'Baseline Consumption'!N72/SUM('Baseline Consumption'!N$71:N$75)</f>
        <v>6.8699197227148918E-3</v>
      </c>
      <c r="O102" s="61">
        <f>'Baseline Consumption'!O72/SUM('Baseline Consumption'!O$71:O$75)</f>
        <v>6.852971329833599E-3</v>
      </c>
      <c r="P102" s="61">
        <f>'Baseline Consumption'!P72/SUM('Baseline Consumption'!P$71:P$75)</f>
        <v>6.8362533821989127E-3</v>
      </c>
      <c r="Q102" s="61">
        <f>'Baseline Consumption'!Q72/SUM('Baseline Consumption'!Q$71:Q$75)</f>
        <v>6.8197612115435905E-3</v>
      </c>
      <c r="R102" s="61">
        <f>'Baseline Consumption'!R72/SUM('Baseline Consumption'!R$71:R$75)</f>
        <v>6.7863968582040366E-3</v>
      </c>
      <c r="S102" s="61">
        <f>'Baseline Consumption'!S72/SUM('Baseline Consumption'!S$71:S$75)</f>
        <v>6.8322620005266867E-3</v>
      </c>
      <c r="T102" s="61">
        <f>'Baseline Consumption'!T72/SUM('Baseline Consumption'!T$71:T$75)</f>
        <v>6.8314282873231233E-3</v>
      </c>
      <c r="U102" s="61">
        <f>'Baseline Consumption'!U72/SUM('Baseline Consumption'!U$71:U$75)</f>
        <v>6.8769111909488248E-3</v>
      </c>
      <c r="V102" s="61">
        <f>'Baseline Consumption'!V72/SUM('Baseline Consumption'!V$71:V$75)</f>
        <v>6.9227203122136918E-3</v>
      </c>
      <c r="W102" s="61">
        <f>'Baseline Consumption'!W72/SUM('Baseline Consumption'!W$71:W$75)</f>
        <v>6.8846460792240868E-3</v>
      </c>
      <c r="X102" s="504">
        <f>'Baseline Consumption'!X72/SUM('Baseline Consumption'!X$71:X$75)</f>
        <v>6.8834555672204192E-3</v>
      </c>
      <c r="Y102" s="61">
        <f>'Baseline Consumption'!Y72/SUM('Baseline Consumption'!Y$71:Y$75)</f>
        <v>6.8826553744587909E-3</v>
      </c>
      <c r="Z102" s="61">
        <f>'Baseline Consumption'!Z72/SUM('Baseline Consumption'!Z$71:Z$75)</f>
        <v>6.8830002613318097E-3</v>
      </c>
      <c r="AA102" s="61">
        <f>'Baseline Consumption'!AA72/SUM('Baseline Consumption'!AA$71:AA$75)</f>
        <v>6.8846818839325245E-3</v>
      </c>
      <c r="AB102" s="61">
        <f>'Baseline Consumption'!AB72/SUM('Baseline Consumption'!AB$71:AB$75)</f>
        <v>6.8860984981017779E-3</v>
      </c>
      <c r="AC102" s="61">
        <f>'Baseline Consumption'!AC72/SUM('Baseline Consumption'!AC$71:AC$75)</f>
        <v>6.8882896551942683E-3</v>
      </c>
      <c r="AD102" s="61">
        <f>'Baseline Consumption'!AD72/SUM('Baseline Consumption'!AD$71:AD$75)</f>
        <v>6.8905463582231872E-3</v>
      </c>
      <c r="AE102" s="61">
        <f>'Baseline Consumption'!AE72/SUM('Baseline Consumption'!AE$71:AE$75)</f>
        <v>6.8928594741027626E-3</v>
      </c>
      <c r="AF102" s="61">
        <f>'Baseline Consumption'!AF72/SUM('Baseline Consumption'!AF$71:AF$75)</f>
        <v>6.8952511073940041E-3</v>
      </c>
      <c r="AG102" s="61">
        <f>'Baseline Consumption'!AG72/SUM('Baseline Consumption'!AG$71:AG$75)</f>
        <v>6.8973102031670277E-3</v>
      </c>
      <c r="AH102" s="61">
        <f>'Baseline Consumption'!AH72/SUM('Baseline Consumption'!AH$71:AH$75)</f>
        <v>6.8994370853682572E-3</v>
      </c>
      <c r="AI102" s="61">
        <f>'Baseline Consumption'!AI72/SUM('Baseline Consumption'!AI$71:AI$75)</f>
        <v>6.9015209586578575E-3</v>
      </c>
      <c r="AJ102" s="61">
        <f>'Baseline Consumption'!AJ72/SUM('Baseline Consumption'!AJ$71:AJ$75)</f>
        <v>6.9035631145397186E-3</v>
      </c>
      <c r="AK102" s="61">
        <f>'Baseline Consumption'!AK72/SUM('Baseline Consumption'!AK$71:AK$75)</f>
        <v>6.9055647933205216E-3</v>
      </c>
      <c r="AL102" s="804"/>
      <c r="AM102" s="805"/>
    </row>
    <row r="103" spans="1:39" s="57" customFormat="1">
      <c r="A103" s="156" t="s">
        <v>965</v>
      </c>
      <c r="B103" s="76"/>
      <c r="C103" s="76"/>
      <c r="D103" s="76"/>
      <c r="E103" s="76"/>
      <c r="F103" s="76"/>
      <c r="G103" s="76"/>
      <c r="H103" s="76"/>
      <c r="I103" s="76"/>
      <c r="J103" s="76"/>
      <c r="K103" s="61">
        <f>'Baseline Consumption'!K73/SUM('Baseline Consumption'!K$71:K$75)</f>
        <v>2.8764205668936567E-4</v>
      </c>
      <c r="L103" s="61">
        <f>'Baseline Consumption'!L73/SUM('Baseline Consumption'!L$71:L$75)</f>
        <v>2.7846935376810757E-4</v>
      </c>
      <c r="M103" s="61">
        <f>'Baseline Consumption'!M73/SUM('Baseline Consumption'!M$71:M$75)</f>
        <v>0</v>
      </c>
      <c r="N103" s="61">
        <f>'Baseline Consumption'!N73/SUM('Baseline Consumption'!N$71:N$75)</f>
        <v>1.7243906932279778E-4</v>
      </c>
      <c r="O103" s="61">
        <f>'Baseline Consumption'!O73/SUM('Baseline Consumption'!O$71:O$75)</f>
        <v>1.5958212935174838E-4</v>
      </c>
      <c r="P103" s="61">
        <f>'Baseline Consumption'!P73/SUM('Baseline Consumption'!P$71:P$75)</f>
        <v>1.4690000363731364E-4</v>
      </c>
      <c r="Q103" s="61">
        <f>'Baseline Consumption'!Q73/SUM('Baseline Consumption'!Q$71:Q$75)</f>
        <v>1.3438915086249064E-4</v>
      </c>
      <c r="R103" s="61">
        <f>'Baseline Consumption'!R73/SUM('Baseline Consumption'!R$71:R$75)</f>
        <v>1.217394901583311E-4</v>
      </c>
      <c r="S103" s="61">
        <f>'Baseline Consumption'!S73/SUM('Baseline Consumption'!S$71:S$75)</f>
        <v>1.1059316244100054E-4</v>
      </c>
      <c r="T103" s="61">
        <f>'Baseline Consumption'!T73/SUM('Baseline Consumption'!T$71:T$75)</f>
        <v>9.8714827073984377E-5</v>
      </c>
      <c r="U103" s="61">
        <f>'Baseline Consumption'!U73/SUM('Baseline Consumption'!U$71:U$75)</f>
        <v>8.7530372074640382E-5</v>
      </c>
      <c r="V103" s="61">
        <f>'Baseline Consumption'!V73/SUM('Baseline Consumption'!V$71:V$75)</f>
        <v>7.6294383379139495E-5</v>
      </c>
      <c r="W103" s="61">
        <f>'Baseline Consumption'!W73/SUM('Baseline Consumption'!W$71:W$75)</f>
        <v>6.4220393576879236E-5</v>
      </c>
      <c r="X103" s="504">
        <f>'Baseline Consumption'!X73/SUM('Baseline Consumption'!X$71:X$75)</f>
        <v>6.4209288409154748E-5</v>
      </c>
      <c r="Y103" s="61">
        <f>'Baseline Consumption'!Y73/SUM('Baseline Consumption'!Y$71:Y$75)</f>
        <v>6.4201824162845233E-5</v>
      </c>
      <c r="Z103" s="61">
        <f>'Baseline Consumption'!Z73/SUM('Baseline Consumption'!Z$71:Z$75)</f>
        <v>6.4205041288383709E-5</v>
      </c>
      <c r="AA103" s="61">
        <f>'Baseline Consumption'!AA73/SUM('Baseline Consumption'!AA$71:AA$75)</f>
        <v>6.4220727565357562E-5</v>
      </c>
      <c r="AB103" s="61">
        <f>'Baseline Consumption'!AB73/SUM('Baseline Consumption'!AB$71:AB$75)</f>
        <v>6.4233941827710215E-5</v>
      </c>
      <c r="AC103" s="61">
        <f>'Baseline Consumption'!AC73/SUM('Baseline Consumption'!AC$71:AC$75)</f>
        <v>6.4254381073133903E-5</v>
      </c>
      <c r="AD103" s="61">
        <f>'Baseline Consumption'!AD73/SUM('Baseline Consumption'!AD$71:AD$75)</f>
        <v>6.4275431735003166E-5</v>
      </c>
      <c r="AE103" s="61">
        <f>'Baseline Consumption'!AE73/SUM('Baseline Consumption'!AE$71:AE$75)</f>
        <v>6.4297008619343464E-5</v>
      </c>
      <c r="AF103" s="61">
        <f>'Baseline Consumption'!AF73/SUM('Baseline Consumption'!AF$71:AF$75)</f>
        <v>6.4319317918832162E-5</v>
      </c>
      <c r="AG103" s="61">
        <f>'Baseline Consumption'!AG73/SUM('Baseline Consumption'!AG$71:AG$75)</f>
        <v>6.4338525288308286E-5</v>
      </c>
      <c r="AH103" s="61">
        <f>'Baseline Consumption'!AH73/SUM('Baseline Consumption'!AH$71:AH$75)</f>
        <v>6.4358364973672333E-5</v>
      </c>
      <c r="AI103" s="61">
        <f>'Baseline Consumption'!AI73/SUM('Baseline Consumption'!AI$71:AI$75)</f>
        <v>6.4377803469316481E-5</v>
      </c>
      <c r="AJ103" s="61">
        <f>'Baseline Consumption'!AJ73/SUM('Baseline Consumption'!AJ$71:AJ$75)</f>
        <v>6.4396852822466846E-5</v>
      </c>
      <c r="AK103" s="61">
        <f>'Baseline Consumption'!AK73/SUM('Baseline Consumption'!AK$71:AK$75)</f>
        <v>6.4415524602778928E-5</v>
      </c>
      <c r="AL103" s="94"/>
    </row>
    <row r="104" spans="1:39" s="57" customFormat="1">
      <c r="A104" s="156" t="s">
        <v>966</v>
      </c>
      <c r="B104" s="76"/>
      <c r="C104" s="76"/>
      <c r="D104" s="76"/>
      <c r="E104" s="76"/>
      <c r="F104" s="76"/>
      <c r="G104" s="76"/>
      <c r="H104" s="76"/>
      <c r="I104" s="76"/>
      <c r="J104" s="76"/>
      <c r="K104" s="61">
        <f>'Baseline Consumption'!K74/SUM('Baseline Consumption'!K$71:K$75)</f>
        <v>3.564591861841622E-2</v>
      </c>
      <c r="L104" s="61">
        <f>'Baseline Consumption'!L74/SUM('Baseline Consumption'!L$71:L$75)</f>
        <v>3.5127337880933217E-2</v>
      </c>
      <c r="M104" s="61">
        <f>'Baseline Consumption'!M74/SUM('Baseline Consumption'!M$71:M$75)</f>
        <v>6.0982288227380818E-2</v>
      </c>
      <c r="N104" s="61">
        <f>'Baseline Consumption'!N74/SUM('Baseline Consumption'!N$71:N$75)</f>
        <v>9.9456360806100624E-2</v>
      </c>
      <c r="O104" s="61">
        <f>'Baseline Consumption'!O74/SUM('Baseline Consumption'!O$71:O$75)</f>
        <v>0.11288638233130069</v>
      </c>
      <c r="P104" s="61">
        <f>'Baseline Consumption'!P74/SUM('Baseline Consumption'!P$71:P$75)</f>
        <v>0.12613379747935866</v>
      </c>
      <c r="Q104" s="61">
        <f>'Baseline Consumption'!Q74/SUM('Baseline Consumption'!Q$71:Q$75)</f>
        <v>0.13920230541692546</v>
      </c>
      <c r="R104" s="61">
        <f>'Baseline Consumption'!R74/SUM('Baseline Consumption'!R$71:R$75)</f>
        <v>0.13938464884547541</v>
      </c>
      <c r="S104" s="61">
        <f>'Baseline Consumption'!S74/SUM('Baseline Consumption'!S$71:S$75)</f>
        <v>0.13973320639498399</v>
      </c>
      <c r="T104" s="61">
        <f>'Baseline Consumption'!T74/SUM('Baseline Consumption'!T$71:T$75)</f>
        <v>0.13998055981017446</v>
      </c>
      <c r="U104" s="61">
        <f>'Baseline Consumption'!U74/SUM('Baseline Consumption'!U$71:U$75)</f>
        <v>0.14032896380609869</v>
      </c>
      <c r="V104" s="61">
        <f>'Baseline Consumption'!V74/SUM('Baseline Consumption'!V$71:V$75)</f>
        <v>0.14067926431067454</v>
      </c>
      <c r="W104" s="61">
        <f>'Baseline Consumption'!W74/SUM('Baseline Consumption'!W$71:W$75)</f>
        <v>0.1408377617508538</v>
      </c>
      <c r="X104" s="504">
        <f>'Baseline Consumption'!X74/SUM('Baseline Consumption'!X$71:X$75)</f>
        <v>0.14083502304137493</v>
      </c>
      <c r="Y104" s="61">
        <f>'Baseline Consumption'!Y74/SUM('Baseline Consumption'!Y$71:Y$75)</f>
        <v>0.1408331822405309</v>
      </c>
      <c r="Z104" s="61">
        <f>'Baseline Consumption'!Z74/SUM('Baseline Consumption'!Z$71:Z$75)</f>
        <v>0.14083397563441974</v>
      </c>
      <c r="AA104" s="61">
        <f>'Baseline Consumption'!AA74/SUM('Baseline Consumption'!AA$71:AA$75)</f>
        <v>0.14083784411767922</v>
      </c>
      <c r="AB104" s="61">
        <f>'Baseline Consumption'!AB74/SUM('Baseline Consumption'!AB$71:AB$75)</f>
        <v>0.14084110296315178</v>
      </c>
      <c r="AC104" s="61">
        <f>'Baseline Consumption'!AC74/SUM('Baseline Consumption'!AC$71:AC$75)</f>
        <v>0.1408461436033808</v>
      </c>
      <c r="AD104" s="61">
        <f>'Baseline Consumption'!AD74/SUM('Baseline Consumption'!AD$71:AD$75)</f>
        <v>0.14085133502854677</v>
      </c>
      <c r="AE104" s="61">
        <f>'Baseline Consumption'!AE74/SUM('Baseline Consumption'!AE$71:AE$75)</f>
        <v>0.14085665622847213</v>
      </c>
      <c r="AF104" s="61">
        <f>'Baseline Consumption'!AF74/SUM('Baseline Consumption'!AF$71:AF$75)</f>
        <v>0.14086215805352256</v>
      </c>
      <c r="AG104" s="61">
        <f>'Baseline Consumption'!AG74/SUM('Baseline Consumption'!AG$71:AG$75)</f>
        <v>0.1408668948937174</v>
      </c>
      <c r="AH104" s="61">
        <f>'Baseline Consumption'!AH74/SUM('Baseline Consumption'!AH$71:AH$75)</f>
        <v>0.14087178767298122</v>
      </c>
      <c r="AI104" s="61">
        <f>'Baseline Consumption'!AI74/SUM('Baseline Consumption'!AI$71:AI$75)</f>
        <v>0.14087658151253374</v>
      </c>
      <c r="AJ104" s="61">
        <f>'Baseline Consumption'!AJ74/SUM('Baseline Consumption'!AJ$71:AJ$75)</f>
        <v>0.14088127938341088</v>
      </c>
      <c r="AK104" s="61">
        <f>'Baseline Consumption'!AK74/SUM('Baseline Consumption'!AK$71:AK$75)</f>
        <v>0.14088588413887215</v>
      </c>
      <c r="AL104" s="94"/>
    </row>
    <row r="105" spans="1:39" s="57" customFormat="1">
      <c r="A105" s="156" t="s">
        <v>967</v>
      </c>
      <c r="B105" s="76"/>
      <c r="C105" s="76"/>
      <c r="D105" s="76"/>
      <c r="E105" s="76"/>
      <c r="F105" s="76"/>
      <c r="G105" s="76"/>
      <c r="H105" s="76"/>
      <c r="I105" s="76"/>
      <c r="J105" s="76"/>
      <c r="K105" s="61">
        <f>'Baseline Consumption'!K75/SUM('Baseline Consumption'!K$71:K$75)</f>
        <v>1.0628190113171917E-4</v>
      </c>
      <c r="L105" s="61">
        <f>'Baseline Consumption'!L75/SUM('Baseline Consumption'!L$71:L$75)</f>
        <v>1.5246997815578011E-4</v>
      </c>
      <c r="M105" s="61">
        <f>'Baseline Consumption'!M75/SUM('Baseline Consumption'!M$71:M$75)</f>
        <v>5.8146310608263877E-5</v>
      </c>
      <c r="N105" s="61">
        <f>'Baseline Consumption'!N75/SUM('Baseline Consumption'!N$71:N$75)</f>
        <v>1.0554408585472432E-4</v>
      </c>
      <c r="O105" s="61">
        <f>'Baseline Consumption'!O75/SUM('Baseline Consumption'!O$71:O$75)</f>
        <v>1.1756199240423654E-4</v>
      </c>
      <c r="P105" s="61">
        <f>'Baseline Consumption'!P75/SUM('Baseline Consumption'!P$71:P$75)</f>
        <v>1.2941649293301223E-4</v>
      </c>
      <c r="Q105" s="61">
        <f>'Baseline Consumption'!Q75/SUM('Baseline Consumption'!Q$71:Q$75)</f>
        <v>1.411108976545982E-4</v>
      </c>
      <c r="R105" s="61">
        <f>'Baseline Consumption'!R75/SUM('Baseline Consumption'!R$71:R$75)</f>
        <v>1.6156646694071651E-3</v>
      </c>
      <c r="S105" s="61">
        <f>'Baseline Consumption'!S75/SUM('Baseline Consumption'!S$71:S$75)</f>
        <v>1.643827233510366E-3</v>
      </c>
      <c r="T105" s="61">
        <f>'Baseline Consumption'!T75/SUM('Baseline Consumption'!T$71:T$75)</f>
        <v>2.5134139697983557E-3</v>
      </c>
      <c r="U105" s="61">
        <f>'Baseline Consumption'!U75/SUM('Baseline Consumption'!U$71:U$75)</f>
        <v>2.5507782323118179E-3</v>
      </c>
      <c r="V105" s="61">
        <f>'Baseline Consumption'!V75/SUM('Baseline Consumption'!V$71:V$75)</f>
        <v>2.5863445410579879E-3</v>
      </c>
      <c r="W105" s="61">
        <f>'Baseline Consumption'!W75/SUM('Baseline Consumption'!W$71:W$75)</f>
        <v>4.0989829107435241E-3</v>
      </c>
      <c r="X105" s="504">
        <f>'Baseline Consumption'!X75/SUM('Baseline Consumption'!X$71:X$75)</f>
        <v>4.119889448340964E-3</v>
      </c>
      <c r="Y105" s="61">
        <f>'Baseline Consumption'!Y75/SUM('Baseline Consumption'!Y$71:Y$75)</f>
        <v>4.1339416040560226E-3</v>
      </c>
      <c r="Z105" s="61">
        <f>'Baseline Consumption'!Z75/SUM('Baseline Consumption'!Z$71:Z$75)</f>
        <v>4.1278850583383537E-3</v>
      </c>
      <c r="AA105" s="61">
        <f>'Baseline Consumption'!AA75/SUM('Baseline Consumption'!AA$71:AA$75)</f>
        <v>4.0983541455729029E-3</v>
      </c>
      <c r="AB105" s="61">
        <f>'Baseline Consumption'!AB75/SUM('Baseline Consumption'!AB$71:AB$75)</f>
        <v>4.0734770361449193E-3</v>
      </c>
      <c r="AC105" s="61">
        <f>'Baseline Consumption'!AC75/SUM('Baseline Consumption'!AC$71:AC$75)</f>
        <v>4.0349982068723445E-3</v>
      </c>
      <c r="AD105" s="61">
        <f>'Baseline Consumption'!AD75/SUM('Baseline Consumption'!AD$71:AD$75)</f>
        <v>3.9953683278161284E-3</v>
      </c>
      <c r="AE105" s="61">
        <f>'Baseline Consumption'!AE75/SUM('Baseline Consumption'!AE$71:AE$75)</f>
        <v>3.9547477847601794E-3</v>
      </c>
      <c r="AF105" s="61">
        <f>'Baseline Consumption'!AF75/SUM('Baseline Consumption'!AF$71:AF$75)</f>
        <v>3.9127484003200408E-3</v>
      </c>
      <c r="AG105" s="61">
        <f>'Baseline Consumption'!AG75/SUM('Baseline Consumption'!AG$71:AG$75)</f>
        <v>3.8765886950311934E-3</v>
      </c>
      <c r="AH105" s="61">
        <f>'Baseline Consumption'!AH75/SUM('Baseline Consumption'!AH$71:AH$75)</f>
        <v>3.8392385947647978E-3</v>
      </c>
      <c r="AI105" s="61">
        <f>'Baseline Consumption'!AI75/SUM('Baseline Consumption'!AI$71:AI$75)</f>
        <v>3.8026437724168216E-3</v>
      </c>
      <c r="AJ105" s="61">
        <f>'Baseline Consumption'!AJ75/SUM('Baseline Consumption'!AJ$71:AJ$75)</f>
        <v>3.7667815479349121E-3</v>
      </c>
      <c r="AK105" s="61">
        <f>'Baseline Consumption'!AK75/SUM('Baseline Consumption'!AK$71:AK$75)</f>
        <v>3.7316301403388847E-3</v>
      </c>
      <c r="AL105" s="94"/>
    </row>
    <row r="106" spans="1:39" s="57" customFormat="1">
      <c r="A106" s="156" t="s">
        <v>385</v>
      </c>
      <c r="B106"/>
      <c r="C106"/>
      <c r="D106"/>
      <c r="E106"/>
      <c r="F106"/>
      <c r="G106"/>
      <c r="H106"/>
      <c r="I106"/>
      <c r="J106"/>
      <c r="K106" s="116">
        <f t="shared" ref="K106:AK106" si="13">1-SUM(K101:K105)</f>
        <v>0</v>
      </c>
      <c r="L106" s="116">
        <f t="shared" si="13"/>
        <v>0</v>
      </c>
      <c r="M106" s="116">
        <f t="shared" si="13"/>
        <v>0</v>
      </c>
      <c r="N106" s="116">
        <f t="shared" si="13"/>
        <v>0</v>
      </c>
      <c r="O106" s="116">
        <f t="shared" si="13"/>
        <v>0</v>
      </c>
      <c r="P106" s="116">
        <f t="shared" si="13"/>
        <v>0</v>
      </c>
      <c r="Q106" s="116">
        <f t="shared" si="13"/>
        <v>0</v>
      </c>
      <c r="R106" s="116">
        <f t="shared" si="13"/>
        <v>0</v>
      </c>
      <c r="S106" s="116">
        <f t="shared" si="13"/>
        <v>0</v>
      </c>
      <c r="T106" s="116">
        <f t="shared" si="13"/>
        <v>0</v>
      </c>
      <c r="U106" s="116">
        <f t="shared" si="13"/>
        <v>0</v>
      </c>
      <c r="V106" s="116">
        <f t="shared" si="13"/>
        <v>0</v>
      </c>
      <c r="W106" s="116">
        <f t="shared" si="13"/>
        <v>0</v>
      </c>
      <c r="X106" s="505">
        <f t="shared" si="13"/>
        <v>0</v>
      </c>
      <c r="Y106" s="116">
        <f t="shared" si="13"/>
        <v>0</v>
      </c>
      <c r="Z106" s="116">
        <f t="shared" si="13"/>
        <v>0</v>
      </c>
      <c r="AA106" s="116">
        <f t="shared" si="13"/>
        <v>0</v>
      </c>
      <c r="AB106" s="116">
        <f t="shared" si="13"/>
        <v>0</v>
      </c>
      <c r="AC106" s="116">
        <f t="shared" si="13"/>
        <v>0</v>
      </c>
      <c r="AD106" s="116">
        <f t="shared" si="13"/>
        <v>0</v>
      </c>
      <c r="AE106" s="116">
        <f t="shared" si="13"/>
        <v>0</v>
      </c>
      <c r="AF106" s="116">
        <f t="shared" si="13"/>
        <v>0</v>
      </c>
      <c r="AG106" s="116">
        <f t="shared" si="13"/>
        <v>0</v>
      </c>
      <c r="AH106" s="116">
        <f t="shared" si="13"/>
        <v>0</v>
      </c>
      <c r="AI106" s="116">
        <f t="shared" si="13"/>
        <v>0</v>
      </c>
      <c r="AJ106" s="116">
        <f t="shared" si="13"/>
        <v>0</v>
      </c>
      <c r="AK106" s="116">
        <f t="shared" si="13"/>
        <v>0</v>
      </c>
      <c r="AL106" s="94"/>
    </row>
    <row r="107" spans="1:39" s="57" customFormat="1">
      <c r="A107" s="77" t="s">
        <v>1386</v>
      </c>
      <c r="B107"/>
      <c r="C107"/>
      <c r="D107"/>
      <c r="E107"/>
      <c r="F107"/>
      <c r="G107"/>
      <c r="H107"/>
      <c r="I107"/>
      <c r="J107"/>
      <c r="K107" s="76"/>
      <c r="L107" s="76"/>
      <c r="M107" s="76"/>
      <c r="N107" s="76"/>
      <c r="O107" s="76"/>
      <c r="P107" s="76"/>
      <c r="Q107" s="76"/>
      <c r="R107" s="76"/>
      <c r="S107" s="76"/>
      <c r="T107" s="76"/>
      <c r="U107" s="76"/>
      <c r="V107" s="76"/>
      <c r="W107" s="76"/>
      <c r="X107" s="503"/>
      <c r="Y107" s="76"/>
      <c r="Z107" s="76"/>
      <c r="AA107" s="76"/>
      <c r="AB107" s="76"/>
      <c r="AC107" s="76"/>
      <c r="AD107" s="76"/>
      <c r="AE107" s="76"/>
      <c r="AF107" s="76"/>
      <c r="AG107" s="76"/>
      <c r="AH107" s="76"/>
      <c r="AI107" s="76"/>
      <c r="AJ107" s="76"/>
      <c r="AK107" s="76"/>
      <c r="AL107" s="94"/>
    </row>
    <row r="108" spans="1:39" s="57" customFormat="1">
      <c r="A108" s="279" t="s">
        <v>372</v>
      </c>
      <c r="B108"/>
      <c r="C108"/>
      <c r="D108"/>
      <c r="E108"/>
      <c r="F108"/>
      <c r="G108"/>
      <c r="H108"/>
      <c r="I108"/>
      <c r="J108"/>
      <c r="K108" s="61">
        <f>'Baseline Consumption'!K66-K$96</f>
        <v>0.15282317562040892</v>
      </c>
      <c r="L108" s="61">
        <f>'Baseline Consumption'!L66-L$96</f>
        <v>0.16291514609908839</v>
      </c>
      <c r="M108" s="61">
        <f>'Baseline Consumption'!M66-M$96</f>
        <v>0.14636250617220056</v>
      </c>
      <c r="N108" s="61">
        <f>'Baseline Consumption'!N66-N$96</f>
        <v>0.1304645013557737</v>
      </c>
      <c r="O108" s="61">
        <f>'Baseline Consumption'!O66-O$96</f>
        <v>0.12524562127556696</v>
      </c>
      <c r="P108" s="61">
        <f>'Baseline Consumption'!P66-P$96</f>
        <v>0.12002674119536023</v>
      </c>
      <c r="Q108" s="61">
        <f>'Baseline Consumption'!Q66-Q$96</f>
        <v>0.11480786111515308</v>
      </c>
      <c r="R108" s="61">
        <f>'Baseline Consumption'!R66-R$96</f>
        <v>9.1701512317417133E-2</v>
      </c>
      <c r="S108" s="61">
        <f>'Baseline Consumption'!S66-S$96</f>
        <v>8.9645611993228402E-2</v>
      </c>
      <c r="T108" s="61">
        <f>'Baseline Consumption'!T66-T$96</f>
        <v>7.5199858163651309E-2</v>
      </c>
      <c r="U108" s="61">
        <f>'Baseline Consumption'!U66-U$96</f>
        <v>7.3038990871821044E-2</v>
      </c>
      <c r="V108" s="61">
        <f>'Baseline Consumption'!V66-V$96</f>
        <v>7.0907278074359856E-2</v>
      </c>
      <c r="W108" s="61">
        <f>'Baseline Consumption'!W66-W$96</f>
        <v>4.6745230803093105E-2</v>
      </c>
      <c r="X108" s="504">
        <f>'Baseline Consumption'!X66-X$96</f>
        <v>4.6429512665324552E-2</v>
      </c>
      <c r="Y108" s="61">
        <f>'Baseline Consumption'!Y66-Y$96</f>
        <v>4.6217243961802691E-2</v>
      </c>
      <c r="Z108" s="61">
        <f>'Baseline Consumption'!Z66-Z$96</f>
        <v>4.6308738831057301E-2</v>
      </c>
      <c r="AA108" s="61">
        <f>'Baseline Consumption'!AA66-AA$96</f>
        <v>4.6754724350663281E-2</v>
      </c>
      <c r="AB108" s="61">
        <f>'Baseline Consumption'!AB66-AB$96</f>
        <v>4.7130257569247602E-2</v>
      </c>
      <c r="AC108" s="61">
        <f>'Baseline Consumption'!AC66-AC$96</f>
        <v>4.7710811767283687E-2</v>
      </c>
      <c r="AD108" s="61">
        <f>'Baseline Consumption'!AD66-AD$96</f>
        <v>4.8308346615392163E-2</v>
      </c>
      <c r="AE108" s="61">
        <f>'Baseline Consumption'!AE66-AE$96</f>
        <v>4.8920412527730495E-2</v>
      </c>
      <c r="AF108" s="61">
        <f>'Baseline Consumption'!AF66-AF$96</f>
        <v>4.9552822872509603E-2</v>
      </c>
      <c r="AG108" s="61">
        <f>'Baseline Consumption'!AG66-AG$96</f>
        <v>5.0096950263165817E-2</v>
      </c>
      <c r="AH108" s="61">
        <f>'Baseline Consumption'!AH66-AH$96</f>
        <v>5.0658649593394153E-2</v>
      </c>
      <c r="AI108" s="61">
        <f>'Baseline Consumption'!AI66-AI$96</f>
        <v>5.1208654703574739E-2</v>
      </c>
      <c r="AJ108" s="61">
        <f>'Baseline Consumption'!AJ66-AJ$96</f>
        <v>5.1747327030515503E-2</v>
      </c>
      <c r="AK108" s="61">
        <f>'Baseline Consumption'!AK66-AK$96</f>
        <v>5.2275013268195412E-2</v>
      </c>
      <c r="AL108" s="94"/>
    </row>
    <row r="109" spans="1:39" s="57" customFormat="1">
      <c r="A109" s="279" t="s">
        <v>422</v>
      </c>
      <c r="B109"/>
      <c r="C109"/>
      <c r="D109"/>
      <c r="E109"/>
      <c r="F109"/>
      <c r="G109"/>
      <c r="H109"/>
      <c r="I109"/>
      <c r="J109"/>
      <c r="K109" s="61">
        <f>'Baseline Consumption'!K67+K$97</f>
        <v>0.10344042999688234</v>
      </c>
      <c r="L109" s="61">
        <f>'Baseline Consumption'!L67+L$97</f>
        <v>0.12369074292682812</v>
      </c>
      <c r="M109" s="61">
        <f>'Baseline Consumption'!M67+M$97</f>
        <v>0.10362853446030114</v>
      </c>
      <c r="N109" s="61">
        <f>'Baseline Consumption'!N67+N$97</f>
        <v>0.10264997525083962</v>
      </c>
      <c r="O109" s="61">
        <f>'Baseline Consumption'!O67+O$97</f>
        <v>0.10318915596696725</v>
      </c>
      <c r="P109" s="61">
        <f>'Baseline Consumption'!P67+P$97</f>
        <v>0.10372833668309485</v>
      </c>
      <c r="Q109" s="61">
        <f>'Baseline Consumption'!Q67+Q$97</f>
        <v>0.10426751739922202</v>
      </c>
      <c r="R109" s="61">
        <f>'Baseline Consumption'!R67+R$97</f>
        <v>0.12087251267920081</v>
      </c>
      <c r="S109" s="61">
        <f>'Baseline Consumption'!S67+S$97</f>
        <v>0.12484723887505106</v>
      </c>
      <c r="T109" s="61">
        <f>'Baseline Consumption'!T67+T$97</f>
        <v>0.13625587717413409</v>
      </c>
      <c r="U109" s="61">
        <f>'Baseline Consumption'!U67+U$97</f>
        <v>0.14029358355056867</v>
      </c>
      <c r="V109" s="61">
        <f>'Baseline Consumption'!V67+V$97</f>
        <v>0.14431379723038218</v>
      </c>
      <c r="W109" s="61">
        <f>'Baseline Consumption'!W67+W$97</f>
        <v>0.16155221159447958</v>
      </c>
      <c r="X109" s="504">
        <f>'Baseline Consumption'!X67+X$97</f>
        <v>0.16174164247714071</v>
      </c>
      <c r="Y109" s="61">
        <f>'Baseline Consumption'!Y67+Y$97</f>
        <v>0.16186900369925386</v>
      </c>
      <c r="Z109" s="61">
        <f>'Baseline Consumption'!Z67+Z$97</f>
        <v>0.16181410677770106</v>
      </c>
      <c r="AA109" s="61">
        <f>'Baseline Consumption'!AA67+AA$97</f>
        <v>0.16154651546593748</v>
      </c>
      <c r="AB109" s="61">
        <f>'Baseline Consumption'!AB67+AB$97</f>
        <v>0.16132119553478688</v>
      </c>
      <c r="AC109" s="61">
        <f>'Baseline Consumption'!AC67+AC$97</f>
        <v>0.16097286301596525</v>
      </c>
      <c r="AD109" s="61">
        <f>'Baseline Consumption'!AD67+AD$97</f>
        <v>0.16061434210710016</v>
      </c>
      <c r="AE109" s="61">
        <f>'Baseline Consumption'!AE67+AE$97</f>
        <v>0.16024710255969715</v>
      </c>
      <c r="AF109" s="61">
        <f>'Baseline Consumption'!AF67+AF$97</f>
        <v>0.15986765635282968</v>
      </c>
      <c r="AG109" s="61">
        <f>'Baseline Consumption'!AG67+AG$97</f>
        <v>0.15954117991843597</v>
      </c>
      <c r="AH109" s="61">
        <f>'Baseline Consumption'!AH67+AH$97</f>
        <v>0.15920416032029894</v>
      </c>
      <c r="AI109" s="61">
        <f>'Baseline Consumption'!AI67+AI$97</f>
        <v>0.1588741572541906</v>
      </c>
      <c r="AJ109" s="61">
        <f>'Baseline Consumption'!AJ67+AJ$97</f>
        <v>0.15855095385802614</v>
      </c>
      <c r="AK109" s="61">
        <f>'Baseline Consumption'!AK67+AK$97</f>
        <v>0.1582343421154182</v>
      </c>
      <c r="AL109" s="94"/>
    </row>
    <row r="110" spans="1:39" s="57" customFormat="1">
      <c r="A110" s="279" t="s">
        <v>423</v>
      </c>
      <c r="B110"/>
      <c r="C110"/>
      <c r="D110"/>
      <c r="E110"/>
      <c r="F110"/>
      <c r="G110"/>
      <c r="H110"/>
      <c r="I110"/>
      <c r="J110"/>
      <c r="K110" s="61">
        <f>'Baseline Consumption'!K68</f>
        <v>1.0333425362330444E-2</v>
      </c>
      <c r="L110" s="61">
        <f>'Baseline Consumption'!L68</f>
        <v>0.01</v>
      </c>
      <c r="M110" s="61">
        <f>'Baseline Consumption'!M68</f>
        <v>0.01</v>
      </c>
      <c r="N110" s="61">
        <f>'Baseline Consumption'!N68</f>
        <v>1.2E-2</v>
      </c>
      <c r="O110" s="61">
        <f>'Baseline Consumption'!O68</f>
        <v>1.2E-2</v>
      </c>
      <c r="P110" s="61">
        <f>'Baseline Consumption'!P68</f>
        <v>1.2000000000000002E-2</v>
      </c>
      <c r="Q110" s="61">
        <f>'Baseline Consumption'!Q68</f>
        <v>1.2E-2</v>
      </c>
      <c r="R110" s="61">
        <f>'Baseline Consumption'!R68</f>
        <v>1.2000000000000002E-2</v>
      </c>
      <c r="S110" s="61">
        <f>'Baseline Consumption'!S68</f>
        <v>1.2E-2</v>
      </c>
      <c r="T110" s="61">
        <f>'Baseline Consumption'!T68</f>
        <v>1.2000000000000002E-2</v>
      </c>
      <c r="U110" s="61">
        <f>'Baseline Consumption'!U68</f>
        <v>1.2E-2</v>
      </c>
      <c r="V110" s="61">
        <f>'Baseline Consumption'!V68</f>
        <v>1.2E-2</v>
      </c>
      <c r="W110" s="61">
        <f>'Baseline Consumption'!W68</f>
        <v>1.2E-2</v>
      </c>
      <c r="X110" s="504">
        <f>'Baseline Consumption'!X68</f>
        <v>1.2E-2</v>
      </c>
      <c r="Y110" s="61">
        <f>'Baseline Consumption'!Y68</f>
        <v>1.2E-2</v>
      </c>
      <c r="Z110" s="61">
        <f>'Baseline Consumption'!Z68</f>
        <v>1.2E-2</v>
      </c>
      <c r="AA110" s="61">
        <f>'Baseline Consumption'!AA68</f>
        <v>1.2E-2</v>
      </c>
      <c r="AB110" s="61">
        <f>'Baseline Consumption'!AB68</f>
        <v>1.2E-2</v>
      </c>
      <c r="AC110" s="61">
        <f>'Baseline Consumption'!AC68</f>
        <v>1.2E-2</v>
      </c>
      <c r="AD110" s="61">
        <f>'Baseline Consumption'!AD68</f>
        <v>1.2E-2</v>
      </c>
      <c r="AE110" s="61">
        <f>'Baseline Consumption'!AE68</f>
        <v>1.2E-2</v>
      </c>
      <c r="AF110" s="61">
        <f>'Baseline Consumption'!AF68</f>
        <v>1.2E-2</v>
      </c>
      <c r="AG110" s="61">
        <f>'Baseline Consumption'!AG68</f>
        <v>1.2000000000000002E-2</v>
      </c>
      <c r="AH110" s="61">
        <f>'Baseline Consumption'!AH68</f>
        <v>1.2E-2</v>
      </c>
      <c r="AI110" s="61">
        <f>'Baseline Consumption'!AI68</f>
        <v>1.2E-2</v>
      </c>
      <c r="AJ110" s="61">
        <f>'Baseline Consumption'!AJ68</f>
        <v>1.2E-2</v>
      </c>
      <c r="AK110" s="61">
        <f>'Baseline Consumption'!AK68</f>
        <v>1.2E-2</v>
      </c>
      <c r="AL110" s="94"/>
    </row>
    <row r="111" spans="1:39" s="57" customFormat="1">
      <c r="A111" s="279" t="s">
        <v>424</v>
      </c>
      <c r="B111"/>
      <c r="C111"/>
      <c r="D111"/>
      <c r="E111"/>
      <c r="F111"/>
      <c r="G111"/>
      <c r="H111"/>
      <c r="I111"/>
      <c r="J111"/>
      <c r="K111" s="61">
        <f>'Baseline Consumption'!K69</f>
        <v>6.5016534241318826E-4</v>
      </c>
      <c r="L111" s="61">
        <f>'Baseline Consumption'!L69</f>
        <v>5.3336649079166671E-4</v>
      </c>
      <c r="M111" s="61">
        <f>'Baseline Consumption'!M69</f>
        <v>7.0767476992851497E-4</v>
      </c>
      <c r="N111" s="61">
        <f>'Baseline Consumption'!N69</f>
        <v>5.4212500408938602E-4</v>
      </c>
      <c r="O111" s="61">
        <f>'Baseline Consumption'!O69</f>
        <v>5.0399510678275639E-4</v>
      </c>
      <c r="P111" s="61">
        <f>'Baseline Consumption'!P69</f>
        <v>4.658652094761267E-4</v>
      </c>
      <c r="Q111" s="61">
        <f>'Baseline Consumption'!Q69</f>
        <v>4.2773531216949712E-4</v>
      </c>
      <c r="R111" s="61">
        <f>'Baseline Consumption'!R69</f>
        <v>3.8960541486286748E-4</v>
      </c>
      <c r="S111" s="61">
        <f>'Baseline Consumption'!S69</f>
        <v>3.5147551755623785E-4</v>
      </c>
      <c r="T111" s="61">
        <f>'Baseline Consumption'!T69</f>
        <v>3.1334562024960821E-4</v>
      </c>
      <c r="U111" s="61">
        <f>'Baseline Consumption'!U69</f>
        <v>2.752157229429647E-4</v>
      </c>
      <c r="V111" s="61">
        <f>'Baseline Consumption'!V69</f>
        <v>2.3708582563633507E-4</v>
      </c>
      <c r="W111" s="61">
        <f>'Baseline Consumption'!W69</f>
        <v>1.9895592832970543E-4</v>
      </c>
      <c r="X111" s="504">
        <f>'Baseline Consumption'!X69</f>
        <v>1.9895592832970543E-4</v>
      </c>
      <c r="Y111" s="61">
        <f>'Baseline Consumption'!Y69</f>
        <v>1.9895592832970543E-4</v>
      </c>
      <c r="Z111" s="61">
        <f>'Baseline Consumption'!Z69</f>
        <v>1.9895592832970541E-4</v>
      </c>
      <c r="AA111" s="61">
        <f>'Baseline Consumption'!AA69</f>
        <v>1.9895592832970541E-4</v>
      </c>
      <c r="AB111" s="61">
        <f>'Baseline Consumption'!AB69</f>
        <v>1.9895592832970543E-4</v>
      </c>
      <c r="AC111" s="61">
        <f>'Baseline Consumption'!AC69</f>
        <v>1.9895592832970543E-4</v>
      </c>
      <c r="AD111" s="61">
        <f>'Baseline Consumption'!AD69</f>
        <v>1.9895592832970546E-4</v>
      </c>
      <c r="AE111" s="61">
        <f>'Baseline Consumption'!AE69</f>
        <v>1.9895592832970543E-4</v>
      </c>
      <c r="AF111" s="61">
        <f>'Baseline Consumption'!AF69</f>
        <v>1.9895592832970543E-4</v>
      </c>
      <c r="AG111" s="61">
        <f>'Baseline Consumption'!AG69</f>
        <v>1.9895592832970541E-4</v>
      </c>
      <c r="AH111" s="61">
        <f>'Baseline Consumption'!AH69</f>
        <v>1.9895592832970543E-4</v>
      </c>
      <c r="AI111" s="61">
        <f>'Baseline Consumption'!AI69</f>
        <v>1.9895592832970543E-4</v>
      </c>
      <c r="AJ111" s="61">
        <f>'Baseline Consumption'!AJ69</f>
        <v>1.9895592832970546E-4</v>
      </c>
      <c r="AK111" s="61">
        <f>'Baseline Consumption'!AK69</f>
        <v>1.9895592832970546E-4</v>
      </c>
      <c r="AL111" s="94"/>
    </row>
    <row r="112" spans="1:39" s="57" customFormat="1">
      <c r="A112" s="279" t="s">
        <v>425</v>
      </c>
      <c r="B112"/>
      <c r="C112"/>
      <c r="D112"/>
      <c r="E112"/>
      <c r="F112"/>
      <c r="G112"/>
      <c r="H112"/>
      <c r="I112"/>
      <c r="J112"/>
      <c r="K112" s="61">
        <f>'Baseline Consumption'!K70</f>
        <v>5.0307799051020105E-2</v>
      </c>
      <c r="L112" s="61">
        <f>'Baseline Consumption'!L70</f>
        <v>4.5537403932920044E-2</v>
      </c>
      <c r="M112" s="61">
        <f>'Baseline Consumption'!M70</f>
        <v>4.9268368252782233E-2</v>
      </c>
      <c r="N112" s="61">
        <f>'Baseline Consumption'!N70</f>
        <v>4.5451182530737655E-2</v>
      </c>
      <c r="O112" s="61">
        <f>'Baseline Consumption'!O70</f>
        <v>4.5113950609603881E-2</v>
      </c>
      <c r="P112" s="61">
        <f>'Baseline Consumption'!P70</f>
        <v>4.4776718688470107E-2</v>
      </c>
      <c r="Q112" s="61">
        <f>'Baseline Consumption'!Q70</f>
        <v>4.4439486767336334E-2</v>
      </c>
      <c r="R112" s="61">
        <f>'Baseline Consumption'!R70</f>
        <v>4.4102254846202449E-2</v>
      </c>
      <c r="S112" s="61">
        <f>'Baseline Consumption'!S70</f>
        <v>4.3765022925068675E-2</v>
      </c>
      <c r="T112" s="61">
        <f>'Baseline Consumption'!T70</f>
        <v>4.3427791003934901E-2</v>
      </c>
      <c r="U112" s="61">
        <f>'Baseline Consumption'!U70</f>
        <v>4.3090559082801017E-2</v>
      </c>
      <c r="V112" s="61">
        <f>'Baseline Consumption'!V70</f>
        <v>4.2753327161667243E-2</v>
      </c>
      <c r="W112" s="61">
        <f>'Baseline Consumption'!W70</f>
        <v>4.2416095240533469E-2</v>
      </c>
      <c r="X112" s="504">
        <f>'Baseline Consumption'!X70</f>
        <v>4.2416095240533469E-2</v>
      </c>
      <c r="Y112" s="61">
        <f>'Baseline Consumption'!Y70</f>
        <v>4.2416095240533469E-2</v>
      </c>
      <c r="Z112" s="61">
        <f>'Baseline Consumption'!Z70</f>
        <v>4.2416095240533469E-2</v>
      </c>
      <c r="AA112" s="61">
        <f>'Baseline Consumption'!AA70</f>
        <v>4.2416095240533469E-2</v>
      </c>
      <c r="AB112" s="61">
        <f>'Baseline Consumption'!AB70</f>
        <v>4.2416095240533469E-2</v>
      </c>
      <c r="AC112" s="61">
        <f>'Baseline Consumption'!AC70</f>
        <v>4.2416095240533469E-2</v>
      </c>
      <c r="AD112" s="61">
        <f>'Baseline Consumption'!AD70</f>
        <v>4.2416095240533469E-2</v>
      </c>
      <c r="AE112" s="61">
        <f>'Baseline Consumption'!AE70</f>
        <v>4.2416095240533469E-2</v>
      </c>
      <c r="AF112" s="61">
        <f>'Baseline Consumption'!AF70</f>
        <v>4.2416095240533469E-2</v>
      </c>
      <c r="AG112" s="61">
        <f>'Baseline Consumption'!AG70</f>
        <v>4.2416095240533469E-2</v>
      </c>
      <c r="AH112" s="61">
        <f>'Baseline Consumption'!AH70</f>
        <v>4.2416095240533469E-2</v>
      </c>
      <c r="AI112" s="61">
        <f>'Baseline Consumption'!AI70</f>
        <v>4.2416095240533469E-2</v>
      </c>
      <c r="AJ112" s="61">
        <f>'Baseline Consumption'!AJ70</f>
        <v>4.2416095240533469E-2</v>
      </c>
      <c r="AK112" s="61">
        <f>'Baseline Consumption'!AK70</f>
        <v>4.2416095240533469E-2</v>
      </c>
      <c r="AL112" s="94"/>
    </row>
    <row r="113" spans="1:38" s="57" customFormat="1">
      <c r="A113" s="279" t="s">
        <v>249</v>
      </c>
      <c r="B113"/>
      <c r="C113"/>
      <c r="D113"/>
      <c r="E113"/>
      <c r="F113"/>
      <c r="G113"/>
      <c r="H113"/>
      <c r="I113"/>
      <c r="J113"/>
      <c r="K113" s="61">
        <f>'Baseline Consumption'!K71+K$98*K101</f>
        <v>0.65070798217051784</v>
      </c>
      <c r="L113" s="61">
        <f>'Baseline Consumption'!L71+L$98*L101</f>
        <v>0.62619566318968134</v>
      </c>
      <c r="M113" s="61">
        <f>'Baseline Consumption'!M71+M$98*M101</f>
        <v>0.6368912385248412</v>
      </c>
      <c r="N113" s="61">
        <f>'Baseline Consumption'!N71+N$98*N101</f>
        <v>0.62879539363041381</v>
      </c>
      <c r="O113" s="61">
        <f>'Baseline Consumption'!O71+O$98*O101</f>
        <v>0.62362420270287033</v>
      </c>
      <c r="P113" s="61">
        <f>'Baseline Consumption'!P71+P$98*P101</f>
        <v>0.61845301177532697</v>
      </c>
      <c r="Q113" s="61">
        <f>'Baseline Consumption'!Q71+Q$98*Q101</f>
        <v>0.61328182084778393</v>
      </c>
      <c r="R113" s="61">
        <f>'Baseline Consumption'!R71+R$98*R101</f>
        <v>0.61781020386883201</v>
      </c>
      <c r="S113" s="61">
        <f>'Baseline Consumption'!S71+S$98*S101</f>
        <v>0.61602345234781675</v>
      </c>
      <c r="T113" s="61">
        <f>'Baseline Consumption'!T71+T$98*T101</f>
        <v>0.61795365687841763</v>
      </c>
      <c r="U113" s="61">
        <f>'Baseline Consumption'!U71+U$98*U101</f>
        <v>0.61619839544769506</v>
      </c>
      <c r="V113" s="61">
        <f>'Baseline Consumption'!V71+V$98*V101</f>
        <v>0.61443438766866132</v>
      </c>
      <c r="W113" s="61">
        <f>'Baseline Consumption'!W71+W$98*W101</f>
        <v>0.61927948023176871</v>
      </c>
      <c r="X113" s="504">
        <f>'Baseline Consumption'!X71+X$98*X101</f>
        <v>0.61937419567309937</v>
      </c>
      <c r="Y113" s="61">
        <f>'Baseline Consumption'!Y71+Y$98*Y101</f>
        <v>0.61943787628415592</v>
      </c>
      <c r="Z113" s="61">
        <f>'Baseline Consumption'!Z71+Z$98*Z101</f>
        <v>0.61941042782337952</v>
      </c>
      <c r="AA113" s="61">
        <f>'Baseline Consumption'!AA71+AA$98*AA101</f>
        <v>0.61927663216749773</v>
      </c>
      <c r="AB113" s="61">
        <f>'Baseline Consumption'!AB71+AB$98*AB101</f>
        <v>0.61916397220192243</v>
      </c>
      <c r="AC113" s="61">
        <f>'Baseline Consumption'!AC71+AC$98*AC101</f>
        <v>0.61898980594251163</v>
      </c>
      <c r="AD113" s="61">
        <f>'Baseline Consumption'!AD71+AD$98*AD101</f>
        <v>0.61881054548807901</v>
      </c>
      <c r="AE113" s="61">
        <f>'Baseline Consumption'!AE71+AE$98*AE101</f>
        <v>0.61862692571437761</v>
      </c>
      <c r="AF113" s="61">
        <f>'Baseline Consumption'!AF71+AF$98*AF101</f>
        <v>0.61843720261094381</v>
      </c>
      <c r="AG113" s="61">
        <f>'Baseline Consumption'!AG71+AG$98*AG101</f>
        <v>0.61827396439374693</v>
      </c>
      <c r="AH113" s="61">
        <f>'Baseline Consumption'!AH71+AH$98*AH101</f>
        <v>0.61810545459467847</v>
      </c>
      <c r="AI113" s="61">
        <f>'Baseline Consumption'!AI71+AI$98*AI101</f>
        <v>0.61794045306162426</v>
      </c>
      <c r="AJ113" s="61">
        <f>'Baseline Consumption'!AJ71+AJ$98*AJ101</f>
        <v>0.61777885136354205</v>
      </c>
      <c r="AK113" s="61">
        <f>'Baseline Consumption'!AK71+AK$98*AK101</f>
        <v>0.6176205454922381</v>
      </c>
      <c r="AL113" s="94"/>
    </row>
    <row r="114" spans="1:38" s="57" customFormat="1">
      <c r="A114" s="279" t="s">
        <v>426</v>
      </c>
      <c r="B114"/>
      <c r="C114"/>
      <c r="D114"/>
      <c r="E114"/>
      <c r="F114"/>
      <c r="G114"/>
      <c r="H114"/>
      <c r="I114"/>
      <c r="J114"/>
      <c r="K114" s="61">
        <f>'Baseline Consumption'!K72+K$98*K102</f>
        <v>3.2731184687870823E-3</v>
      </c>
      <c r="L114" s="61">
        <f>'Baseline Consumption'!L72+L$98*L102</f>
        <v>4.5448241558907476E-3</v>
      </c>
      <c r="M114" s="61">
        <f>'Baseline Consumption'!M72+M$98*M102</f>
        <v>7.7258879043987736E-3</v>
      </c>
      <c r="N114" s="61">
        <f>'Baseline Consumption'!N72+N$98*N102</f>
        <v>4.8352300113573485E-3</v>
      </c>
      <c r="O114" s="61">
        <f>'Baseline Consumption'!O72+O$98*O102</f>
        <v>4.8565442090057545E-3</v>
      </c>
      <c r="P114" s="61">
        <f>'Baseline Consumption'!P72+P$98*P102</f>
        <v>4.8778584066541536E-3</v>
      </c>
      <c r="Q114" s="61">
        <f>'Baseline Consumption'!Q72+Q$98*Q102</f>
        <v>4.8991726043025596E-3</v>
      </c>
      <c r="R114" s="61">
        <f>'Baseline Consumption'!R72+R$98*R102</f>
        <v>4.9204868019509587E-3</v>
      </c>
      <c r="S114" s="61">
        <f>'Baseline Consumption'!S72+S$98*S102</f>
        <v>4.9418009995993648E-3</v>
      </c>
      <c r="T114" s="61">
        <f>'Baseline Consumption'!T72+T$98*T102</f>
        <v>4.9631151972477638E-3</v>
      </c>
      <c r="U114" s="61">
        <f>'Baseline Consumption'!U72+U$98*U102</f>
        <v>4.9844293948961699E-3</v>
      </c>
      <c r="V114" s="61">
        <f>'Baseline Consumption'!V72+V$98*V102</f>
        <v>5.005743592544569E-3</v>
      </c>
      <c r="W114" s="61">
        <f>'Baseline Consumption'!W72+W$98*W102</f>
        <v>5.027057790192975E-3</v>
      </c>
      <c r="X114" s="504">
        <f>'Baseline Consumption'!X72+X$98*X102</f>
        <v>5.027057790192975E-3</v>
      </c>
      <c r="Y114" s="61">
        <f>'Baseline Consumption'!Y72+Y$98*Y102</f>
        <v>5.027057790192975E-3</v>
      </c>
      <c r="Z114" s="61">
        <f>'Baseline Consumption'!Z72+Z$98*Z102</f>
        <v>5.027057790192975E-3</v>
      </c>
      <c r="AA114" s="61">
        <f>'Baseline Consumption'!AA72+AA$98*AA102</f>
        <v>5.027057790192975E-3</v>
      </c>
      <c r="AB114" s="61">
        <f>'Baseline Consumption'!AB72+AB$98*AB102</f>
        <v>5.027057790192975E-3</v>
      </c>
      <c r="AC114" s="61">
        <f>'Baseline Consumption'!AC72+AC$98*AC102</f>
        <v>5.027057790192975E-3</v>
      </c>
      <c r="AD114" s="61">
        <f>'Baseline Consumption'!AD72+AD$98*AD102</f>
        <v>5.027057790192975E-3</v>
      </c>
      <c r="AE114" s="61">
        <f>'Baseline Consumption'!AE72+AE$98*AE102</f>
        <v>5.027057790192975E-3</v>
      </c>
      <c r="AF114" s="61">
        <f>'Baseline Consumption'!AF72+AF$98*AF102</f>
        <v>5.027057790192975E-3</v>
      </c>
      <c r="AG114" s="61">
        <f>'Baseline Consumption'!AG72+AG$98*AG102</f>
        <v>5.027057790192975E-3</v>
      </c>
      <c r="AH114" s="61">
        <f>'Baseline Consumption'!AH72+AH$98*AH102</f>
        <v>5.027057790192975E-3</v>
      </c>
      <c r="AI114" s="61">
        <f>'Baseline Consumption'!AI72+AI$98*AI102</f>
        <v>5.027057790192975E-3</v>
      </c>
      <c r="AJ114" s="61">
        <f>'Baseline Consumption'!AJ72+AJ$98*AJ102</f>
        <v>5.027057790192975E-3</v>
      </c>
      <c r="AK114" s="61">
        <f>'Baseline Consumption'!AK72+AK$98*AK102</f>
        <v>5.027057790192975E-3</v>
      </c>
      <c r="AL114" s="94"/>
    </row>
    <row r="115" spans="1:38" s="57" customFormat="1">
      <c r="A115" s="279" t="s">
        <v>427</v>
      </c>
      <c r="B115"/>
      <c r="C115"/>
      <c r="D115"/>
      <c r="E115"/>
      <c r="F115"/>
      <c r="G115"/>
      <c r="H115"/>
      <c r="I115"/>
      <c r="J115"/>
      <c r="K115" s="61">
        <f>'Baseline Consumption'!K73+K$98*K103</f>
        <v>1.9514548124748826E-4</v>
      </c>
      <c r="L115" s="61">
        <f>'Baseline Consumption'!L73+L$98*L103</f>
        <v>1.8211768711012905E-4</v>
      </c>
      <c r="M115" s="61">
        <f>'Baseline Consumption'!M73+M$98*M103</f>
        <v>0</v>
      </c>
      <c r="N115" s="61">
        <f>'Baseline Consumption'!N73+N$98*N103</f>
        <v>1.2136714791051786E-4</v>
      </c>
      <c r="O115" s="61">
        <f>'Baseline Consumption'!O73+O$98*O103</f>
        <v>1.1309220903786554E-4</v>
      </c>
      <c r="P115" s="61">
        <f>'Baseline Consumption'!P73+P$98*P103</f>
        <v>1.0481727016521322E-4</v>
      </c>
      <c r="Q115" s="61">
        <f>'Baseline Consumption'!Q73+Q$98*Q103</f>
        <v>9.6542331292560901E-5</v>
      </c>
      <c r="R115" s="61">
        <f>'Baseline Consumption'!R73+R$98*R103</f>
        <v>8.8267392419905111E-5</v>
      </c>
      <c r="S115" s="61">
        <f>'Baseline Consumption'!S73+S$98*S103</f>
        <v>7.999245354725279E-5</v>
      </c>
      <c r="T115" s="61">
        <f>'Baseline Consumption'!T73+T$98*T103</f>
        <v>7.1717514674600469E-5</v>
      </c>
      <c r="U115" s="61">
        <f>'Baseline Consumption'!U73+U$98*U103</f>
        <v>6.3442575801948148E-5</v>
      </c>
      <c r="V115" s="61">
        <f>'Baseline Consumption'!V73+V$98*V103</f>
        <v>5.5167636929295827E-5</v>
      </c>
      <c r="W115" s="61">
        <f>'Baseline Consumption'!W73+W$98*W103</f>
        <v>4.6892698056643506E-5</v>
      </c>
      <c r="X115" s="504">
        <f>'Baseline Consumption'!X73+X$98*X103</f>
        <v>4.6892698056643506E-5</v>
      </c>
      <c r="Y115" s="61">
        <f>'Baseline Consumption'!Y73+Y$98*Y103</f>
        <v>4.6892698056643506E-5</v>
      </c>
      <c r="Z115" s="61">
        <f>'Baseline Consumption'!Z73+Z$98*Z103</f>
        <v>4.6892698056643506E-5</v>
      </c>
      <c r="AA115" s="61">
        <f>'Baseline Consumption'!AA73+AA$98*AA103</f>
        <v>4.6892698056643506E-5</v>
      </c>
      <c r="AB115" s="61">
        <f>'Baseline Consumption'!AB73+AB$98*AB103</f>
        <v>4.6892698056643506E-5</v>
      </c>
      <c r="AC115" s="61">
        <f>'Baseline Consumption'!AC73+AC$98*AC103</f>
        <v>4.6892698056643506E-5</v>
      </c>
      <c r="AD115" s="61">
        <f>'Baseline Consumption'!AD73+AD$98*AD103</f>
        <v>4.6892698056643506E-5</v>
      </c>
      <c r="AE115" s="61">
        <f>'Baseline Consumption'!AE73+AE$98*AE103</f>
        <v>4.6892698056643506E-5</v>
      </c>
      <c r="AF115" s="61">
        <f>'Baseline Consumption'!AF73+AF$98*AF103</f>
        <v>4.6892698056643513E-5</v>
      </c>
      <c r="AG115" s="61">
        <f>'Baseline Consumption'!AG73+AG$98*AG103</f>
        <v>4.6892698056643506E-5</v>
      </c>
      <c r="AH115" s="61">
        <f>'Baseline Consumption'!AH73+AH$98*AH103</f>
        <v>4.6892698056643506E-5</v>
      </c>
      <c r="AI115" s="61">
        <f>'Baseline Consumption'!AI73+AI$98*AI103</f>
        <v>4.6892698056643506E-5</v>
      </c>
      <c r="AJ115" s="61">
        <f>'Baseline Consumption'!AJ73+AJ$98*AJ103</f>
        <v>4.6892698056643506E-5</v>
      </c>
      <c r="AK115" s="61">
        <f>'Baseline Consumption'!AK73+AK$98*AK103</f>
        <v>4.6892698056643506E-5</v>
      </c>
      <c r="AL115" s="94"/>
    </row>
    <row r="116" spans="1:38" s="57" customFormat="1">
      <c r="A116" s="279" t="s">
        <v>428</v>
      </c>
      <c r="B116"/>
      <c r="C116"/>
      <c r="D116"/>
      <c r="E116"/>
      <c r="F116"/>
      <c r="G116"/>
      <c r="H116"/>
      <c r="I116"/>
      <c r="J116"/>
      <c r="K116" s="61">
        <f>'Baseline Consumption'!K74+K$98*K104</f>
        <v>2.4183320142269059E-2</v>
      </c>
      <c r="L116" s="61">
        <f>'Baseline Consumption'!L74+L$98*L104</f>
        <v>2.2973118738727968E-2</v>
      </c>
      <c r="M116" s="61">
        <f>'Baseline Consumption'!M74+M$98*M104</f>
        <v>4.1865729735520045E-2</v>
      </c>
      <c r="N116" s="61">
        <f>'Baseline Consumption'!N74+N$98*N104</f>
        <v>7.0000000000000007E-2</v>
      </c>
      <c r="O116" s="61">
        <f>'Baseline Consumption'!O74+O$98*O104</f>
        <v>0.08</v>
      </c>
      <c r="P116" s="61">
        <f>'Baseline Consumption'!P74+P$98*P104</f>
        <v>0.09</v>
      </c>
      <c r="Q116" s="61">
        <f>'Baseline Consumption'!Q74+Q$98*Q104</f>
        <v>0.1</v>
      </c>
      <c r="R116" s="61">
        <f>'Baseline Consumption'!R74+R$98*R104</f>
        <v>0.10106104010254312</v>
      </c>
      <c r="S116" s="61">
        <f>'Baseline Consumption'!S74+S$98*S104</f>
        <v>0.10106955778140889</v>
      </c>
      <c r="T116" s="61">
        <f>'Baseline Consumption'!T74+T$98*T104</f>
        <v>0.10169756813554406</v>
      </c>
      <c r="U116" s="61">
        <f>'Baseline Consumption'!U74+U$98*U104</f>
        <v>0.10171133416279188</v>
      </c>
      <c r="V116" s="61">
        <f>'Baseline Consumption'!V74+V$98*V104</f>
        <v>0.10172364246532128</v>
      </c>
      <c r="W116" s="61">
        <f>'Baseline Consumption'!W74+W$98*W104</f>
        <v>0.10283746749154093</v>
      </c>
      <c r="X116" s="504">
        <f>'Baseline Consumption'!X74+X$98*X104</f>
        <v>0.10285325339842935</v>
      </c>
      <c r="Y116" s="61">
        <f>'Baseline Consumption'!Y74+Y$98*Y104</f>
        <v>0.10286386683360545</v>
      </c>
      <c r="Z116" s="61">
        <f>'Baseline Consumption'!Z74+Z$98*Z104</f>
        <v>0.10285929209014273</v>
      </c>
      <c r="AA116" s="61">
        <f>'Baseline Consumption'!AA74+AA$98*AA104</f>
        <v>0.10283699281416242</v>
      </c>
      <c r="AB116" s="61">
        <f>'Baseline Consumption'!AB74+AB$98*AB104</f>
        <v>0.10281821615323319</v>
      </c>
      <c r="AC116" s="61">
        <f>'Baseline Consumption'!AC74+AC$98*AC104</f>
        <v>0.1027891884433314</v>
      </c>
      <c r="AD116" s="61">
        <f>'Baseline Consumption'!AD74+AD$98*AD104</f>
        <v>0.10275931170092596</v>
      </c>
      <c r="AE116" s="61">
        <f>'Baseline Consumption'!AE74+AE$98*AE104</f>
        <v>0.10272870840530905</v>
      </c>
      <c r="AF116" s="61">
        <f>'Baseline Consumption'!AF74+AF$98*AF104</f>
        <v>0.1026970878880701</v>
      </c>
      <c r="AG116" s="61">
        <f>'Baseline Consumption'!AG74+AG$98*AG104</f>
        <v>0.10266988151853729</v>
      </c>
      <c r="AH116" s="61">
        <f>'Baseline Consumption'!AH74+AH$98*AH104</f>
        <v>0.10264179655202588</v>
      </c>
      <c r="AI116" s="61">
        <f>'Baseline Consumption'!AI74+AI$98*AI104</f>
        <v>0.10261429629651683</v>
      </c>
      <c r="AJ116" s="61">
        <f>'Baseline Consumption'!AJ74+AJ$98*AJ104</f>
        <v>0.1025873626801698</v>
      </c>
      <c r="AK116" s="61">
        <f>'Baseline Consumption'!AK74+AK$98*AK104</f>
        <v>0.10256097836828582</v>
      </c>
      <c r="AL116" s="94"/>
    </row>
    <row r="117" spans="1:38" s="57" customFormat="1">
      <c r="A117" s="279" t="s">
        <v>255</v>
      </c>
      <c r="B117"/>
      <c r="C117"/>
      <c r="D117"/>
      <c r="E117"/>
      <c r="F117"/>
      <c r="G117"/>
      <c r="H117"/>
      <c r="I117"/>
      <c r="J117"/>
      <c r="K117" s="61">
        <f>'Baseline Consumption'!K75+K$98*K105</f>
        <v>7.210500781061232E-5</v>
      </c>
      <c r="L117" s="61">
        <f>'Baseline Consumption'!L75+L$98*L105</f>
        <v>9.9714670213174158E-5</v>
      </c>
      <c r="M117" s="61">
        <f>'Baseline Consumption'!M75+M$98*M105</f>
        <v>3.9918766510800903E-5</v>
      </c>
      <c r="N117" s="61">
        <f>'Baseline Consumption'!N75+N$98*N105</f>
        <v>7.4284700847183222E-5</v>
      </c>
      <c r="O117" s="61">
        <f>'Baseline Consumption'!O75+O$98*O105</f>
        <v>8.3313498033244643E-5</v>
      </c>
      <c r="P117" s="61">
        <f>'Baseline Consumption'!P75+P$98*P105</f>
        <v>9.2342295219306064E-5</v>
      </c>
      <c r="Q117" s="61">
        <f>'Baseline Consumption'!Q75+Q$98*Q105</f>
        <v>1.0137109240537096E-4</v>
      </c>
      <c r="R117" s="61">
        <f>'Baseline Consumption'!R75+R$98*R105</f>
        <v>1.1714399921345417E-3</v>
      </c>
      <c r="S117" s="61">
        <f>'Baseline Consumption'!S75+S$98*S105</f>
        <v>1.1889864681863724E-3</v>
      </c>
      <c r="T117" s="61">
        <f>'Baseline Consumption'!T75+T$98*T105</f>
        <v>1.8260256195076149E-3</v>
      </c>
      <c r="U117" s="61">
        <f>'Baseline Consumption'!U75+U$98*U105</f>
        <v>1.8488204439415057E-3</v>
      </c>
      <c r="V117" s="61">
        <f>'Baseline Consumption'!V75+V$98*V105</f>
        <v>1.870157543656952E-3</v>
      </c>
      <c r="W117" s="61">
        <f>'Baseline Consumption'!W75+W$98*W105</f>
        <v>2.9930113670626666E-3</v>
      </c>
      <c r="X117" s="504">
        <f>'Baseline Consumption'!X75+X$98*X105</f>
        <v>3.0087972739510946E-3</v>
      </c>
      <c r="Y117" s="61">
        <f>'Baseline Consumption'!Y75+Y$98*Y105</f>
        <v>3.0194107091271881E-3</v>
      </c>
      <c r="Z117" s="61">
        <f>'Baseline Consumption'!Z75+Z$98*Z105</f>
        <v>3.0148359656644577E-3</v>
      </c>
      <c r="AA117" s="61">
        <f>'Baseline Consumption'!AA75+AA$98*AA105</f>
        <v>2.9925366896841588E-3</v>
      </c>
      <c r="AB117" s="61">
        <f>'Baseline Consumption'!AB75+AB$98*AB105</f>
        <v>2.9737600287549422E-3</v>
      </c>
      <c r="AC117" s="61">
        <f>'Baseline Consumption'!AC75+AC$98*AC105</f>
        <v>2.9447323188531386E-3</v>
      </c>
      <c r="AD117" s="61">
        <f>'Baseline Consumption'!AD75+AD$98*AD105</f>
        <v>2.9148555764477147E-3</v>
      </c>
      <c r="AE117" s="61">
        <f>'Baseline Consumption'!AE75+AE$98*AE105</f>
        <v>2.8842522808307982E-3</v>
      </c>
      <c r="AF117" s="61">
        <f>'Baseline Consumption'!AF75+AF$98*AF105</f>
        <v>2.8526317635918421E-3</v>
      </c>
      <c r="AG117" s="61">
        <f>'Baseline Consumption'!AG75+AG$98*AG105</f>
        <v>2.8254253940590318E-3</v>
      </c>
      <c r="AH117" s="61">
        <f>'Baseline Consumption'!AH75+AH$98*AH105</f>
        <v>2.7973404275476147E-3</v>
      </c>
      <c r="AI117" s="61">
        <f>'Baseline Consumption'!AI75+AI$98*AI105</f>
        <v>2.7698401720385856E-3</v>
      </c>
      <c r="AJ117" s="61">
        <f>'Baseline Consumption'!AJ75+AJ$98*AJ105</f>
        <v>2.7429065556915477E-3</v>
      </c>
      <c r="AK117" s="61">
        <f>'Baseline Consumption'!AK75+AK$98*AK105</f>
        <v>2.7165222438075517E-3</v>
      </c>
      <c r="AL117" s="94"/>
    </row>
    <row r="118" spans="1:38" s="57" customFormat="1">
      <c r="A118" s="279" t="s">
        <v>374</v>
      </c>
      <c r="B118"/>
      <c r="C118"/>
      <c r="D118"/>
      <c r="E118"/>
      <c r="F118"/>
      <c r="G118"/>
      <c r="H118"/>
      <c r="I118"/>
      <c r="J118"/>
      <c r="K118" s="61">
        <f>'Baseline Consumption'!K76</f>
        <v>1.1378056921532269E-3</v>
      </c>
      <c r="L118" s="61">
        <f>'Baseline Consumption'!L76</f>
        <v>1.5073479589894747E-3</v>
      </c>
      <c r="M118" s="61">
        <f>'Baseline Consumption'!M76</f>
        <v>1.6943692538730867E-3</v>
      </c>
      <c r="N118" s="61">
        <f>'Baseline Consumption'!N76</f>
        <v>1.6181499147558953E-3</v>
      </c>
      <c r="O118" s="61">
        <f>'Baseline Consumption'!O76</f>
        <v>1.7728238744741387E-3</v>
      </c>
      <c r="P118" s="61">
        <f>'Baseline Consumption'!P76</f>
        <v>1.9274978341923821E-3</v>
      </c>
      <c r="Q118" s="61">
        <f>'Baseline Consumption'!Q76</f>
        <v>2.0821717939106255E-3</v>
      </c>
      <c r="R118" s="61">
        <f>'Baseline Consumption'!R76</f>
        <v>2.2368457536288688E-3</v>
      </c>
      <c r="S118" s="61">
        <f>'Baseline Consumption'!S76</f>
        <v>2.3915197133471122E-3</v>
      </c>
      <c r="T118" s="61">
        <f>'Baseline Consumption'!T76</f>
        <v>2.5461936730653556E-3</v>
      </c>
      <c r="U118" s="61">
        <f>'Baseline Consumption'!U76</f>
        <v>2.700867632783599E-3</v>
      </c>
      <c r="V118" s="61">
        <f>'Baseline Consumption'!V76</f>
        <v>2.8555415925018424E-3</v>
      </c>
      <c r="W118" s="61">
        <f>'Baseline Consumption'!W76</f>
        <v>3.0102155522200857E-3</v>
      </c>
      <c r="X118" s="504">
        <f>'Baseline Consumption'!X76</f>
        <v>3.0102155522200857E-3</v>
      </c>
      <c r="Y118" s="61">
        <f>'Baseline Consumption'!Y76</f>
        <v>3.0102155522200857E-3</v>
      </c>
      <c r="Z118" s="61">
        <f>'Baseline Consumption'!Z76</f>
        <v>3.0102155522200857E-3</v>
      </c>
      <c r="AA118" s="61">
        <f>'Baseline Consumption'!AA76</f>
        <v>3.0102155522200857E-3</v>
      </c>
      <c r="AB118" s="61">
        <f>'Baseline Consumption'!AB76</f>
        <v>3.0102155522200857E-3</v>
      </c>
      <c r="AC118" s="61">
        <f>'Baseline Consumption'!AC76</f>
        <v>3.0102155522200857E-3</v>
      </c>
      <c r="AD118" s="61">
        <f>'Baseline Consumption'!AD76</f>
        <v>3.0102155522200857E-3</v>
      </c>
      <c r="AE118" s="61">
        <f>'Baseline Consumption'!AE76</f>
        <v>3.0102155522200857E-3</v>
      </c>
      <c r="AF118" s="61">
        <f>'Baseline Consumption'!AF76</f>
        <v>3.0102155522200857E-3</v>
      </c>
      <c r="AG118" s="61">
        <f>'Baseline Consumption'!AG76</f>
        <v>3.0102155522200857E-3</v>
      </c>
      <c r="AH118" s="61">
        <f>'Baseline Consumption'!AH76</f>
        <v>3.0102155522200857E-3</v>
      </c>
      <c r="AI118" s="61">
        <f>'Baseline Consumption'!AI76</f>
        <v>3.0102155522200857E-3</v>
      </c>
      <c r="AJ118" s="61">
        <f>'Baseline Consumption'!AJ76</f>
        <v>3.0102155522200853E-3</v>
      </c>
      <c r="AK118" s="61">
        <f>'Baseline Consumption'!AK76</f>
        <v>3.0102155522200853E-3</v>
      </c>
      <c r="AL118" s="94"/>
    </row>
    <row r="119" spans="1:38" s="57" customFormat="1">
      <c r="A119" s="279" t="s">
        <v>373</v>
      </c>
      <c r="B119"/>
      <c r="C119"/>
      <c r="D119"/>
      <c r="E119"/>
      <c r="F119"/>
      <c r="G119"/>
      <c r="H119"/>
      <c r="I119"/>
      <c r="J119"/>
      <c r="K119" s="61">
        <f>'Baseline Consumption'!K77</f>
        <v>2.2222026885845405E-3</v>
      </c>
      <c r="L119" s="61">
        <f>'Baseline Consumption'!L77</f>
        <v>1.2535607064825711E-3</v>
      </c>
      <c r="M119" s="61">
        <f>'Baseline Consumption'!M77</f>
        <v>1.2658171108505154E-3</v>
      </c>
      <c r="N119" s="61">
        <f>'Baseline Consumption'!N77</f>
        <v>2.7842448602387157E-3</v>
      </c>
      <c r="O119" s="61">
        <f>'Baseline Consumption'!O77</f>
        <v>2.7842448602387157E-3</v>
      </c>
      <c r="P119" s="61">
        <f>'Baseline Consumption'!P77</f>
        <v>2.7842448602387157E-3</v>
      </c>
      <c r="Q119" s="61">
        <f>'Baseline Consumption'!Q77</f>
        <v>2.7842448602387157E-3</v>
      </c>
      <c r="R119" s="61">
        <f>'Baseline Consumption'!R77</f>
        <v>2.7842448602387157E-3</v>
      </c>
      <c r="S119" s="61">
        <f>'Baseline Consumption'!S77</f>
        <v>2.7842448602387157E-3</v>
      </c>
      <c r="T119" s="61">
        <f>'Baseline Consumption'!T77</f>
        <v>2.7842448602387157E-3</v>
      </c>
      <c r="U119" s="61">
        <f>'Baseline Consumption'!U77</f>
        <v>2.7842448602387157E-3</v>
      </c>
      <c r="V119" s="61">
        <f>'Baseline Consumption'!V77</f>
        <v>2.7842448602387157E-3</v>
      </c>
      <c r="W119" s="61">
        <f>'Baseline Consumption'!W77</f>
        <v>2.7842448602387157E-3</v>
      </c>
      <c r="X119" s="504">
        <f>'Baseline Consumption'!X77</f>
        <v>2.7842448602387157E-3</v>
      </c>
      <c r="Y119" s="61">
        <f>'Baseline Consumption'!Y77</f>
        <v>2.7842448602387157E-3</v>
      </c>
      <c r="Z119" s="61">
        <f>'Baseline Consumption'!Z77</f>
        <v>2.7842448602387157E-3</v>
      </c>
      <c r="AA119" s="61">
        <f>'Baseline Consumption'!AA77</f>
        <v>2.7842448602387157E-3</v>
      </c>
      <c r="AB119" s="61">
        <f>'Baseline Consumption'!AB77</f>
        <v>2.7842448602387157E-3</v>
      </c>
      <c r="AC119" s="61">
        <f>'Baseline Consumption'!AC77</f>
        <v>2.7842448602387157E-3</v>
      </c>
      <c r="AD119" s="61">
        <f>'Baseline Consumption'!AD77</f>
        <v>2.7842448602387157E-3</v>
      </c>
      <c r="AE119" s="61">
        <f>'Baseline Consumption'!AE77</f>
        <v>2.7842448602387157E-3</v>
      </c>
      <c r="AF119" s="61">
        <f>'Baseline Consumption'!AF77</f>
        <v>2.7842448602387157E-3</v>
      </c>
      <c r="AG119" s="61">
        <f>'Baseline Consumption'!AG77</f>
        <v>2.7842448602387157E-3</v>
      </c>
      <c r="AH119" s="61">
        <f>'Baseline Consumption'!AH77</f>
        <v>2.7842448602387157E-3</v>
      </c>
      <c r="AI119" s="61">
        <f>'Baseline Consumption'!AI77</f>
        <v>2.7842448602387157E-3</v>
      </c>
      <c r="AJ119" s="61">
        <f>'Baseline Consumption'!AJ77</f>
        <v>2.7842448602387157E-3</v>
      </c>
      <c r="AK119" s="61">
        <f>'Baseline Consumption'!AK77</f>
        <v>2.7842448602387157E-3</v>
      </c>
      <c r="AL119" s="94"/>
    </row>
    <row r="120" spans="1:38" s="57" customFormat="1">
      <c r="A120" s="279" t="s">
        <v>375</v>
      </c>
      <c r="B120"/>
      <c r="C120"/>
      <c r="D120"/>
      <c r="E120"/>
      <c r="F120"/>
      <c r="G120"/>
      <c r="H120"/>
      <c r="I120"/>
      <c r="J120"/>
      <c r="K120" s="61">
        <f>'Baseline Consumption'!K78</f>
        <v>6.5332497557503129E-4</v>
      </c>
      <c r="L120" s="61">
        <f>'Baseline Consumption'!L78</f>
        <v>5.6699344327640919E-4</v>
      </c>
      <c r="M120" s="61">
        <f>'Baseline Consumption'!M78</f>
        <v>5.4995504879317369E-4</v>
      </c>
      <c r="N120" s="61">
        <f>'Baseline Consumption'!N78</f>
        <v>6.6354559303624661E-4</v>
      </c>
      <c r="O120" s="61">
        <f>'Baseline Consumption'!O78</f>
        <v>7.1305568741927838E-4</v>
      </c>
      <c r="P120" s="61">
        <f>'Baseline Consumption'!P78</f>
        <v>7.6256578180232404E-4</v>
      </c>
      <c r="Q120" s="61">
        <f>'Baseline Consumption'!Q78</f>
        <v>8.1207587618535582E-4</v>
      </c>
      <c r="R120" s="61">
        <f>'Baseline Consumption'!R78</f>
        <v>8.6158597056840147E-4</v>
      </c>
      <c r="S120" s="61">
        <f>'Baseline Consumption'!S78</f>
        <v>9.1109606495143325E-4</v>
      </c>
      <c r="T120" s="61">
        <f>'Baseline Consumption'!T78</f>
        <v>9.606061593344789E-4</v>
      </c>
      <c r="U120" s="61">
        <f>'Baseline Consumption'!U78</f>
        <v>1.0101162537175107E-3</v>
      </c>
      <c r="V120" s="61">
        <f>'Baseline Consumption'!V78</f>
        <v>1.0596263481005563E-3</v>
      </c>
      <c r="W120" s="61">
        <f>'Baseline Consumption'!W78</f>
        <v>1.1091364424835881E-3</v>
      </c>
      <c r="X120" s="504">
        <f>'Baseline Consumption'!X78</f>
        <v>1.1091364424835881E-3</v>
      </c>
      <c r="Y120" s="61">
        <f>'Baseline Consumption'!Y78</f>
        <v>1.1091364424835881E-3</v>
      </c>
      <c r="Z120" s="61">
        <f>'Baseline Consumption'!Z78</f>
        <v>1.1091364424835881E-3</v>
      </c>
      <c r="AA120" s="61">
        <f>'Baseline Consumption'!AA78</f>
        <v>1.1091364424835881E-3</v>
      </c>
      <c r="AB120" s="61">
        <f>'Baseline Consumption'!AB78</f>
        <v>1.1091364424835881E-3</v>
      </c>
      <c r="AC120" s="61">
        <f>'Baseline Consumption'!AC78</f>
        <v>1.1091364424835881E-3</v>
      </c>
      <c r="AD120" s="61">
        <f>'Baseline Consumption'!AD78</f>
        <v>1.1091364424835881E-3</v>
      </c>
      <c r="AE120" s="61">
        <f>'Baseline Consumption'!AE78</f>
        <v>1.1091364424835881E-3</v>
      </c>
      <c r="AF120" s="61">
        <f>'Baseline Consumption'!AF78</f>
        <v>1.1091364424835881E-3</v>
      </c>
      <c r="AG120" s="61">
        <f>'Baseline Consumption'!AG78</f>
        <v>1.1091364424835881E-3</v>
      </c>
      <c r="AH120" s="61">
        <f>'Baseline Consumption'!AH78</f>
        <v>1.1091364424835881E-3</v>
      </c>
      <c r="AI120" s="61">
        <f>'Baseline Consumption'!AI78</f>
        <v>1.1091364424835881E-3</v>
      </c>
      <c r="AJ120" s="61">
        <f>'Baseline Consumption'!AJ78</f>
        <v>1.1091364424835881E-3</v>
      </c>
      <c r="AK120" s="61">
        <f>'Baseline Consumption'!AK78</f>
        <v>1.1091364424835881E-3</v>
      </c>
      <c r="AL120" s="94"/>
    </row>
    <row r="121" spans="1:38" s="57" customFormat="1">
      <c r="A121" s="279" t="s">
        <v>385</v>
      </c>
      <c r="B121"/>
      <c r="C121"/>
      <c r="D121"/>
      <c r="E121"/>
      <c r="F121"/>
      <c r="G121"/>
      <c r="H121"/>
      <c r="I121"/>
      <c r="J121"/>
      <c r="K121" s="116">
        <f t="shared" ref="K121:AK121" si="14">1-SUM(K108:K120)</f>
        <v>0</v>
      </c>
      <c r="L121" s="116">
        <f t="shared" si="14"/>
        <v>0</v>
      </c>
      <c r="M121" s="116">
        <f t="shared" si="14"/>
        <v>0</v>
      </c>
      <c r="N121" s="116">
        <f t="shared" si="14"/>
        <v>0</v>
      </c>
      <c r="O121" s="116">
        <f t="shared" si="14"/>
        <v>0</v>
      </c>
      <c r="P121" s="116">
        <f t="shared" si="14"/>
        <v>0</v>
      </c>
      <c r="Q121" s="116">
        <f t="shared" si="14"/>
        <v>0</v>
      </c>
      <c r="R121" s="116">
        <f t="shared" si="14"/>
        <v>0</v>
      </c>
      <c r="S121" s="116">
        <f t="shared" si="14"/>
        <v>0</v>
      </c>
      <c r="T121" s="116">
        <f t="shared" si="14"/>
        <v>0</v>
      </c>
      <c r="U121" s="116">
        <f t="shared" si="14"/>
        <v>0</v>
      </c>
      <c r="V121" s="116">
        <f t="shared" si="14"/>
        <v>0</v>
      </c>
      <c r="W121" s="116">
        <f t="shared" si="14"/>
        <v>0</v>
      </c>
      <c r="X121" s="505">
        <f t="shared" si="14"/>
        <v>0</v>
      </c>
      <c r="Y121" s="116">
        <f t="shared" si="14"/>
        <v>0</v>
      </c>
      <c r="Z121" s="116">
        <f t="shared" si="14"/>
        <v>0</v>
      </c>
      <c r="AA121" s="116">
        <f t="shared" si="14"/>
        <v>0</v>
      </c>
      <c r="AB121" s="116">
        <f t="shared" si="14"/>
        <v>0</v>
      </c>
      <c r="AC121" s="116">
        <f t="shared" si="14"/>
        <v>0</v>
      </c>
      <c r="AD121" s="116">
        <f t="shared" si="14"/>
        <v>0</v>
      </c>
      <c r="AE121" s="116">
        <f t="shared" si="14"/>
        <v>0</v>
      </c>
      <c r="AF121" s="116">
        <f t="shared" si="14"/>
        <v>0</v>
      </c>
      <c r="AG121" s="116">
        <f t="shared" si="14"/>
        <v>0</v>
      </c>
      <c r="AH121" s="116">
        <f t="shared" si="14"/>
        <v>0</v>
      </c>
      <c r="AI121" s="116">
        <f t="shared" si="14"/>
        <v>0</v>
      </c>
      <c r="AJ121" s="116">
        <f t="shared" si="14"/>
        <v>0</v>
      </c>
      <c r="AK121" s="116">
        <f t="shared" si="14"/>
        <v>0</v>
      </c>
    </row>
    <row r="122" spans="1:38" s="57" customFormat="1" ht="25.5">
      <c r="A122" s="524" t="s">
        <v>970</v>
      </c>
      <c r="B122"/>
      <c r="C122"/>
      <c r="D122"/>
      <c r="E122"/>
      <c r="F122"/>
      <c r="G122"/>
      <c r="H122"/>
      <c r="I122"/>
      <c r="J122"/>
      <c r="X122" s="502"/>
    </row>
    <row r="123" spans="1:38" s="57" customFormat="1">
      <c r="A123" s="279" t="s">
        <v>372</v>
      </c>
      <c r="B123"/>
      <c r="C123"/>
      <c r="D123"/>
      <c r="E123"/>
      <c r="F123"/>
      <c r="G123"/>
      <c r="H123"/>
      <c r="I123"/>
      <c r="J123"/>
      <c r="K123" s="115">
        <f>'Baseline Consumption'!K$63*K108*'Baseline Consumption'!K81*BtuTOkWh</f>
        <v>0.1513329970238238</v>
      </c>
      <c r="L123" s="115">
        <f>'Baseline Consumption'!L$63*L108*'Baseline Consumption'!L81*BtuTOkWh</f>
        <v>0.159607047247045</v>
      </c>
      <c r="M123" s="115">
        <f>'Baseline Consumption'!M$63*M108*'Baseline Consumption'!M81*BtuTOkWh</f>
        <v>0.14132656560259083</v>
      </c>
      <c r="N123" s="115">
        <f>'Baseline Consumption'!N$63*N108*'Baseline Consumption'!N81*BtuTOkWh</f>
        <v>0.12125803677553121</v>
      </c>
      <c r="O123" s="115">
        <f>'Baseline Consumption'!O$63*O108*'Baseline Consumption'!O81*BtuTOkWh</f>
        <v>0.11653589835328161</v>
      </c>
      <c r="P123" s="115">
        <f>'Baseline Consumption'!P$63*P108*'Baseline Consumption'!P81*BtuTOkWh</f>
        <v>0.11112030405217826</v>
      </c>
      <c r="Q123" s="115">
        <f>'Baseline Consumption'!Q$63*Q108*'Baseline Consumption'!Q81*BtuTOkWh</f>
        <v>0.10549251275883796</v>
      </c>
      <c r="R123" s="115">
        <f>'Baseline Consumption'!R$63*R108*'Baseline Consumption'!R81*BtuTOkWh</f>
        <v>8.3555900586038651E-2</v>
      </c>
      <c r="S123" s="115">
        <f>'Baseline Consumption'!S$63*S108*'Baseline Consumption'!S81*BtuTOkWh</f>
        <v>8.1040811737457974E-2</v>
      </c>
      <c r="T123" s="115">
        <f>'Baseline Consumption'!T$63*T108*'Baseline Consumption'!T81*BtuTOkWh</f>
        <v>6.7460361958994949E-2</v>
      </c>
      <c r="U123" s="115">
        <f>'Baseline Consumption'!U$63*U108*'Baseline Consumption'!U81*BtuTOkWh</f>
        <v>6.5012075515460038E-2</v>
      </c>
      <c r="V123" s="115">
        <f>'Baseline Consumption'!V$63*V108*'Baseline Consumption'!V81*BtuTOkWh</f>
        <v>6.2656843040618068E-2</v>
      </c>
      <c r="W123" s="115">
        <f>'Baseline Consumption'!W$63*W108*'Baseline Consumption'!W81*BtuTOkWh</f>
        <v>4.1029887548119114E-2</v>
      </c>
      <c r="X123" s="506">
        <f>'Baseline Consumption'!X$63*X108*'Baseline Consumption'!X81*BtuTOkWh</f>
        <v>4.0538436968520615E-2</v>
      </c>
      <c r="Y123" s="115">
        <f>'Baseline Consumption'!Y$63*Y108*'Baseline Consumption'!Y81*BtuTOkWh</f>
        <v>4.0207776044670622E-2</v>
      </c>
      <c r="Z123" s="115">
        <f>'Baseline Consumption'!Z$63*Z108*'Baseline Consumption'!Z81*BtuTOkWh</f>
        <v>4.0353871704391545E-2</v>
      </c>
      <c r="AA123" s="115">
        <f>'Baseline Consumption'!AA$63*AA108*'Baseline Consumption'!AA81*BtuTOkWh</f>
        <v>4.106623606082644E-2</v>
      </c>
      <c r="AB123" s="115">
        <f>'Baseline Consumption'!AB$63*AB108*'Baseline Consumption'!AB81*BtuTOkWh</f>
        <v>4.167854237644094E-2</v>
      </c>
      <c r="AC123" s="115">
        <f>'Baseline Consumption'!AC$63*AC108*'Baseline Consumption'!AC81*BtuTOkWh</f>
        <v>4.2636107300693005E-2</v>
      </c>
      <c r="AD123" s="115">
        <f>'Baseline Consumption'!AD$63*AD108*'Baseline Consumption'!AD81*BtuTOkWh</f>
        <v>4.3640752831809244E-2</v>
      </c>
      <c r="AE123" s="115">
        <f>'Baseline Consumption'!AE$63*AE108*'Baseline Consumption'!AE81*BtuTOkWh</f>
        <v>4.4694304808104914E-2</v>
      </c>
      <c r="AF123" s="115">
        <f>'Baseline Consumption'!AF$63*AF108*'Baseline Consumption'!AF81*BtuTOkWh</f>
        <v>4.5808486614209908E-2</v>
      </c>
      <c r="AG123" s="115">
        <f>'Baseline Consumption'!AG$63*AG108*'Baseline Consumption'!AG81*BtuTOkWh</f>
        <v>4.6788663837393017E-2</v>
      </c>
      <c r="AH123" s="115">
        <f>'Baseline Consumption'!AH$63*AH108*'Baseline Consumption'!AH81*BtuTOkWh</f>
        <v>4.7820932475770149E-2</v>
      </c>
      <c r="AI123" s="115">
        <f>'Baseline Consumption'!AI$63*AI108*'Baseline Consumption'!AI81*BtuTOkWh</f>
        <v>4.8853915116891106E-2</v>
      </c>
      <c r="AJ123" s="115">
        <f>'Baseline Consumption'!AJ$63*AJ108*'Baseline Consumption'!AJ81*BtuTOkWh</f>
        <v>4.9887522428895749E-2</v>
      </c>
      <c r="AK123" s="115">
        <f>'Baseline Consumption'!AK$63*AK108*'Baseline Consumption'!AK81*BtuTOkWh</f>
        <v>5.0920949787959732E-2</v>
      </c>
    </row>
    <row r="124" spans="1:38" s="57" customFormat="1">
      <c r="A124" s="279" t="s">
        <v>422</v>
      </c>
      <c r="B124"/>
      <c r="C124"/>
      <c r="D124"/>
      <c r="E124"/>
      <c r="F124"/>
      <c r="G124"/>
      <c r="H124"/>
      <c r="I124"/>
      <c r="J124"/>
      <c r="K124" s="115">
        <f>'Baseline Consumption'!K$63*K109*'Baseline Consumption'!K82*BtuTOkWh</f>
        <v>7.766859456875147E-2</v>
      </c>
      <c r="L124" s="115">
        <f>'Baseline Consumption'!L$63*L109*'Baseline Consumption'!L82*BtuTOkWh</f>
        <v>9.1344304441403679E-2</v>
      </c>
      <c r="M124" s="115">
        <f>'Baseline Consumption'!M$63*M109*'Baseline Consumption'!M82*BtuTOkWh</f>
        <v>7.5264671075957121E-2</v>
      </c>
      <c r="N124" s="115">
        <f>'Baseline Consumption'!N$63*N109*'Baseline Consumption'!N82*BtuTOkWh</f>
        <v>7.1671376365202946E-2</v>
      </c>
      <c r="O124" s="115">
        <f>'Baseline Consumption'!O$63*O109*'Baseline Consumption'!O82*BtuTOkWh</f>
        <v>7.2041207519307107E-2</v>
      </c>
      <c r="P124" s="115">
        <f>'Baseline Consumption'!P$63*P109*'Baseline Consumption'!P82*BtuTOkWh</f>
        <v>7.183478947968526E-2</v>
      </c>
      <c r="Q124" s="115">
        <f>'Baseline Consumption'!Q$63*Q109*'Baseline Consumption'!Q82*BtuTOkWh</f>
        <v>7.1480336743204545E-2</v>
      </c>
      <c r="R124" s="115">
        <f>'Baseline Consumption'!R$63*R109*'Baseline Consumption'!R82*BtuTOkWh</f>
        <v>8.2061783002801952E-2</v>
      </c>
      <c r="S124" s="115">
        <f>'Baseline Consumption'!S$63*S109*'Baseline Consumption'!S82*BtuTOkWh</f>
        <v>8.3917092580779701E-2</v>
      </c>
      <c r="T124" s="115">
        <f>'Baseline Consumption'!T$63*T109*'Baseline Consumption'!T82*BtuTOkWh</f>
        <v>9.0670496758650548E-2</v>
      </c>
      <c r="U124" s="115">
        <f>'Baseline Consumption'!U$63*U109*'Baseline Consumption'!U82*BtuTOkWh</f>
        <v>9.2421177130405138E-2</v>
      </c>
      <c r="V124" s="115">
        <f>'Baseline Consumption'!V$63*V109*'Baseline Consumption'!V82*BtuTOkWh</f>
        <v>9.4201911914277695E-2</v>
      </c>
      <c r="W124" s="115">
        <f>'Baseline Consumption'!W$63*W109*'Baseline Consumption'!W82*BtuTOkWh</f>
        <v>0.10453605306970888</v>
      </c>
      <c r="X124" s="506">
        <f>'Baseline Consumption'!X$63*X109*'Baseline Consumption'!X82*BtuTOkWh</f>
        <v>0.10387143524174083</v>
      </c>
      <c r="Y124" s="115">
        <f>'Baseline Consumption'!Y$63*Y109*'Baseline Consumption'!Y82*BtuTOkWh</f>
        <v>0.10336084275813733</v>
      </c>
      <c r="Z124" s="115">
        <f>'Baseline Consumption'!Z$63*Z109*'Baseline Consumption'!Z82*BtuTOkWh</f>
        <v>0.10328412310993604</v>
      </c>
      <c r="AA124" s="115">
        <f>'Baseline Consumption'!AA$63*AA109*'Baseline Consumption'!AA82*BtuTOkWh</f>
        <v>0.10371596430500771</v>
      </c>
      <c r="AB124" s="115">
        <f>'Baseline Consumption'!AB$63*AB109*'Baseline Consumption'!AB82*BtuTOkWh</f>
        <v>0.10405283655290387</v>
      </c>
      <c r="AC124" s="115">
        <f>'Baseline Consumption'!AC$63*AC109*'Baseline Consumption'!AC82*BtuTOkWh</f>
        <v>0.10469890615652083</v>
      </c>
      <c r="AD124" s="115">
        <f>'Baseline Consumption'!AD$63*AD109*'Baseline Consumption'!AD82*BtuTOkWh</f>
        <v>0.10538563943266151</v>
      </c>
      <c r="AE124" s="115">
        <f>'Baseline Consumption'!AE$63*AE109*'Baseline Consumption'!AE82*BtuTOkWh</f>
        <v>0.10611126031310301</v>
      </c>
      <c r="AF124" s="115">
        <f>'Baseline Consumption'!AF$63*AF109*'Baseline Consumption'!AF82*BtuTOkWh</f>
        <v>0.10688689630364318</v>
      </c>
      <c r="AG124" s="115">
        <f>'Baseline Consumption'!AG$63*AG109*'Baseline Consumption'!AG82*BtuTOkWh</f>
        <v>0.10754006851620018</v>
      </c>
      <c r="AH124" s="115">
        <f>'Baseline Consumption'!AH$63*AH109*'Baseline Consumption'!AH82*BtuTOkWh</f>
        <v>0.10823683467555788</v>
      </c>
      <c r="AI124" s="115">
        <f>'Baseline Consumption'!AI$63*AI109*'Baseline Consumption'!AI82*BtuTOkWh</f>
        <v>0.10893038361000416</v>
      </c>
      <c r="AJ124" s="115">
        <f>'Baseline Consumption'!AJ$63*AJ109*'Baseline Consumption'!AJ82*BtuTOkWh</f>
        <v>0.10962072540137399</v>
      </c>
      <c r="AK124" s="115">
        <f>'Baseline Consumption'!AK$63*AK109*'Baseline Consumption'!AK82*BtuTOkWh</f>
        <v>0.11030787010404391</v>
      </c>
    </row>
    <row r="125" spans="1:38" s="57" customFormat="1">
      <c r="A125" s="279" t="s">
        <v>423</v>
      </c>
      <c r="B125"/>
      <c r="C125"/>
      <c r="D125"/>
      <c r="E125"/>
      <c r="F125"/>
      <c r="G125"/>
      <c r="H125"/>
      <c r="I125"/>
      <c r="J125"/>
      <c r="K125" s="115">
        <f>'Baseline Consumption'!K$63*K110*'Baseline Consumption'!K82*BtuTOkWh</f>
        <v>7.7588871681748299E-3</v>
      </c>
      <c r="L125" s="115">
        <f>'Baseline Consumption'!L$63*L110*'Baseline Consumption'!L82*BtuTOkWh</f>
        <v>7.3848941545642055E-3</v>
      </c>
      <c r="M125" s="115">
        <f>'Baseline Consumption'!M$63*M110*'Baseline Consumption'!M82*BtuTOkWh</f>
        <v>7.2629292180900343E-3</v>
      </c>
      <c r="N125" s="115">
        <f>'Baseline Consumption'!N$63*N110*'Baseline Consumption'!N82*BtuTOkWh</f>
        <v>8.3785360325783487E-3</v>
      </c>
      <c r="O125" s="115">
        <f>'Baseline Consumption'!O$63*O110*'Baseline Consumption'!O82*BtuTOkWh</f>
        <v>8.3777649127048364E-3</v>
      </c>
      <c r="P125" s="115">
        <f>'Baseline Consumption'!P$63*P110*'Baseline Consumption'!P82*BtuTOkWh</f>
        <v>8.310337380515528E-3</v>
      </c>
      <c r="Q125" s="115">
        <f>'Baseline Consumption'!Q$63*Q110*'Baseline Consumption'!Q82*BtuTOkWh</f>
        <v>8.2265700988566424E-3</v>
      </c>
      <c r="R125" s="115">
        <f>'Baseline Consumption'!R$63*R110*'Baseline Consumption'!R82*BtuTOkWh</f>
        <v>8.1469423792583512E-3</v>
      </c>
      <c r="S125" s="115">
        <f>'Baseline Consumption'!S$63*S110*'Baseline Consumption'!S82*BtuTOkWh</f>
        <v>8.0658981331351819E-3</v>
      </c>
      <c r="T125" s="115">
        <f>'Baseline Consumption'!T$63*T110*'Baseline Consumption'!T82*BtuTOkWh</f>
        <v>7.9853139818203325E-3</v>
      </c>
      <c r="U125" s="115">
        <f>'Baseline Consumption'!U$63*U110*'Baseline Consumption'!U82*BtuTOkWh</f>
        <v>7.9052376986657024E-3</v>
      </c>
      <c r="V125" s="115">
        <f>'Baseline Consumption'!V$63*V110*'Baseline Consumption'!V82*BtuTOkWh</f>
        <v>7.8330898685087472E-3</v>
      </c>
      <c r="W125" s="115">
        <f>'Baseline Consumption'!W$63*W110*'Baseline Consumption'!W82*BtuTOkWh</f>
        <v>7.7648744294836489E-3</v>
      </c>
      <c r="X125" s="506">
        <f>'Baseline Consumption'!X$63*X110*'Baseline Consumption'!X82*BtuTOkWh</f>
        <v>7.7064706640224351E-3</v>
      </c>
      <c r="Y125" s="115">
        <f>'Baseline Consumption'!Y$63*Y110*'Baseline Consumption'!Y82*BtuTOkWh</f>
        <v>7.6625548113098399E-3</v>
      </c>
      <c r="Z125" s="115">
        <f>'Baseline Consumption'!Z$63*Z110*'Baseline Consumption'!Z82*BtuTOkWh</f>
        <v>7.6594649378865561E-3</v>
      </c>
      <c r="AA125" s="115">
        <f>'Baseline Consumption'!AA$63*AA110*'Baseline Consumption'!AA82*BtuTOkWh</f>
        <v>7.7042303764361785E-3</v>
      </c>
      <c r="AB125" s="115">
        <f>'Baseline Consumption'!AB$63*AB110*'Baseline Consumption'!AB82*BtuTOkWh</f>
        <v>7.7400494987380272E-3</v>
      </c>
      <c r="AC125" s="115">
        <f>'Baseline Consumption'!AC$63*AC110*'Baseline Consumption'!AC82*BtuTOkWh</f>
        <v>7.8049607265396146E-3</v>
      </c>
      <c r="AD125" s="115">
        <f>'Baseline Consumption'!AD$63*AD110*'Baseline Consumption'!AD82*BtuTOkWh</f>
        <v>7.8736908335910911E-3</v>
      </c>
      <c r="AE125" s="115">
        <f>'Baseline Consumption'!AE$63*AE110*'Baseline Consumption'!AE82*BtuTOkWh</f>
        <v>7.9460726803648636E-3</v>
      </c>
      <c r="AF125" s="115">
        <f>'Baseline Consumption'!AF$63*AF110*'Baseline Consumption'!AF82*BtuTOkWh</f>
        <v>8.0231535565449923E-3</v>
      </c>
      <c r="AG125" s="115">
        <f>'Baseline Consumption'!AG$63*AG110*'Baseline Consumption'!AG82*BtuTOkWh</f>
        <v>8.0887005026172507E-3</v>
      </c>
      <c r="AH125" s="115">
        <f>'Baseline Consumption'!AH$63*AH110*'Baseline Consumption'!AH82*BtuTOkWh</f>
        <v>8.1583421783299262E-3</v>
      </c>
      <c r="AI125" s="115">
        <f>'Baseline Consumption'!AI$63*AI110*'Baseline Consumption'!AI82*BtuTOkWh</f>
        <v>8.227672932537752E-3</v>
      </c>
      <c r="AJ125" s="115">
        <f>'Baseline Consumption'!AJ$63*AJ110*'Baseline Consumption'!AJ82*BtuTOkWh</f>
        <v>8.2966937303600302E-3</v>
      </c>
      <c r="AK125" s="115">
        <f>'Baseline Consumption'!AK$63*AK110*'Baseline Consumption'!AK82*BtuTOkWh</f>
        <v>8.3654055342992934E-3</v>
      </c>
    </row>
    <row r="126" spans="1:38" s="57" customFormat="1">
      <c r="A126" s="279" t="s">
        <v>424</v>
      </c>
      <c r="B126"/>
      <c r="C126"/>
      <c r="D126"/>
      <c r="E126"/>
      <c r="F126"/>
      <c r="G126"/>
      <c r="H126"/>
      <c r="I126"/>
      <c r="J126"/>
      <c r="K126" s="115">
        <f>'Baseline Consumption'!K$63*K111*'Baseline Consumption'!K83*BtuTOkWh</f>
        <v>6.6765725283209022E-4</v>
      </c>
      <c r="L126" s="115">
        <f>'Baseline Consumption'!L$63*L111*'Baseline Consumption'!L83*BtuTOkWh</f>
        <v>5.3688492239015954E-4</v>
      </c>
      <c r="M126" s="115">
        <f>'Baseline Consumption'!M$63*M111*'Baseline Consumption'!M83*BtuTOkWh</f>
        <v>6.984261876083435E-4</v>
      </c>
      <c r="N126" s="115">
        <f>'Baseline Consumption'!N$63*N111*'Baseline Consumption'!N83*BtuTOkWh</f>
        <v>5.1418489958197997E-4</v>
      </c>
      <c r="O126" s="115">
        <f>'Baseline Consumption'!O$63*O111*'Baseline Consumption'!O83*BtuTOkWh</f>
        <v>4.7589832144852789E-4</v>
      </c>
      <c r="P126" s="115">
        <f>'Baseline Consumption'!P$63*P111*'Baseline Consumption'!P83*BtuTOkWh</f>
        <v>4.3739601676482374E-4</v>
      </c>
      <c r="Q126" s="115">
        <f>'Baseline Consumption'!Q$63*Q111*'Baseline Consumption'!Q83*BtuTOkWh</f>
        <v>3.9590228437350576E-4</v>
      </c>
      <c r="R126" s="115">
        <f>'Baseline Consumption'!R$63*R111*'Baseline Consumption'!R83*BtuTOkWh</f>
        <v>3.5666104504024837E-4</v>
      </c>
      <c r="S126" s="115">
        <f>'Baseline Consumption'!S$63*S111*'Baseline Consumption'!S83*BtuTOkWh</f>
        <v>3.1811854703218652E-4</v>
      </c>
      <c r="T126" s="115">
        <f>'Baseline Consumption'!T$63*T111*'Baseline Consumption'!T83*BtuTOkWh</f>
        <v>2.802758495786414E-4</v>
      </c>
      <c r="U126" s="115">
        <f>'Baseline Consumption'!U$63*U111*'Baseline Consumption'!U83*BtuTOkWh</f>
        <v>2.4338500320705665E-4</v>
      </c>
      <c r="V126" s="115">
        <f>'Baseline Consumption'!V$63*V111*'Baseline Consumption'!V83*BtuTOkWh</f>
        <v>2.0725153721468906E-4</v>
      </c>
      <c r="W126" s="115">
        <f>'Baseline Consumption'!W$63*W111*'Baseline Consumption'!W83*BtuTOkWh</f>
        <v>1.7219740929521425E-4</v>
      </c>
      <c r="X126" s="506">
        <f>'Baseline Consumption'!X$63*X111*'Baseline Consumption'!X83*BtuTOkWh</f>
        <v>1.7059716376143568E-4</v>
      </c>
      <c r="Y126" s="115">
        <f>'Baseline Consumption'!Y$63*Y111*'Baseline Consumption'!Y83*BtuTOkWh</f>
        <v>1.6932125562895721E-4</v>
      </c>
      <c r="Z126" s="115">
        <f>'Baseline Consumption'!Z$63*Z111*'Baseline Consumption'!Z83*BtuTOkWh</f>
        <v>1.6895772799455005E-4</v>
      </c>
      <c r="AA126" s="115">
        <f>'Baseline Consumption'!AA$63*AA111*'Baseline Consumption'!AA83*BtuTOkWh</f>
        <v>1.6963886315956233E-4</v>
      </c>
      <c r="AB126" s="115">
        <f>'Baseline Consumption'!AB$63*AB111*'Baseline Consumption'!AB83*BtuTOkWh</f>
        <v>1.7014706612551649E-4</v>
      </c>
      <c r="AC126" s="115">
        <f>'Baseline Consumption'!AC$63*AC111*'Baseline Consumption'!AC83*BtuTOkWh</f>
        <v>1.7125021076785425E-4</v>
      </c>
      <c r="AD126" s="115">
        <f>'Baseline Consumption'!AD$63*AD111*'Baseline Consumption'!AD83*BtuTOkWh</f>
        <v>1.7244914743021588E-4</v>
      </c>
      <c r="AE126" s="115">
        <f>'Baseline Consumption'!AE$63*AE111*'Baseline Consumption'!AE83*BtuTOkWh</f>
        <v>1.7372066813384229E-4</v>
      </c>
      <c r="AF126" s="115">
        <f>'Baseline Consumption'!AF$63*AF111*'Baseline Consumption'!AF83*BtuTOkWh</f>
        <v>1.75085107023486E-4</v>
      </c>
      <c r="AG126" s="115">
        <f>'Baseline Consumption'!AG$63*AG111*'Baseline Consumption'!AG83*BtuTOkWh</f>
        <v>1.7619008704613533E-4</v>
      </c>
      <c r="AH126" s="115">
        <f>'Baseline Consumption'!AH$63*AH111*'Baseline Consumption'!AH83*BtuTOkWh</f>
        <v>1.7737234882770597E-4</v>
      </c>
      <c r="AI126" s="115">
        <f>'Baseline Consumption'!AI$63*AI111*'Baseline Consumption'!AI83*BtuTOkWh</f>
        <v>1.7854769035012227E-4</v>
      </c>
      <c r="AJ126" s="115">
        <f>'Baseline Consumption'!AJ$63*AJ111*'Baseline Consumption'!AJ83*BtuTOkWh</f>
        <v>1.7970455735043654E-4</v>
      </c>
      <c r="AK126" s="115">
        <f>'Baseline Consumption'!AK$63*AK111*'Baseline Consumption'!AK83*BtuTOkWh</f>
        <v>1.8084684386433027E-4</v>
      </c>
    </row>
    <row r="127" spans="1:38" s="57" customFormat="1">
      <c r="A127" s="77" t="s">
        <v>42</v>
      </c>
      <c r="B127"/>
      <c r="C127"/>
      <c r="D127"/>
      <c r="E127"/>
      <c r="F127"/>
      <c r="G127"/>
      <c r="H127"/>
      <c r="I127"/>
      <c r="J127"/>
      <c r="K127" s="85">
        <f t="shared" ref="K127:AK127" si="15">SUM(K123:K126)</f>
        <v>0.23742813601358218</v>
      </c>
      <c r="L127" s="85">
        <f t="shared" si="15"/>
        <v>0.25887313076540308</v>
      </c>
      <c r="M127" s="85">
        <f t="shared" si="15"/>
        <v>0.22455259208424636</v>
      </c>
      <c r="N127" s="85">
        <f t="shared" si="15"/>
        <v>0.20182213407289448</v>
      </c>
      <c r="O127" s="85">
        <f t="shared" si="15"/>
        <v>0.19743076910674209</v>
      </c>
      <c r="P127" s="85">
        <f t="shared" si="15"/>
        <v>0.19170282692914387</v>
      </c>
      <c r="Q127" s="85">
        <f t="shared" si="15"/>
        <v>0.18559532188527264</v>
      </c>
      <c r="R127" s="85">
        <f t="shared" si="15"/>
        <v>0.1741212870131392</v>
      </c>
      <c r="S127" s="85">
        <f t="shared" si="15"/>
        <v>0.17334192099840504</v>
      </c>
      <c r="T127" s="85">
        <f t="shared" si="15"/>
        <v>0.16639644854904448</v>
      </c>
      <c r="U127" s="85">
        <f t="shared" si="15"/>
        <v>0.16558187534773791</v>
      </c>
      <c r="V127" s="85">
        <f t="shared" si="15"/>
        <v>0.1648990963606192</v>
      </c>
      <c r="W127" s="85">
        <f t="shared" si="15"/>
        <v>0.15350301245660686</v>
      </c>
      <c r="X127" s="499">
        <f t="shared" si="15"/>
        <v>0.15228694003804533</v>
      </c>
      <c r="Y127" s="85">
        <f t="shared" si="15"/>
        <v>0.15140049486974674</v>
      </c>
      <c r="Z127" s="85">
        <f t="shared" si="15"/>
        <v>0.1514664174802087</v>
      </c>
      <c r="AA127" s="85">
        <f t="shared" si="15"/>
        <v>0.15265606960542988</v>
      </c>
      <c r="AB127" s="85">
        <f t="shared" si="15"/>
        <v>0.15364157549420834</v>
      </c>
      <c r="AC127" s="85">
        <f t="shared" si="15"/>
        <v>0.1553112243945213</v>
      </c>
      <c r="AD127" s="85">
        <f t="shared" si="15"/>
        <v>0.15707253224549209</v>
      </c>
      <c r="AE127" s="85">
        <f t="shared" si="15"/>
        <v>0.15892535846970665</v>
      </c>
      <c r="AF127" s="85">
        <f t="shared" si="15"/>
        <v>0.16089362158142156</v>
      </c>
      <c r="AG127" s="85">
        <f t="shared" si="15"/>
        <v>0.1625936229432566</v>
      </c>
      <c r="AH127" s="85">
        <f t="shared" si="15"/>
        <v>0.16439348167848564</v>
      </c>
      <c r="AI127" s="85">
        <f t="shared" si="15"/>
        <v>0.16619051934978313</v>
      </c>
      <c r="AJ127" s="85">
        <f t="shared" si="15"/>
        <v>0.1679846461179802</v>
      </c>
      <c r="AK127" s="85">
        <f t="shared" si="15"/>
        <v>0.16977507227016728</v>
      </c>
    </row>
    <row r="128" spans="1:38">
      <c r="M128" s="636"/>
      <c r="X128" s="502"/>
    </row>
    <row r="129" spans="1:43" ht="25.5">
      <c r="A129" s="72" t="s">
        <v>421</v>
      </c>
      <c r="B129" s="60"/>
      <c r="C129" s="60"/>
      <c r="D129" s="60"/>
      <c r="E129" s="60"/>
      <c r="F129" s="60"/>
      <c r="G129" s="60"/>
      <c r="H129" s="60"/>
      <c r="I129" s="60"/>
      <c r="J129" s="66"/>
      <c r="K129" s="66"/>
      <c r="L129" s="66"/>
      <c r="M129" s="66"/>
      <c r="N129" s="66"/>
      <c r="O129" s="66"/>
      <c r="P129" s="668">
        <f>SUMPRODUCT('Adjusted Consumption'!P108:P111,P130:P133)</f>
        <v>0</v>
      </c>
      <c r="Q129" s="66"/>
      <c r="R129" s="66"/>
      <c r="S129" s="66"/>
      <c r="T129" s="66"/>
      <c r="U129" s="66"/>
      <c r="V129" s="66"/>
      <c r="W129" s="66"/>
      <c r="X129" s="498"/>
      <c r="Y129" s="66"/>
      <c r="Z129" s="66"/>
      <c r="AA129" s="66"/>
      <c r="AB129" s="66"/>
      <c r="AC129" s="66"/>
      <c r="AD129" s="66"/>
      <c r="AE129" s="66"/>
      <c r="AF129" s="66"/>
      <c r="AG129" s="66"/>
      <c r="AH129" s="66"/>
      <c r="AI129" s="66"/>
      <c r="AJ129" s="66"/>
      <c r="AK129" s="66"/>
    </row>
    <row r="130" spans="1:43">
      <c r="A130" s="98" t="s">
        <v>2</v>
      </c>
      <c r="B130" s="60"/>
      <c r="C130" s="60"/>
      <c r="D130" s="60"/>
      <c r="E130" s="60"/>
      <c r="F130" s="60"/>
      <c r="G130" s="60"/>
      <c r="H130" s="60"/>
      <c r="I130" s="60"/>
      <c r="J130" s="66"/>
      <c r="K130" s="67">
        <f>'Price Change'!K41*ramps!L55</f>
        <v>0</v>
      </c>
      <c r="L130" s="67">
        <f>'Price Change'!L41*ramps!M55</f>
        <v>0</v>
      </c>
      <c r="M130" s="67">
        <f>'Price Change'!M41*ramps!N55</f>
        <v>0</v>
      </c>
      <c r="N130" s="67">
        <f>'Price Change'!N41*ramps!O55</f>
        <v>0</v>
      </c>
      <c r="O130" s="67">
        <f>'Price Change'!O41*ramps!P55</f>
        <v>0</v>
      </c>
      <c r="P130" s="67">
        <f>'Price Change'!P41*ramps!Q55</f>
        <v>0</v>
      </c>
      <c r="Q130" s="67">
        <f>'Price Change'!Q41*ramps!R55</f>
        <v>-8.8549018948341808E-3</v>
      </c>
      <c r="R130" s="67">
        <f>'Price Change'!R41*ramps!S55</f>
        <v>-1.9713903975645115E-2</v>
      </c>
      <c r="S130" s="67">
        <f>'Price Change'!S41*ramps!T55</f>
        <v>-3.2472657105007414E-2</v>
      </c>
      <c r="T130" s="67">
        <f>'Price Change'!T41*ramps!U55</f>
        <v>-4.7087449569167723E-2</v>
      </c>
      <c r="U130" s="67">
        <f>'Price Change'!U41*ramps!V55</f>
        <v>-6.27007574196735E-2</v>
      </c>
      <c r="V130" s="67">
        <f>'Price Change'!V41*ramps!W55</f>
        <v>-7.9189161696631274E-2</v>
      </c>
      <c r="W130" s="67">
        <f>'Price Change'!W41*ramps!X55</f>
        <v>-9.729324641385341E-2</v>
      </c>
      <c r="X130" s="67">
        <f>'Price Change'!X41*ramps!Y55</f>
        <v>-0.11609498262931527</v>
      </c>
      <c r="Y130" s="67">
        <f>'Price Change'!Y41*ramps!Z55</f>
        <v>-0.1355283560370675</v>
      </c>
      <c r="Z130" s="67">
        <f>'Price Change'!Z41*ramps!AA55</f>
        <v>-0.15683091538190005</v>
      </c>
      <c r="AA130" s="67">
        <f>'Price Change'!AA41*ramps!AB55</f>
        <v>0</v>
      </c>
      <c r="AB130" s="67">
        <f>'Price Change'!AB41*ramps!AC55</f>
        <v>0</v>
      </c>
      <c r="AC130" s="67">
        <f>'Price Change'!AC41*ramps!AD55</f>
        <v>0</v>
      </c>
      <c r="AD130" s="67">
        <f>'Price Change'!AD41*ramps!AE55</f>
        <v>0</v>
      </c>
      <c r="AE130" s="67">
        <f>'Price Change'!AE41*ramps!AF55</f>
        <v>0</v>
      </c>
      <c r="AF130" s="67">
        <f>'Price Change'!AF41*ramps!AG55</f>
        <v>0</v>
      </c>
      <c r="AG130" s="67">
        <f>'Price Change'!AG41*ramps!AH55</f>
        <v>0</v>
      </c>
      <c r="AH130" s="67">
        <f>'Price Change'!AH41*ramps!AI55</f>
        <v>0</v>
      </c>
      <c r="AI130" s="67">
        <f>'Price Change'!AI41*ramps!AJ55</f>
        <v>0</v>
      </c>
      <c r="AJ130" s="67">
        <f>'Price Change'!AJ41*ramps!AK55</f>
        <v>0</v>
      </c>
      <c r="AK130" s="67">
        <f>'Price Change'!AK41*ramps!AL55</f>
        <v>0</v>
      </c>
      <c r="AL130" s="726"/>
    </row>
    <row r="131" spans="1:43">
      <c r="A131" s="70" t="s">
        <v>26</v>
      </c>
      <c r="B131" s="60"/>
      <c r="C131" s="60"/>
      <c r="D131" s="60"/>
      <c r="E131" s="60"/>
      <c r="F131" s="60"/>
      <c r="G131" s="60"/>
      <c r="H131" s="60"/>
      <c r="I131" s="60"/>
      <c r="J131" s="66"/>
      <c r="K131" s="67">
        <f>'Price Change'!K42*ramps!L53</f>
        <v>0</v>
      </c>
      <c r="L131" s="67">
        <f>'Price Change'!L42*ramps!M53</f>
        <v>0</v>
      </c>
      <c r="M131" s="67">
        <f>'Price Change'!M42*ramps!N53</f>
        <v>0</v>
      </c>
      <c r="N131" s="67">
        <f>'Price Change'!N42*ramps!O53</f>
        <v>0</v>
      </c>
      <c r="O131" s="67">
        <f>'Price Change'!O42*ramps!P53</f>
        <v>0</v>
      </c>
      <c r="P131" s="67">
        <f>'Price Change'!P42*ramps!Q53</f>
        <v>0</v>
      </c>
      <c r="Q131" s="67">
        <f>'Price Change'!Q42*ramps!R53</f>
        <v>-2.7067238812052423E-3</v>
      </c>
      <c r="R131" s="67">
        <f>'Price Change'!R42*ramps!S53</f>
        <v>-6.1333609662074353E-3</v>
      </c>
      <c r="S131" s="67">
        <f>'Price Change'!S42*ramps!T53</f>
        <v>-1.0200383957072725E-2</v>
      </c>
      <c r="T131" s="67">
        <f>'Price Change'!T42*ramps!U53</f>
        <v>-1.4498590317792923E-2</v>
      </c>
      <c r="U131" s="67">
        <f>'Price Change'!U42*ramps!V53</f>
        <v>-1.904821569388972E-2</v>
      </c>
      <c r="V131" s="67">
        <f>'Price Change'!V42*ramps!W53</f>
        <v>-2.3381573207343642E-2</v>
      </c>
      <c r="W131" s="67">
        <f>'Price Change'!W42*ramps!X53</f>
        <v>-2.8423456059369197E-2</v>
      </c>
      <c r="X131" s="67">
        <f>'Price Change'!X42*ramps!Y53</f>
        <v>-3.3793180456788037E-2</v>
      </c>
      <c r="Y131" s="67">
        <f>'Price Change'!Y42*ramps!Z53</f>
        <v>-3.9687125860139671E-2</v>
      </c>
      <c r="Z131" s="67">
        <f>'Price Change'!Z42*ramps!AA53</f>
        <v>-4.5734344453303467E-2</v>
      </c>
      <c r="AA131" s="67">
        <f>'Price Change'!AA42*ramps!AB53</f>
        <v>0</v>
      </c>
      <c r="AB131" s="67">
        <f>'Price Change'!AB42*ramps!AC53</f>
        <v>0</v>
      </c>
      <c r="AC131" s="67">
        <f>'Price Change'!AC42*ramps!AD53</f>
        <v>0</v>
      </c>
      <c r="AD131" s="67">
        <f>'Price Change'!AD42*ramps!AE53</f>
        <v>0</v>
      </c>
      <c r="AE131" s="67">
        <f>'Price Change'!AE42*ramps!AF53</f>
        <v>0</v>
      </c>
      <c r="AF131" s="67">
        <f>'Price Change'!AF42*ramps!AG53</f>
        <v>0</v>
      </c>
      <c r="AG131" s="67">
        <f>'Price Change'!AG42*ramps!AH53</f>
        <v>0</v>
      </c>
      <c r="AH131" s="67">
        <f>'Price Change'!AH42*ramps!AI53</f>
        <v>0</v>
      </c>
      <c r="AI131" s="67">
        <f>'Price Change'!AI42*ramps!AJ53</f>
        <v>0</v>
      </c>
      <c r="AJ131" s="67">
        <f>'Price Change'!AJ42*ramps!AK53</f>
        <v>0</v>
      </c>
      <c r="AK131" s="67">
        <f>'Price Change'!AK42*ramps!AL53</f>
        <v>0</v>
      </c>
      <c r="AL131" s="726"/>
    </row>
    <row r="132" spans="1:43">
      <c r="A132" s="98" t="s">
        <v>435</v>
      </c>
      <c r="B132" s="60"/>
      <c r="C132" s="60"/>
      <c r="D132" s="60"/>
      <c r="E132" s="60"/>
      <c r="F132" s="60"/>
      <c r="G132" s="60"/>
      <c r="H132" s="60"/>
      <c r="I132" s="60"/>
      <c r="J132" s="66"/>
      <c r="K132" s="67">
        <f>'Price Change'!K43*ramps!L53</f>
        <v>0</v>
      </c>
      <c r="L132" s="67">
        <f>'Price Change'!L43*ramps!M53</f>
        <v>0</v>
      </c>
      <c r="M132" s="67">
        <f>'Price Change'!M43*ramps!N53</f>
        <v>0</v>
      </c>
      <c r="N132" s="67">
        <f>'Price Change'!N43*ramps!O53</f>
        <v>0</v>
      </c>
      <c r="O132" s="67">
        <f>'Price Change'!O43*ramps!P53</f>
        <v>0</v>
      </c>
      <c r="P132" s="67">
        <f>'Price Change'!P43*ramps!Q53</f>
        <v>0</v>
      </c>
      <c r="Q132" s="67">
        <f>'Price Change'!Q43*ramps!R53</f>
        <v>-2.7067238812052423E-3</v>
      </c>
      <c r="R132" s="67">
        <f>'Price Change'!R43*ramps!S53</f>
        <v>-6.1333609662074353E-3</v>
      </c>
      <c r="S132" s="67">
        <f>'Price Change'!S43*ramps!T53</f>
        <v>-1.0200383957072725E-2</v>
      </c>
      <c r="T132" s="67">
        <f>'Price Change'!T43*ramps!U53</f>
        <v>-1.4498590317792923E-2</v>
      </c>
      <c r="U132" s="67">
        <f>'Price Change'!U43*ramps!V53</f>
        <v>-1.904821569388972E-2</v>
      </c>
      <c r="V132" s="67">
        <f>'Price Change'!V43*ramps!W53</f>
        <v>-2.3381573207343642E-2</v>
      </c>
      <c r="W132" s="67">
        <f>'Price Change'!W43*ramps!X53</f>
        <v>-2.8423456059369197E-2</v>
      </c>
      <c r="X132" s="501">
        <f>'Price Change'!X43*ramps!Y53</f>
        <v>-3.3793180456788037E-2</v>
      </c>
      <c r="Y132" s="67">
        <f>'Price Change'!Y43*ramps!Z53</f>
        <v>-3.9687125860139671E-2</v>
      </c>
      <c r="Z132" s="67">
        <f>'Price Change'!Z43*ramps!AA53</f>
        <v>-4.5734344453303467E-2</v>
      </c>
      <c r="AA132" s="67">
        <f>'Price Change'!AA43*ramps!AB53</f>
        <v>0</v>
      </c>
      <c r="AB132" s="67">
        <f>'Price Change'!AB43*ramps!AC53</f>
        <v>0</v>
      </c>
      <c r="AC132" s="67">
        <f>'Price Change'!AC43*ramps!AD53</f>
        <v>0</v>
      </c>
      <c r="AD132" s="67">
        <f>'Price Change'!AD43*ramps!AE53</f>
        <v>0</v>
      </c>
      <c r="AE132" s="67">
        <f>'Price Change'!AE43*ramps!AF53</f>
        <v>0</v>
      </c>
      <c r="AF132" s="67">
        <f>'Price Change'!AF43*ramps!AG53</f>
        <v>0</v>
      </c>
      <c r="AG132" s="67">
        <f>'Price Change'!AG43*ramps!AH53</f>
        <v>0</v>
      </c>
      <c r="AH132" s="67">
        <f>'Price Change'!AH43*ramps!AI53</f>
        <v>0</v>
      </c>
      <c r="AI132" s="67">
        <f>'Price Change'!AI43*ramps!AJ53</f>
        <v>0</v>
      </c>
      <c r="AJ132" s="67">
        <f>'Price Change'!AJ43*ramps!AK53</f>
        <v>0</v>
      </c>
      <c r="AK132" s="67">
        <f>'Price Change'!AK43*ramps!AL53</f>
        <v>0</v>
      </c>
    </row>
    <row r="133" spans="1:43">
      <c r="A133" s="98" t="s">
        <v>253</v>
      </c>
      <c r="B133" s="60"/>
      <c r="C133" s="60"/>
      <c r="D133" s="60"/>
      <c r="E133" s="60"/>
      <c r="F133" s="60"/>
      <c r="G133" s="60"/>
      <c r="H133" s="60"/>
      <c r="I133" s="60"/>
      <c r="J133" s="66"/>
      <c r="K133" s="67">
        <f>'Price Change'!K44*ramps!L46</f>
        <v>0</v>
      </c>
      <c r="L133" s="67">
        <f>'Price Change'!L44*ramps!M46</f>
        <v>0</v>
      </c>
      <c r="M133" s="67">
        <f>'Price Change'!M44*ramps!N46</f>
        <v>0</v>
      </c>
      <c r="N133" s="67">
        <f>'Price Change'!N44*ramps!O46</f>
        <v>0</v>
      </c>
      <c r="O133" s="67">
        <f>'Price Change'!O44*ramps!P46</f>
        <v>0</v>
      </c>
      <c r="P133" s="67">
        <f>'Price Change'!P44*ramps!Q46</f>
        <v>0</v>
      </c>
      <c r="Q133" s="67">
        <f>'Price Change'!Q44*ramps!R46</f>
        <v>-3.4107651404508216E-3</v>
      </c>
      <c r="R133" s="67">
        <f>'Price Change'!R44*ramps!S46</f>
        <v>-7.1513978823601861E-3</v>
      </c>
      <c r="S133" s="67">
        <f>'Price Change'!S44*ramps!T46</f>
        <v>-1.1589929495702858E-2</v>
      </c>
      <c r="T133" s="67">
        <f>'Price Change'!T44*ramps!U46</f>
        <v>-1.6584675650329266E-2</v>
      </c>
      <c r="U133" s="67">
        <f>'Price Change'!U44*ramps!V46</f>
        <v>-2.2187351449869556E-2</v>
      </c>
      <c r="V133" s="67">
        <f>'Price Change'!V44*ramps!W46</f>
        <v>-2.8310789241486254E-2</v>
      </c>
      <c r="W133" s="67">
        <f>'Price Change'!W44*ramps!X46</f>
        <v>-3.4743925989210028E-2</v>
      </c>
      <c r="X133" s="501">
        <f>'Price Change'!X44*ramps!Y46</f>
        <v>-4.1348528291195723E-2</v>
      </c>
      <c r="Y133" s="67">
        <f>'Price Change'!Y44*ramps!Z46</f>
        <v>-4.7976591401031582E-2</v>
      </c>
      <c r="Z133" s="67">
        <f>'Price Change'!Z44*ramps!AA46</f>
        <v>-5.5144758790952361E-2</v>
      </c>
      <c r="AA133" s="67">
        <f>'Price Change'!AA44*ramps!AB46</f>
        <v>0</v>
      </c>
      <c r="AB133" s="67">
        <f>'Price Change'!AB44*ramps!AC46</f>
        <v>0</v>
      </c>
      <c r="AC133" s="67">
        <f>'Price Change'!AC44*ramps!AD46</f>
        <v>0</v>
      </c>
      <c r="AD133" s="67">
        <f>'Price Change'!AD44*ramps!AE46</f>
        <v>0</v>
      </c>
      <c r="AE133" s="67">
        <f>'Price Change'!AE44*ramps!AF46</f>
        <v>0</v>
      </c>
      <c r="AF133" s="67">
        <f>'Price Change'!AF44*ramps!AG46</f>
        <v>0</v>
      </c>
      <c r="AG133" s="67">
        <f>'Price Change'!AG44*ramps!AH46</f>
        <v>0</v>
      </c>
      <c r="AH133" s="67">
        <f>'Price Change'!AH44*ramps!AI46</f>
        <v>0</v>
      </c>
      <c r="AI133" s="67">
        <f>'Price Change'!AI44*ramps!AJ46</f>
        <v>0</v>
      </c>
      <c r="AJ133" s="67">
        <f>'Price Change'!AJ44*ramps!AK46</f>
        <v>0</v>
      </c>
      <c r="AK133" s="67">
        <f>'Price Change'!AK44*ramps!AL46</f>
        <v>0</v>
      </c>
    </row>
    <row r="134" spans="1:43">
      <c r="A134" s="98"/>
      <c r="B134" s="60"/>
      <c r="C134" s="60"/>
      <c r="D134" s="60"/>
      <c r="E134" s="60"/>
      <c r="F134" s="60"/>
      <c r="G134" s="60"/>
      <c r="H134" s="60"/>
      <c r="I134" s="60"/>
      <c r="J134" s="66"/>
      <c r="K134" s="67"/>
      <c r="L134" s="66"/>
      <c r="M134" s="66"/>
      <c r="N134" s="66"/>
      <c r="O134" s="66"/>
      <c r="P134" s="66"/>
      <c r="Q134" s="66"/>
      <c r="R134" s="66"/>
      <c r="S134" s="66"/>
      <c r="T134" s="66"/>
      <c r="U134" s="66"/>
      <c r="V134" s="66"/>
      <c r="W134" s="66"/>
      <c r="X134" s="498"/>
      <c r="Y134" s="66"/>
      <c r="Z134" s="66"/>
      <c r="AA134" s="66"/>
      <c r="AB134" s="66"/>
      <c r="AC134" s="66"/>
      <c r="AD134" s="66"/>
      <c r="AE134" s="66"/>
      <c r="AF134" s="66"/>
      <c r="AG134" s="66"/>
      <c r="AH134" s="66"/>
      <c r="AI134" s="66"/>
      <c r="AJ134" s="66"/>
      <c r="AK134" s="66"/>
    </row>
    <row r="135" spans="1:43">
      <c r="A135" s="97" t="s">
        <v>440</v>
      </c>
      <c r="B135" s="60"/>
      <c r="C135" s="60"/>
      <c r="D135" s="60"/>
      <c r="E135" s="60"/>
      <c r="F135" s="60"/>
      <c r="G135" s="60"/>
      <c r="H135" s="60"/>
      <c r="I135" s="60"/>
      <c r="J135" s="66"/>
      <c r="K135" s="67"/>
      <c r="L135" s="66"/>
      <c r="M135" s="66"/>
      <c r="N135" s="66"/>
      <c r="O135" s="66"/>
      <c r="P135" s="66"/>
      <c r="Q135" s="66"/>
      <c r="R135" s="66"/>
      <c r="S135" s="66"/>
      <c r="T135" s="66"/>
      <c r="U135" s="66"/>
      <c r="V135" s="66"/>
      <c r="W135" s="66"/>
      <c r="X135" s="498"/>
      <c r="Y135" s="66"/>
      <c r="Z135" s="66"/>
      <c r="AA135" s="66"/>
      <c r="AB135" s="66"/>
      <c r="AC135" s="66"/>
      <c r="AD135" s="66"/>
      <c r="AE135" s="66"/>
      <c r="AF135" s="66"/>
      <c r="AG135" s="66"/>
      <c r="AH135" s="66"/>
      <c r="AI135" s="66"/>
      <c r="AJ135" s="66"/>
      <c r="AK135" s="66"/>
    </row>
    <row r="136" spans="1:43">
      <c r="A136" s="103" t="s">
        <v>441</v>
      </c>
      <c r="B136" s="60"/>
      <c r="C136" s="60"/>
      <c r="D136" s="60"/>
      <c r="E136" s="60"/>
      <c r="F136" s="60"/>
      <c r="G136" s="60"/>
      <c r="H136" s="60"/>
      <c r="I136" s="60"/>
      <c r="J136" s="66"/>
      <c r="K136" s="67">
        <f>SUM('Adjusted Consumption'!K108:K111)</f>
        <v>0.26724719632203492</v>
      </c>
      <c r="L136" s="67">
        <f>SUM('Adjusted Consumption'!L108:L111)</f>
        <v>0.29713925551670817</v>
      </c>
      <c r="M136" s="67">
        <f>SUM('Adjusted Consumption'!M108:M111)</f>
        <v>0.26069871540243023</v>
      </c>
      <c r="N136" s="67">
        <f>SUM('Adjusted Consumption'!N108:N111)</f>
        <v>0.24565660161070274</v>
      </c>
      <c r="O136" s="67">
        <f>SUM('Adjusted Consumption'!O108:O111)</f>
        <v>0.24093877234931696</v>
      </c>
      <c r="P136" s="67">
        <f>SUM('Adjusted Consumption'!P108:P111)</f>
        <v>0.23622094308793121</v>
      </c>
      <c r="Q136" s="67">
        <f>SUM('Adjusted Consumption'!Q108:Q111)</f>
        <v>0.23150311382654459</v>
      </c>
      <c r="R136" s="67">
        <f>SUM('Adjusted Consumption'!R108:R111)</f>
        <v>0.22496363041148082</v>
      </c>
      <c r="S136" s="67">
        <f>SUM('Adjusted Consumption'!S108:S111)</f>
        <v>0.22684432638583571</v>
      </c>
      <c r="T136" s="67">
        <f>SUM('Adjusted Consumption'!T108:T111)</f>
        <v>0.22376908095803499</v>
      </c>
      <c r="U136" s="67">
        <f>SUM('Adjusted Consumption'!U108:U111)</f>
        <v>0.22560779014533272</v>
      </c>
      <c r="V136" s="67">
        <f>SUM('Adjusted Consumption'!V108:V111)</f>
        <v>0.22745816113037839</v>
      </c>
      <c r="W136" s="67">
        <f>SUM('Adjusted Consumption'!W108:W111)</f>
        <v>0.2204963983259024</v>
      </c>
      <c r="X136" s="501">
        <f>SUM('Adjusted Consumption'!X108:X111)</f>
        <v>0.22037011107079496</v>
      </c>
      <c r="Y136" s="67">
        <f>SUM('Adjusted Consumption'!Y108:Y111)</f>
        <v>0.22028520358938625</v>
      </c>
      <c r="Z136" s="67">
        <f>SUM('Adjusted Consumption'!Z108:Z111)</f>
        <v>0.22032180153708805</v>
      </c>
      <c r="AA136" s="67">
        <f>SUM('Adjusted Consumption'!AA108:AA111)</f>
        <v>0.22050019574493046</v>
      </c>
      <c r="AB136" s="67">
        <f>SUM('Adjusted Consumption'!AB108:AB111)</f>
        <v>0.22065040903236421</v>
      </c>
      <c r="AC136" s="67">
        <f>SUM('Adjusted Consumption'!AC108:AC111)</f>
        <v>0.22088263071157865</v>
      </c>
      <c r="AD136" s="67">
        <f>SUM('Adjusted Consumption'!AD108:AD111)</f>
        <v>0.22112164465082204</v>
      </c>
      <c r="AE136" s="67">
        <f>SUM('Adjusted Consumption'!AE108:AE111)</f>
        <v>0.22136647101575735</v>
      </c>
      <c r="AF136" s="67">
        <f>SUM('Adjusted Consumption'!AF108:AF111)</f>
        <v>0.221619435153669</v>
      </c>
      <c r="AG136" s="67">
        <f>SUM('Adjusted Consumption'!AG108:AG111)</f>
        <v>0.2218370861099315</v>
      </c>
      <c r="AH136" s="67">
        <f>SUM('Adjusted Consumption'!AH108:AH111)</f>
        <v>0.22206176584202281</v>
      </c>
      <c r="AI136" s="67">
        <f>SUM('Adjusted Consumption'!AI108:AI111)</f>
        <v>0.22228176788609505</v>
      </c>
      <c r="AJ136" s="67">
        <f>SUM('Adjusted Consumption'!AJ108:AJ111)</f>
        <v>0.22249723681687136</v>
      </c>
      <c r="AK136" s="67">
        <f>SUM('Adjusted Consumption'!AK108:AK111)</f>
        <v>0.22270831131194335</v>
      </c>
    </row>
    <row r="137" spans="1:43">
      <c r="A137" s="103" t="s">
        <v>442</v>
      </c>
      <c r="B137" s="60"/>
      <c r="C137" s="60"/>
      <c r="D137" s="60"/>
      <c r="E137" s="60"/>
      <c r="F137" s="60"/>
      <c r="G137" s="60"/>
      <c r="H137" s="60"/>
      <c r="I137" s="60"/>
      <c r="J137" s="66"/>
      <c r="K137" s="67">
        <f>K136+SUMPRODUCT('Adjusted Consumption'!K108:K111,K130:K133)</f>
        <v>0.26724719632203492</v>
      </c>
      <c r="L137" s="67">
        <f>L136+SUMPRODUCT('Adjusted Consumption'!L108:L111,L130:L133)</f>
        <v>0.29713925551670817</v>
      </c>
      <c r="M137" s="67">
        <f>M136+SUMPRODUCT('Adjusted Consumption'!M108:M111,M130:M133)</f>
        <v>0.26069871540243023</v>
      </c>
      <c r="N137" s="67">
        <f>N136+SUMPRODUCT('Adjusted Consumption'!N108:N111,N130:N133)</f>
        <v>0.24565660161070274</v>
      </c>
      <c r="O137" s="67">
        <f>O136+SUMPRODUCT('Adjusted Consumption'!O108:O111,O130:O133)</f>
        <v>0.24093877234931696</v>
      </c>
      <c r="P137" s="67">
        <f>P136+SUMPRODUCT('Adjusted Consumption'!P108:P111,P130:P133)</f>
        <v>0.23622094308793121</v>
      </c>
      <c r="Q137" s="67">
        <f>Q136+SUMPRODUCT('Adjusted Consumption'!Q108:Q111,Q130:Q133)</f>
        <v>0.23017033850896915</v>
      </c>
      <c r="R137" s="67">
        <f>R136+SUMPRODUCT('Adjusted Consumption'!R108:R111,R130:R133)</f>
        <v>0.22233809429714649</v>
      </c>
      <c r="S137" s="67">
        <f>S136+SUMPRODUCT('Adjusted Consumption'!S108:S111,S130:S133)</f>
        <v>0.22253332721015234</v>
      </c>
      <c r="T137" s="67">
        <f>T136+SUMPRODUCT('Adjusted Consumption'!T108:T111,T130:T133)</f>
        <v>0.21807341346831441</v>
      </c>
      <c r="U137" s="67">
        <f>U136+SUMPRODUCT('Adjusted Consumption'!U108:U111,U130:U133)</f>
        <v>0.2181211627602648</v>
      </c>
      <c r="V137" s="67">
        <f>V136+SUMPRODUCT('Adjusted Consumption'!V108:V111,V130:V133)</f>
        <v>0.21818149864137812</v>
      </c>
      <c r="W137" s="67">
        <f>W136+SUMPRODUCT('Adjusted Consumption'!W108:W111,W130:W133)</f>
        <v>0.21100853689639357</v>
      </c>
      <c r="X137" s="501">
        <f>X136+SUMPRODUCT('Adjusted Consumption'!X108:X111,X130:X133)</f>
        <v>0.20910036839250654</v>
      </c>
      <c r="Y137" s="67">
        <f>Y136+SUMPRODUCT('Adjusted Consumption'!Y108:Y111,Y130:Y133)</f>
        <v>0.20711155023440939</v>
      </c>
      <c r="Z137" s="67">
        <f>Z136+SUMPRODUCT('Adjusted Consumption'!Z108:Z111,Z130:Z133)</f>
        <v>0.20509891402913957</v>
      </c>
      <c r="AA137" s="67">
        <f>AA136+SUMPRODUCT('Adjusted Consumption'!AA108:AA111,AA130:AA133)</f>
        <v>0.22050019574493046</v>
      </c>
      <c r="AB137" s="67">
        <f>AB136+SUMPRODUCT('Adjusted Consumption'!AB108:AB111,AB130:AB133)</f>
        <v>0.22065040903236421</v>
      </c>
      <c r="AC137" s="67">
        <f>AC136+SUMPRODUCT('Adjusted Consumption'!AC108:AC111,AC130:AC133)</f>
        <v>0.22088263071157865</v>
      </c>
      <c r="AD137" s="67">
        <f>AD136+SUMPRODUCT('Adjusted Consumption'!AD108:AD111,AD130:AD133)</f>
        <v>0.22112164465082204</v>
      </c>
      <c r="AE137" s="67">
        <f>AE136+SUMPRODUCT('Adjusted Consumption'!AE108:AE111,AE130:AE133)</f>
        <v>0.22136647101575735</v>
      </c>
      <c r="AF137" s="67">
        <f>AF136+SUMPRODUCT('Adjusted Consumption'!AF108:AF111,AF130:AF133)</f>
        <v>0.221619435153669</v>
      </c>
      <c r="AG137" s="67">
        <f>AG136+SUMPRODUCT('Adjusted Consumption'!AG108:AG111,AG130:AG133)</f>
        <v>0.2218370861099315</v>
      </c>
      <c r="AH137" s="67">
        <f>AH136+SUMPRODUCT('Adjusted Consumption'!AH108:AH111,AH130:AH133)</f>
        <v>0.22206176584202281</v>
      </c>
      <c r="AI137" s="67">
        <f>AI136+SUMPRODUCT('Adjusted Consumption'!AI108:AI111,AI130:AI133)</f>
        <v>0.22228176788609505</v>
      </c>
      <c r="AJ137" s="67">
        <f>AJ136+SUMPRODUCT('Adjusted Consumption'!AJ108:AJ111,AJ130:AJ133)</f>
        <v>0.22249723681687136</v>
      </c>
      <c r="AK137" s="67">
        <f>AK136+SUMPRODUCT('Adjusted Consumption'!AK108:AK111,AK130:AK133)</f>
        <v>0.22270831131194335</v>
      </c>
    </row>
    <row r="138" spans="1:43">
      <c r="A138" s="103" t="s">
        <v>444</v>
      </c>
      <c r="B138" s="60"/>
      <c r="C138" s="60"/>
      <c r="D138" s="60"/>
      <c r="E138" s="60"/>
      <c r="F138" s="60"/>
      <c r="G138" s="60"/>
      <c r="H138" s="60"/>
      <c r="I138" s="60"/>
      <c r="J138" s="66"/>
      <c r="K138" s="109">
        <f>K137/K136</f>
        <v>1</v>
      </c>
      <c r="L138" s="109">
        <f t="shared" ref="L138:AK138" si="16">L137/L136</f>
        <v>1</v>
      </c>
      <c r="M138" s="109">
        <f t="shared" si="16"/>
        <v>1</v>
      </c>
      <c r="N138" s="109">
        <f t="shared" si="16"/>
        <v>1</v>
      </c>
      <c r="O138" s="109">
        <f t="shared" si="16"/>
        <v>1</v>
      </c>
      <c r="P138" s="109">
        <f t="shared" si="16"/>
        <v>1</v>
      </c>
      <c r="Q138" s="109">
        <f t="shared" si="16"/>
        <v>0.9942429486344877</v>
      </c>
      <c r="R138" s="109">
        <f t="shared" si="16"/>
        <v>0.98832906408234977</v>
      </c>
      <c r="S138" s="109">
        <f t="shared" si="16"/>
        <v>0.98099578136086651</v>
      </c>
      <c r="T138" s="109">
        <f t="shared" si="16"/>
        <v>0.97454667344864887</v>
      </c>
      <c r="U138" s="109">
        <f t="shared" si="16"/>
        <v>0.96681574080289889</v>
      </c>
      <c r="V138" s="109">
        <f t="shared" si="16"/>
        <v>0.95921596111171004</v>
      </c>
      <c r="W138" s="109">
        <f t="shared" si="16"/>
        <v>0.95697044712954726</v>
      </c>
      <c r="X138" s="507">
        <f t="shared" si="16"/>
        <v>0.94885993103362387</v>
      </c>
      <c r="Y138" s="109">
        <f t="shared" si="16"/>
        <v>0.94019728451878826</v>
      </c>
      <c r="Z138" s="109">
        <f t="shared" si="16"/>
        <v>0.93090612276340745</v>
      </c>
      <c r="AA138" s="109">
        <f t="shared" si="16"/>
        <v>1</v>
      </c>
      <c r="AB138" s="109">
        <f t="shared" si="16"/>
        <v>1</v>
      </c>
      <c r="AC138" s="109">
        <f t="shared" si="16"/>
        <v>1</v>
      </c>
      <c r="AD138" s="109">
        <f t="shared" si="16"/>
        <v>1</v>
      </c>
      <c r="AE138" s="109">
        <f t="shared" si="16"/>
        <v>1</v>
      </c>
      <c r="AF138" s="109">
        <f t="shared" si="16"/>
        <v>1</v>
      </c>
      <c r="AG138" s="109">
        <f t="shared" si="16"/>
        <v>1</v>
      </c>
      <c r="AH138" s="109">
        <f t="shared" si="16"/>
        <v>1</v>
      </c>
      <c r="AI138" s="109">
        <f t="shared" si="16"/>
        <v>1</v>
      </c>
      <c r="AJ138" s="109">
        <f t="shared" si="16"/>
        <v>1</v>
      </c>
      <c r="AK138" s="109">
        <f t="shared" si="16"/>
        <v>1</v>
      </c>
    </row>
    <row r="139" spans="1:43">
      <c r="A139" s="104" t="s">
        <v>443</v>
      </c>
      <c r="B139" s="60"/>
      <c r="C139" s="60"/>
      <c r="D139" s="60"/>
      <c r="E139" s="60"/>
      <c r="F139" s="60"/>
      <c r="G139" s="60"/>
      <c r="H139" s="60"/>
      <c r="I139" s="60"/>
      <c r="J139" s="66"/>
      <c r="K139" s="67"/>
      <c r="L139" s="67"/>
      <c r="M139" s="67"/>
      <c r="N139" s="67"/>
      <c r="O139" s="67"/>
      <c r="P139" s="67"/>
      <c r="Q139" s="67"/>
      <c r="R139" s="67"/>
      <c r="S139" s="67"/>
      <c r="T139" s="67"/>
      <c r="U139" s="67"/>
      <c r="V139" s="67"/>
      <c r="W139" s="67"/>
      <c r="X139" s="501"/>
      <c r="Y139" s="67"/>
      <c r="Z139" s="67"/>
      <c r="AA139" s="67"/>
      <c r="AB139" s="67"/>
      <c r="AC139" s="67"/>
      <c r="AD139" s="67"/>
      <c r="AE139" s="67"/>
      <c r="AF139" s="67"/>
      <c r="AG139" s="67"/>
      <c r="AH139" s="67"/>
      <c r="AI139" s="67"/>
      <c r="AJ139" s="67"/>
      <c r="AK139" s="67"/>
    </row>
    <row r="140" spans="1:43">
      <c r="A140" s="103" t="s">
        <v>441</v>
      </c>
      <c r="B140" s="60"/>
      <c r="C140" s="60"/>
      <c r="D140" s="60"/>
      <c r="E140" s="60"/>
      <c r="F140" s="60"/>
      <c r="G140" s="60"/>
      <c r="H140" s="60"/>
      <c r="I140" s="60"/>
      <c r="J140" s="66"/>
      <c r="K140" s="67">
        <f>1-K136</f>
        <v>0.73275280367796514</v>
      </c>
      <c r="L140" s="67">
        <f t="shared" ref="L140:AK140" si="17">1-L136</f>
        <v>0.70286074448329183</v>
      </c>
      <c r="M140" s="67">
        <f t="shared" si="17"/>
        <v>0.73930128459756972</v>
      </c>
      <c r="N140" s="67">
        <f t="shared" si="17"/>
        <v>0.75434339838929731</v>
      </c>
      <c r="O140" s="67">
        <f t="shared" si="17"/>
        <v>0.75906122765068307</v>
      </c>
      <c r="P140" s="67">
        <f t="shared" si="17"/>
        <v>0.76377905691206882</v>
      </c>
      <c r="Q140" s="67">
        <f t="shared" si="17"/>
        <v>0.76849688617345535</v>
      </c>
      <c r="R140" s="67">
        <f t="shared" si="17"/>
        <v>0.77503636958851918</v>
      </c>
      <c r="S140" s="67">
        <f t="shared" si="17"/>
        <v>0.77315567361416426</v>
      </c>
      <c r="T140" s="67">
        <f t="shared" si="17"/>
        <v>0.77623091904196495</v>
      </c>
      <c r="U140" s="67">
        <f t="shared" si="17"/>
        <v>0.77439220985466728</v>
      </c>
      <c r="V140" s="67">
        <f t="shared" si="17"/>
        <v>0.77254183886962158</v>
      </c>
      <c r="W140" s="67">
        <f t="shared" si="17"/>
        <v>0.7795036016740976</v>
      </c>
      <c r="X140" s="501">
        <f t="shared" si="17"/>
        <v>0.77962988892920504</v>
      </c>
      <c r="Y140" s="67">
        <f t="shared" si="17"/>
        <v>0.7797147964106137</v>
      </c>
      <c r="Z140" s="67">
        <f t="shared" si="17"/>
        <v>0.77967819846291198</v>
      </c>
      <c r="AA140" s="67">
        <f t="shared" si="17"/>
        <v>0.77949980425506959</v>
      </c>
      <c r="AB140" s="67">
        <f t="shared" si="17"/>
        <v>0.77934959096763579</v>
      </c>
      <c r="AC140" s="67">
        <f t="shared" si="17"/>
        <v>0.77911736928842135</v>
      </c>
      <c r="AD140" s="67">
        <f t="shared" si="17"/>
        <v>0.77887835534917793</v>
      </c>
      <c r="AE140" s="67">
        <f t="shared" si="17"/>
        <v>0.77863352898424265</v>
      </c>
      <c r="AF140" s="67">
        <f t="shared" si="17"/>
        <v>0.778380564846331</v>
      </c>
      <c r="AG140" s="67">
        <f t="shared" si="17"/>
        <v>0.77816291389006853</v>
      </c>
      <c r="AH140" s="67">
        <f t="shared" si="17"/>
        <v>0.77793823415797725</v>
      </c>
      <c r="AI140" s="67">
        <f t="shared" si="17"/>
        <v>0.77771823211390489</v>
      </c>
      <c r="AJ140" s="67">
        <f t="shared" si="17"/>
        <v>0.77750276318312861</v>
      </c>
      <c r="AK140" s="67">
        <f t="shared" si="17"/>
        <v>0.77729168868805665</v>
      </c>
    </row>
    <row r="141" spans="1:43">
      <c r="A141" s="99" t="s">
        <v>442</v>
      </c>
      <c r="B141" s="105"/>
      <c r="C141" s="105"/>
      <c r="D141" s="105"/>
      <c r="E141" s="105"/>
      <c r="F141" s="105"/>
      <c r="G141" s="105"/>
      <c r="H141" s="105"/>
      <c r="I141" s="105"/>
      <c r="J141" s="106"/>
      <c r="K141" s="107">
        <f>1-K137</f>
        <v>0.73275280367796514</v>
      </c>
      <c r="L141" s="107">
        <f t="shared" ref="L141:AK141" si="18">1-L137</f>
        <v>0.70286074448329183</v>
      </c>
      <c r="M141" s="107">
        <f t="shared" si="18"/>
        <v>0.73930128459756972</v>
      </c>
      <c r="N141" s="107">
        <f t="shared" si="18"/>
        <v>0.75434339838929731</v>
      </c>
      <c r="O141" s="107">
        <f t="shared" si="18"/>
        <v>0.75906122765068307</v>
      </c>
      <c r="P141" s="107">
        <f t="shared" si="18"/>
        <v>0.76377905691206882</v>
      </c>
      <c r="Q141" s="107">
        <f t="shared" si="18"/>
        <v>0.76982966149103083</v>
      </c>
      <c r="R141" s="107">
        <f t="shared" si="18"/>
        <v>0.77766190570285354</v>
      </c>
      <c r="S141" s="107">
        <f t="shared" si="18"/>
        <v>0.7774666727898476</v>
      </c>
      <c r="T141" s="107">
        <f t="shared" si="18"/>
        <v>0.78192658653168556</v>
      </c>
      <c r="U141" s="107">
        <f t="shared" si="18"/>
        <v>0.78187883723973517</v>
      </c>
      <c r="V141" s="107">
        <f t="shared" si="18"/>
        <v>0.78181850135862185</v>
      </c>
      <c r="W141" s="107">
        <f t="shared" si="18"/>
        <v>0.78899146310360646</v>
      </c>
      <c r="X141" s="508">
        <f t="shared" si="18"/>
        <v>0.79089963160749344</v>
      </c>
      <c r="Y141" s="107">
        <f t="shared" si="18"/>
        <v>0.79288844976559059</v>
      </c>
      <c r="Z141" s="107">
        <f t="shared" si="18"/>
        <v>0.7949010859708604</v>
      </c>
      <c r="AA141" s="107">
        <f t="shared" si="18"/>
        <v>0.77949980425506959</v>
      </c>
      <c r="AB141" s="107">
        <f t="shared" si="18"/>
        <v>0.77934959096763579</v>
      </c>
      <c r="AC141" s="107">
        <f t="shared" si="18"/>
        <v>0.77911736928842135</v>
      </c>
      <c r="AD141" s="107">
        <f t="shared" si="18"/>
        <v>0.77887835534917793</v>
      </c>
      <c r="AE141" s="107">
        <f t="shared" si="18"/>
        <v>0.77863352898424265</v>
      </c>
      <c r="AF141" s="107">
        <f t="shared" si="18"/>
        <v>0.778380564846331</v>
      </c>
      <c r="AG141" s="107">
        <f t="shared" si="18"/>
        <v>0.77816291389006853</v>
      </c>
      <c r="AH141" s="107">
        <f t="shared" si="18"/>
        <v>0.77793823415797725</v>
      </c>
      <c r="AI141" s="107">
        <f t="shared" si="18"/>
        <v>0.77771823211390489</v>
      </c>
      <c r="AJ141" s="107">
        <f t="shared" si="18"/>
        <v>0.77750276318312861</v>
      </c>
      <c r="AK141" s="107">
        <f t="shared" si="18"/>
        <v>0.77729168868805665</v>
      </c>
      <c r="AL141" s="108"/>
      <c r="AM141" s="108"/>
      <c r="AN141" s="108"/>
      <c r="AO141" s="108"/>
      <c r="AP141" s="108"/>
      <c r="AQ141" s="108"/>
    </row>
    <row r="142" spans="1:43" ht="14.1" customHeight="1">
      <c r="A142" s="99" t="s">
        <v>1182</v>
      </c>
      <c r="B142" s="105"/>
      <c r="C142" s="105"/>
      <c r="D142" s="105"/>
      <c r="E142" s="105"/>
      <c r="F142" s="105"/>
      <c r="G142" s="105"/>
      <c r="H142" s="105"/>
      <c r="I142" s="105"/>
      <c r="J142" s="106"/>
      <c r="K142" s="109">
        <f t="shared" ref="K142:AK142" si="19">K141/K140</f>
        <v>1</v>
      </c>
      <c r="L142" s="109">
        <f t="shared" si="19"/>
        <v>1</v>
      </c>
      <c r="M142" s="109">
        <f t="shared" si="19"/>
        <v>1</v>
      </c>
      <c r="N142" s="109">
        <f t="shared" si="19"/>
        <v>1</v>
      </c>
      <c r="O142" s="109">
        <f t="shared" si="19"/>
        <v>1</v>
      </c>
      <c r="P142" s="109">
        <f t="shared" si="19"/>
        <v>1</v>
      </c>
      <c r="Q142" s="109">
        <f t="shared" si="19"/>
        <v>1.0017342624824568</v>
      </c>
      <c r="R142" s="109">
        <f t="shared" si="19"/>
        <v>1.0033876295582469</v>
      </c>
      <c r="S142" s="109">
        <f t="shared" si="19"/>
        <v>1.0055758488527042</v>
      </c>
      <c r="T142" s="109">
        <f>T141/T140</f>
        <v>1.0073375942003835</v>
      </c>
      <c r="U142" s="109">
        <f t="shared" si="19"/>
        <v>1.0096677462528618</v>
      </c>
      <c r="V142" s="109">
        <f t="shared" si="19"/>
        <v>1.0120079742251551</v>
      </c>
      <c r="W142" s="109">
        <f t="shared" si="19"/>
        <v>1.012171671059803</v>
      </c>
      <c r="X142" s="507">
        <f t="shared" si="19"/>
        <v>1.0144552470836732</v>
      </c>
      <c r="Y142" s="109">
        <f t="shared" si="19"/>
        <v>1.01689547693031</v>
      </c>
      <c r="Z142" s="109">
        <f t="shared" si="19"/>
        <v>1.0195245776244088</v>
      </c>
      <c r="AA142" s="109">
        <f t="shared" si="19"/>
        <v>1</v>
      </c>
      <c r="AB142" s="109">
        <f t="shared" si="19"/>
        <v>1</v>
      </c>
      <c r="AC142" s="109">
        <f t="shared" si="19"/>
        <v>1</v>
      </c>
      <c r="AD142" s="109">
        <f t="shared" si="19"/>
        <v>1</v>
      </c>
      <c r="AE142" s="109">
        <f t="shared" si="19"/>
        <v>1</v>
      </c>
      <c r="AF142" s="109">
        <f t="shared" si="19"/>
        <v>1</v>
      </c>
      <c r="AG142" s="109">
        <f t="shared" si="19"/>
        <v>1</v>
      </c>
      <c r="AH142" s="109">
        <f t="shared" si="19"/>
        <v>1</v>
      </c>
      <c r="AI142" s="109">
        <f t="shared" si="19"/>
        <v>1</v>
      </c>
      <c r="AJ142" s="109">
        <f t="shared" si="19"/>
        <v>1</v>
      </c>
      <c r="AK142" s="109">
        <f t="shared" si="19"/>
        <v>1</v>
      </c>
      <c r="AL142" s="711" t="s">
        <v>1350</v>
      </c>
      <c r="AM142" s="711"/>
      <c r="AN142" s="711"/>
      <c r="AO142" s="711"/>
      <c r="AP142" s="662"/>
      <c r="AQ142" s="108"/>
    </row>
    <row r="143" spans="1:43" ht="14.1" customHeight="1">
      <c r="A143" s="73"/>
      <c r="B143" s="105"/>
      <c r="C143" s="105"/>
      <c r="D143" s="105"/>
      <c r="E143" s="105"/>
      <c r="F143" s="105"/>
      <c r="G143" s="105"/>
      <c r="H143" s="105"/>
      <c r="I143" s="105"/>
      <c r="J143" s="106"/>
      <c r="K143" s="107"/>
      <c r="L143" s="107"/>
      <c r="M143" s="107"/>
      <c r="N143" s="107"/>
      <c r="O143" s="107"/>
      <c r="P143" s="107"/>
      <c r="Q143" s="107"/>
      <c r="R143" s="107"/>
      <c r="S143" s="107"/>
      <c r="T143" s="107"/>
      <c r="U143" s="107"/>
      <c r="V143" s="107"/>
      <c r="W143" s="107"/>
      <c r="X143" s="508"/>
      <c r="Y143" s="107"/>
      <c r="Z143" s="107"/>
      <c r="AA143" s="107"/>
      <c r="AB143" s="107"/>
      <c r="AC143" s="107"/>
      <c r="AD143" s="107"/>
      <c r="AE143" s="107"/>
      <c r="AF143" s="107"/>
      <c r="AG143" s="107"/>
      <c r="AH143" s="107"/>
      <c r="AI143" s="107"/>
      <c r="AJ143" s="107"/>
      <c r="AK143" s="107"/>
      <c r="AL143" s="806" t="s">
        <v>1352</v>
      </c>
      <c r="AM143" s="806"/>
      <c r="AN143" s="806"/>
      <c r="AO143" s="806"/>
      <c r="AP143" s="662"/>
      <c r="AQ143" s="108"/>
    </row>
    <row r="144" spans="1:43" ht="40.15" customHeight="1">
      <c r="A144" s="74" t="s">
        <v>445</v>
      </c>
      <c r="B144" s="48"/>
      <c r="C144" s="48"/>
      <c r="D144" s="48"/>
      <c r="E144" s="48"/>
      <c r="F144" s="48"/>
      <c r="G144" s="48"/>
      <c r="H144" s="48"/>
      <c r="I144" s="48"/>
      <c r="J144" s="68"/>
      <c r="K144" s="68"/>
      <c r="L144" s="68"/>
      <c r="M144" s="68"/>
      <c r="N144" s="68"/>
      <c r="O144" s="68"/>
      <c r="P144" s="68"/>
      <c r="Q144" s="68"/>
      <c r="R144" s="68"/>
      <c r="S144" s="68"/>
      <c r="T144" s="68"/>
      <c r="U144" s="68"/>
      <c r="V144" s="68"/>
      <c r="W144" s="68"/>
      <c r="X144" s="509"/>
      <c r="Y144" s="68"/>
      <c r="Z144" s="68"/>
      <c r="AA144" s="68"/>
      <c r="AB144" s="68"/>
      <c r="AC144" s="68"/>
      <c r="AD144" s="68"/>
      <c r="AE144" s="68"/>
      <c r="AF144" s="68"/>
      <c r="AG144" s="68"/>
      <c r="AH144" s="68"/>
      <c r="AI144" s="68"/>
      <c r="AJ144" s="68"/>
      <c r="AK144" s="68"/>
      <c r="AL144" s="806" t="s">
        <v>1349</v>
      </c>
      <c r="AM144" s="806"/>
      <c r="AN144" s="806"/>
      <c r="AO144" s="806"/>
      <c r="AP144" s="806"/>
    </row>
    <row r="145" spans="1:40" ht="14.1" customHeight="1">
      <c r="A145" s="91" t="s">
        <v>372</v>
      </c>
      <c r="B145" s="63"/>
      <c r="C145" s="63"/>
      <c r="D145" s="63"/>
      <c r="E145" s="63"/>
      <c r="F145" s="63"/>
      <c r="G145" s="63"/>
      <c r="H145" s="63"/>
      <c r="I145" s="63"/>
      <c r="J145" s="67"/>
      <c r="K145" s="67">
        <f>IF(ABS(K130)&lt;1,'Adjusted Consumption'!K108*(1+K130),0)</f>
        <v>0.15282317562040892</v>
      </c>
      <c r="L145" s="67">
        <f>IF(ABS(L130)&lt;1,'Adjusted Consumption'!L108*(1+L130),0)</f>
        <v>0.16291514609908839</v>
      </c>
      <c r="M145" s="67">
        <f>IF(ABS(M130)&lt;1,'Adjusted Consumption'!M108*(1+M130),0)</f>
        <v>0.14636250617220056</v>
      </c>
      <c r="N145" s="67">
        <f>IF(ABS(N130)&lt;1,'Adjusted Consumption'!N108*(1+N130),0)</f>
        <v>0.1304645013557737</v>
      </c>
      <c r="O145" s="67">
        <f>IF(ABS(O130)&lt;1,'Adjusted Consumption'!O108*(1+O130),0)</f>
        <v>0.12524562127556696</v>
      </c>
      <c r="P145" s="67">
        <f>IF(ABS(P130)&lt;1,'Adjusted Consumption'!P108*(1+P130),0)</f>
        <v>0.12002674119536023</v>
      </c>
      <c r="Q145" s="67">
        <f>IF(ABS(Q130)&lt;1,'Adjusted Consumption'!Q108*(1+Q130),0)</f>
        <v>0.11379124876822265</v>
      </c>
      <c r="R145" s="67">
        <f>IF(ABS(R130)&lt;1,'Adjusted Consumption'!R108*(1+R130),0)</f>
        <v>8.9893717509170135E-2</v>
      </c>
      <c r="S145" s="67">
        <f>IF(ABS(S130)&lt;1,'Adjusted Consumption'!S108*(1+S130),0)</f>
        <v>8.6734580774003756E-2</v>
      </c>
      <c r="T145" s="67">
        <f>IF(ABS(T130)&lt;1,'Adjusted Consumption'!T108*(1+T130),0)</f>
        <v>7.1658888634761803E-2</v>
      </c>
      <c r="U145" s="67">
        <f>IF(ABS(U130)&lt;1,'Adjusted Consumption'!U108*(1+U130),0)</f>
        <v>6.8459390822989241E-2</v>
      </c>
      <c r="V145" s="67">
        <f>IF(ABS(V130)&lt;1,'Adjusted Consumption'!V108*(1+V130),0)</f>
        <v>6.5292190165461381E-2</v>
      </c>
      <c r="W145" s="67">
        <f>IF(ABS(W130)&lt;1,'Adjusted Consumption'!W108*(1+W130),0)</f>
        <v>4.2197235543895317E-2</v>
      </c>
      <c r="X145" s="501">
        <f>IF(ABS(X130)&lt;1,'Adjusted Consumption'!X108*(1+X130),0)</f>
        <v>4.1039279198956127E-2</v>
      </c>
      <c r="Y145" s="67">
        <f>IF(ABS(Y130)&lt;1,'Adjusted Consumption'!Y108*(1+Y130),0)</f>
        <v>3.9953496867095491E-2</v>
      </c>
      <c r="Z145" s="67">
        <f>IF(ABS(Z130)&lt;1,'Adjusted Consumption'!Z108*(1+Z130),0)</f>
        <v>3.9046096930001245E-2</v>
      </c>
      <c r="AA145" s="67">
        <f>IF(ABS(AA130)&lt;1,'Adjusted Consumption'!AA108*(1+AA130),0)</f>
        <v>4.6754724350663281E-2</v>
      </c>
      <c r="AB145" s="67">
        <f>IF(ABS(AB130)&lt;1,'Adjusted Consumption'!AB108*(1+AB130),0)</f>
        <v>4.7130257569247602E-2</v>
      </c>
      <c r="AC145" s="67">
        <f>IF(ABS(AC130)&lt;1,'Adjusted Consumption'!AC108*(1+AC130),0)</f>
        <v>4.7710811767283687E-2</v>
      </c>
      <c r="AD145" s="67">
        <f>IF(ABS(AD130)&lt;1,'Adjusted Consumption'!AD108*(1+AD130),0)</f>
        <v>4.8308346615392163E-2</v>
      </c>
      <c r="AE145" s="67">
        <f>IF(ABS(AE130)&lt;1,'Adjusted Consumption'!AE108*(1+AE130),0)</f>
        <v>4.8920412527730495E-2</v>
      </c>
      <c r="AF145" s="67">
        <f>IF(ABS(AF130)&lt;1,'Adjusted Consumption'!AF108*(1+AF130),0)</f>
        <v>4.9552822872509603E-2</v>
      </c>
      <c r="AG145" s="67">
        <f>IF(ABS(AG130)&lt;1,'Adjusted Consumption'!AG108*(1+AG130),0)</f>
        <v>5.0096950263165817E-2</v>
      </c>
      <c r="AH145" s="67">
        <f>IF(ABS(AH130)&lt;1,'Adjusted Consumption'!AH108*(1+AH130),0)</f>
        <v>5.0658649593394153E-2</v>
      </c>
      <c r="AI145" s="67">
        <f>IF(ABS(AI130)&lt;1,'Adjusted Consumption'!AI108*(1+AI130),0)</f>
        <v>5.1208654703574739E-2</v>
      </c>
      <c r="AJ145" s="67">
        <f>IF(ABS(AJ130)&lt;1,'Adjusted Consumption'!AJ108*(1+AJ130),0)</f>
        <v>5.1747327030515503E-2</v>
      </c>
      <c r="AK145" s="67">
        <f>IF(ABS(AK130)&lt;1,'Adjusted Consumption'!AK108*(1+AK130),0)</f>
        <v>5.2275013268195412E-2</v>
      </c>
      <c r="AL145" s="709"/>
      <c r="AM145" s="709"/>
      <c r="AN145" s="709"/>
    </row>
    <row r="146" spans="1:40">
      <c r="A146" s="91" t="s">
        <v>422</v>
      </c>
      <c r="B146" s="63"/>
      <c r="C146" s="63"/>
      <c r="D146" s="63"/>
      <c r="E146" s="63"/>
      <c r="F146" s="63"/>
      <c r="G146" s="63"/>
      <c r="H146" s="63"/>
      <c r="I146" s="63"/>
      <c r="J146" s="67"/>
      <c r="K146" s="67">
        <f>'Adjusted Consumption'!K109*(1+K131)</f>
        <v>0.10344042999688234</v>
      </c>
      <c r="L146" s="67">
        <f>'Adjusted Consumption'!L109*(1+L131)</f>
        <v>0.12369074292682812</v>
      </c>
      <c r="M146" s="67">
        <f>'Adjusted Consumption'!M109*(1+M131)</f>
        <v>0.10362853446030114</v>
      </c>
      <c r="N146" s="67">
        <f>'Adjusted Consumption'!N109*(1+N131)</f>
        <v>0.10264997525083962</v>
      </c>
      <c r="O146" s="67">
        <f>'Adjusted Consumption'!O109*(1+O131)</f>
        <v>0.10318915596696725</v>
      </c>
      <c r="P146" s="67">
        <f>'Adjusted Consumption'!P109*(1+P131)</f>
        <v>0.10372833668309485</v>
      </c>
      <c r="Q146" s="67">
        <f>'Adjusted Consumption'!Q109*(1+Q131)</f>
        <v>0.10398529401984356</v>
      </c>
      <c r="R146" s="67">
        <f>'Adjusted Consumption'!R109*(1+R131)</f>
        <v>0.12013115792804678</v>
      </c>
      <c r="S146" s="67">
        <f>'Adjusted Consumption'!S109*(1+S131)</f>
        <v>0.12357374910254516</v>
      </c>
      <c r="T146" s="67">
        <f>'Adjusted Consumption'!T109*(1+T131)</f>
        <v>0.1342803590325948</v>
      </c>
      <c r="U146" s="67">
        <f>'Adjusted Consumption'!U109*(1+U131)</f>
        <v>0.13762124111062871</v>
      </c>
      <c r="V146" s="67">
        <f>'Adjusted Consumption'!V109*(1+V131)</f>
        <v>0.14093951361561025</v>
      </c>
      <c r="W146" s="67">
        <f>'Adjusted Consumption'!W109*(1+W131)</f>
        <v>0.15696033940692997</v>
      </c>
      <c r="X146" s="501">
        <f>'Adjusted Consumption'!X109*(1+X131)</f>
        <v>0.15627587796553341</v>
      </c>
      <c r="Y146" s="67">
        <f>'Adjusted Consumption'!Y109*(1+Y131)</f>
        <v>0.15544488817658617</v>
      </c>
      <c r="Z146" s="67">
        <f>'Adjusted Consumption'!Z109*(1+Z131)</f>
        <v>0.15441364468092605</v>
      </c>
      <c r="AA146" s="67">
        <f>'Adjusted Consumption'!AA109*(1+AA131)</f>
        <v>0.16154651546593748</v>
      </c>
      <c r="AB146" s="67">
        <f>'Adjusted Consumption'!AB109*(1+AB131)</f>
        <v>0.16132119553478688</v>
      </c>
      <c r="AC146" s="67">
        <f>'Adjusted Consumption'!AC109*(1+AC131)</f>
        <v>0.16097286301596525</v>
      </c>
      <c r="AD146" s="67">
        <f>'Adjusted Consumption'!AD109*(1+AD131)</f>
        <v>0.16061434210710016</v>
      </c>
      <c r="AE146" s="67">
        <f>'Adjusted Consumption'!AE109*(1+AE131)</f>
        <v>0.16024710255969715</v>
      </c>
      <c r="AF146" s="67">
        <f>'Adjusted Consumption'!AF109*(1+AF131)</f>
        <v>0.15986765635282968</v>
      </c>
      <c r="AG146" s="67">
        <f>'Adjusted Consumption'!AG109*(1+AG131)</f>
        <v>0.15954117991843597</v>
      </c>
      <c r="AH146" s="67">
        <f>'Adjusted Consumption'!AH109*(1+AH131)</f>
        <v>0.15920416032029894</v>
      </c>
      <c r="AI146" s="67">
        <f>'Adjusted Consumption'!AI109*(1+AI131)</f>
        <v>0.1588741572541906</v>
      </c>
      <c r="AJ146" s="67">
        <f>'Adjusted Consumption'!AJ109*(1+AJ131)</f>
        <v>0.15855095385802614</v>
      </c>
      <c r="AK146" s="67">
        <f>'Adjusted Consumption'!AK109*(1+AK131)</f>
        <v>0.1582343421154182</v>
      </c>
    </row>
    <row r="147" spans="1:40">
      <c r="A147" s="91" t="s">
        <v>423</v>
      </c>
      <c r="B147" s="63"/>
      <c r="C147" s="63"/>
      <c r="D147" s="63"/>
      <c r="E147" s="63"/>
      <c r="F147" s="63"/>
      <c r="G147" s="63"/>
      <c r="H147" s="63"/>
      <c r="I147" s="63"/>
      <c r="J147" s="67"/>
      <c r="K147" s="67">
        <f>'Adjusted Consumption'!K110*(1+K132)</f>
        <v>1.0333425362330444E-2</v>
      </c>
      <c r="L147" s="67">
        <f>'Adjusted Consumption'!L110*(1+L132)</f>
        <v>0.01</v>
      </c>
      <c r="M147" s="67">
        <f>'Adjusted Consumption'!M110*(1+M132)</f>
        <v>0.01</v>
      </c>
      <c r="N147" s="67">
        <f>'Adjusted Consumption'!N110*(1+N132)</f>
        <v>1.2E-2</v>
      </c>
      <c r="O147" s="67">
        <f>'Adjusted Consumption'!O110*(1+O132)</f>
        <v>1.2E-2</v>
      </c>
      <c r="P147" s="67">
        <f>'Adjusted Consumption'!P110*(1+P132)</f>
        <v>1.2000000000000002E-2</v>
      </c>
      <c r="Q147" s="67">
        <f>'Adjusted Consumption'!Q110*(1+Q132)</f>
        <v>1.1967519313425537E-2</v>
      </c>
      <c r="R147" s="67">
        <f>'Adjusted Consumption'!R110*(1+R132)</f>
        <v>1.1926399668405512E-2</v>
      </c>
      <c r="S147" s="67">
        <f>'Adjusted Consumption'!S110*(1+S132)</f>
        <v>1.1877595392515128E-2</v>
      </c>
      <c r="T147" s="67">
        <f>'Adjusted Consumption'!T110*(1+T132)</f>
        <v>1.1826016916186488E-2</v>
      </c>
      <c r="U147" s="67">
        <f>'Adjusted Consumption'!U110*(1+U132)</f>
        <v>1.1771421411673325E-2</v>
      </c>
      <c r="V147" s="67">
        <f>'Adjusted Consumption'!V110*(1+V132)</f>
        <v>1.1719421121511876E-2</v>
      </c>
      <c r="W147" s="67">
        <f>'Adjusted Consumption'!W110*(1+W132)</f>
        <v>1.1658918527287569E-2</v>
      </c>
      <c r="X147" s="501">
        <f>'Adjusted Consumption'!X110*(1+X132)</f>
        <v>1.1594481834518543E-2</v>
      </c>
      <c r="Y147" s="67">
        <f>'Adjusted Consumption'!Y110*(1+Y132)</f>
        <v>1.1523754489678325E-2</v>
      </c>
      <c r="Z147" s="67">
        <f>'Adjusted Consumption'!Z110*(1+Z132)</f>
        <v>1.1451187866560358E-2</v>
      </c>
      <c r="AA147" s="67">
        <f>'Adjusted Consumption'!AA110*(1+AA132)</f>
        <v>1.2E-2</v>
      </c>
      <c r="AB147" s="67">
        <f>'Adjusted Consumption'!AB110*(1+AB132)</f>
        <v>1.2E-2</v>
      </c>
      <c r="AC147" s="67">
        <f>'Adjusted Consumption'!AC110*(1+AC132)</f>
        <v>1.2E-2</v>
      </c>
      <c r="AD147" s="67">
        <f>'Adjusted Consumption'!AD110*(1+AD132)</f>
        <v>1.2E-2</v>
      </c>
      <c r="AE147" s="67">
        <f>'Adjusted Consumption'!AE110*(1+AE132)</f>
        <v>1.2E-2</v>
      </c>
      <c r="AF147" s="67">
        <f>'Adjusted Consumption'!AF110*(1+AF132)</f>
        <v>1.2E-2</v>
      </c>
      <c r="AG147" s="67">
        <f>'Adjusted Consumption'!AG110*(1+AG132)</f>
        <v>1.2000000000000002E-2</v>
      </c>
      <c r="AH147" s="67">
        <f>'Adjusted Consumption'!AH110*(1+AH132)</f>
        <v>1.2E-2</v>
      </c>
      <c r="AI147" s="67">
        <f>'Adjusted Consumption'!AI110*(1+AI132)</f>
        <v>1.2E-2</v>
      </c>
      <c r="AJ147" s="67">
        <f>'Adjusted Consumption'!AJ110*(1+AJ132)</f>
        <v>1.2E-2</v>
      </c>
      <c r="AK147" s="67">
        <f>'Adjusted Consumption'!AK110*(1+AK132)</f>
        <v>1.2E-2</v>
      </c>
    </row>
    <row r="148" spans="1:40">
      <c r="A148" s="91" t="s">
        <v>424</v>
      </c>
      <c r="B148" s="63"/>
      <c r="C148" s="63"/>
      <c r="D148" s="63"/>
      <c r="E148" s="63"/>
      <c r="F148" s="63"/>
      <c r="G148" s="63"/>
      <c r="H148" s="63"/>
      <c r="I148" s="63"/>
      <c r="J148" s="67"/>
      <c r="K148" s="67">
        <f>'Adjusted Consumption'!K111*(1+K133)</f>
        <v>6.5016534241318826E-4</v>
      </c>
      <c r="L148" s="67">
        <f>'Adjusted Consumption'!L111*(1+L133)</f>
        <v>5.3336649079166671E-4</v>
      </c>
      <c r="M148" s="67">
        <f>'Adjusted Consumption'!M111*(1+M133)</f>
        <v>7.0767476992851497E-4</v>
      </c>
      <c r="N148" s="67">
        <f>'Adjusted Consumption'!N111*(1+N133)</f>
        <v>5.4212500408938602E-4</v>
      </c>
      <c r="O148" s="67">
        <f>'Adjusted Consumption'!O111*(1+O133)</f>
        <v>5.0399510678275639E-4</v>
      </c>
      <c r="P148" s="67">
        <f>'Adjusted Consumption'!P111*(1+P133)</f>
        <v>4.658652094761267E-4</v>
      </c>
      <c r="Q148" s="67">
        <f>'Adjusted Consumption'!Q111*(1+Q133)</f>
        <v>4.2627640747740957E-4</v>
      </c>
      <c r="R148" s="67">
        <f>'Adjusted Consumption'!R111*(1+R133)</f>
        <v>3.8681919152406109E-4</v>
      </c>
      <c r="S148" s="67">
        <f>'Adjusted Consumption'!S111*(1+S133)</f>
        <v>3.474019410882954E-4</v>
      </c>
      <c r="T148" s="67">
        <f>'Adjusted Consumption'!T111*(1+T133)</f>
        <v>3.081488847713172E-4</v>
      </c>
      <c r="U148" s="67">
        <f>'Adjusted Consumption'!U111*(1+U133)</f>
        <v>2.6910941497349921E-4</v>
      </c>
      <c r="V148" s="67">
        <f>'Adjusted Consumption'!V111*(1+V133)</f>
        <v>2.3037373879460104E-4</v>
      </c>
      <c r="W148" s="67">
        <f>'Adjusted Consumption'!W111*(1+W133)</f>
        <v>1.9204341828070356E-4</v>
      </c>
      <c r="X148" s="501">
        <f>'Adjusted Consumption'!X111*(1+X133)</f>
        <v>1.9072939349846349E-4</v>
      </c>
      <c r="Y148" s="67">
        <f>'Adjusted Consumption'!Y111*(1+Y133)</f>
        <v>1.8941070104941821E-4</v>
      </c>
      <c r="Z148" s="67">
        <f>'Adjusted Consumption'!Z111*(1+Z133)</f>
        <v>1.879845516519338E-4</v>
      </c>
      <c r="AA148" s="67">
        <f>'Adjusted Consumption'!AA111*(1+AA133)</f>
        <v>1.9895592832970541E-4</v>
      </c>
      <c r="AB148" s="67">
        <f>'Adjusted Consumption'!AB111*(1+AB133)</f>
        <v>1.9895592832970543E-4</v>
      </c>
      <c r="AC148" s="67">
        <f>'Adjusted Consumption'!AC111*(1+AC133)</f>
        <v>1.9895592832970543E-4</v>
      </c>
      <c r="AD148" s="67">
        <f>'Adjusted Consumption'!AD111*(1+AD133)</f>
        <v>1.9895592832970546E-4</v>
      </c>
      <c r="AE148" s="67">
        <f>'Adjusted Consumption'!AE111*(1+AE133)</f>
        <v>1.9895592832970543E-4</v>
      </c>
      <c r="AF148" s="67">
        <f>'Adjusted Consumption'!AF111*(1+AF133)</f>
        <v>1.9895592832970543E-4</v>
      </c>
      <c r="AG148" s="67">
        <f>'Adjusted Consumption'!AG111*(1+AG133)</f>
        <v>1.9895592832970541E-4</v>
      </c>
      <c r="AH148" s="67">
        <f>'Adjusted Consumption'!AH111*(1+AH133)</f>
        <v>1.9895592832970543E-4</v>
      </c>
      <c r="AI148" s="67">
        <f>'Adjusted Consumption'!AI111*(1+AI133)</f>
        <v>1.9895592832970543E-4</v>
      </c>
      <c r="AJ148" s="67">
        <f>'Adjusted Consumption'!AJ111*(1+AJ133)</f>
        <v>1.9895592832970546E-4</v>
      </c>
      <c r="AK148" s="67">
        <f>'Adjusted Consumption'!AK111*(1+AK133)</f>
        <v>1.9895592832970546E-4</v>
      </c>
    </row>
    <row r="149" spans="1:40">
      <c r="A149" s="91" t="s">
        <v>425</v>
      </c>
      <c r="B149" s="63"/>
      <c r="C149" s="63"/>
      <c r="D149" s="63"/>
      <c r="E149" s="63"/>
      <c r="F149" s="63"/>
      <c r="G149" s="63"/>
      <c r="H149" s="63"/>
      <c r="I149" s="63"/>
      <c r="J149" s="67"/>
      <c r="K149" s="67">
        <f>K$142*'Adjusted Consumption'!K112</f>
        <v>5.0307799051020105E-2</v>
      </c>
      <c r="L149" s="67">
        <f>L$142*'Adjusted Consumption'!L112</f>
        <v>4.5537403932920044E-2</v>
      </c>
      <c r="M149" s="67">
        <f>M$142*'Adjusted Consumption'!M112</f>
        <v>4.9268368252782233E-2</v>
      </c>
      <c r="N149" s="67">
        <f>N$142*'Adjusted Consumption'!N112</f>
        <v>4.5451182530737655E-2</v>
      </c>
      <c r="O149" s="67">
        <f>O$142*'Adjusted Consumption'!O112</f>
        <v>4.5113950609603881E-2</v>
      </c>
      <c r="P149" s="67">
        <f>P$142*'Adjusted Consumption'!P112</f>
        <v>4.4776718688470107E-2</v>
      </c>
      <c r="Q149" s="67">
        <f>Q$142*'Adjusted Consumption'!Q112</f>
        <v>4.4516556501976556E-2</v>
      </c>
      <c r="R149" s="67">
        <f>R$142*'Adjusted Consumption'!R112</f>
        <v>4.4251656948304782E-2</v>
      </c>
      <c r="S149" s="67">
        <f>S$142*'Adjusted Consumption'!S112</f>
        <v>4.4009050077933994E-2</v>
      </c>
      <c r="T149" s="67">
        <f>T$142*'Adjusted Consumption'!T112</f>
        <v>4.3746446511340839E-2</v>
      </c>
      <c r="U149" s="67">
        <f>U$142*'Adjusted Consumption'!U112</f>
        <v>4.3507147673907488E-2</v>
      </c>
      <c r="V149" s="67">
        <f>V$142*'Adjusted Consumption'!V112</f>
        <v>4.3266708012264163E-2</v>
      </c>
      <c r="W149" s="67">
        <f>W$142*'Adjusted Consumption'!W112</f>
        <v>4.293236999944252E-2</v>
      </c>
      <c r="X149" s="501">
        <f>X$142*'Adjusted Consumption'!X112</f>
        <v>4.3029230377559992E-2</v>
      </c>
      <c r="Y149" s="67">
        <f>Y$142*'Adjusted Consumption'!Y112</f>
        <v>4.3132735399143737E-2</v>
      </c>
      <c r="Z149" s="67">
        <f>Z$142*'Adjusted Consumption'!Z112</f>
        <v>4.3244251584581582E-2</v>
      </c>
      <c r="AA149" s="67">
        <f>AA$142*'Adjusted Consumption'!AA112</f>
        <v>4.2416095240533469E-2</v>
      </c>
      <c r="AB149" s="67">
        <f>AB$142*'Adjusted Consumption'!AB112</f>
        <v>4.2416095240533469E-2</v>
      </c>
      <c r="AC149" s="67">
        <f>AC$142*'Adjusted Consumption'!AC112</f>
        <v>4.2416095240533469E-2</v>
      </c>
      <c r="AD149" s="67">
        <f>AD$142*'Adjusted Consumption'!AD112</f>
        <v>4.2416095240533469E-2</v>
      </c>
      <c r="AE149" s="67">
        <f>AE$142*'Adjusted Consumption'!AE112</f>
        <v>4.2416095240533469E-2</v>
      </c>
      <c r="AF149" s="67">
        <f>AF$142*'Adjusted Consumption'!AF112</f>
        <v>4.2416095240533469E-2</v>
      </c>
      <c r="AG149" s="67">
        <f>AG$142*'Adjusted Consumption'!AG112</f>
        <v>4.2416095240533469E-2</v>
      </c>
      <c r="AH149" s="67">
        <f>AH$142*'Adjusted Consumption'!AH112</f>
        <v>4.2416095240533469E-2</v>
      </c>
      <c r="AI149" s="67">
        <f>AI$142*'Adjusted Consumption'!AI112</f>
        <v>4.2416095240533469E-2</v>
      </c>
      <c r="AJ149" s="67">
        <f>AJ$142*'Adjusted Consumption'!AJ112</f>
        <v>4.2416095240533469E-2</v>
      </c>
      <c r="AK149" s="67">
        <f>AK$142*'Adjusted Consumption'!AK112</f>
        <v>4.2416095240533469E-2</v>
      </c>
    </row>
    <row r="150" spans="1:40">
      <c r="A150" s="91" t="s">
        <v>249</v>
      </c>
      <c r="B150" s="63"/>
      <c r="C150" s="63"/>
      <c r="D150" s="63"/>
      <c r="E150" s="63"/>
      <c r="F150" s="63"/>
      <c r="G150" s="63"/>
      <c r="H150" s="63"/>
      <c r="I150" s="63"/>
      <c r="J150" s="67"/>
      <c r="K150" s="67">
        <f>K$142*'Adjusted Consumption'!K113</f>
        <v>0.65070798217051784</v>
      </c>
      <c r="L150" s="67">
        <f>L$142*'Adjusted Consumption'!L113</f>
        <v>0.62619566318968134</v>
      </c>
      <c r="M150" s="67">
        <f>M$142*'Adjusted Consumption'!M113</f>
        <v>0.6368912385248412</v>
      </c>
      <c r="N150" s="67">
        <f>N$142*'Adjusted Consumption'!N113</f>
        <v>0.62879539363041381</v>
      </c>
      <c r="O150" s="67">
        <f>(1+(O$142-1)/4)*'Adjusted Consumption'!O113</f>
        <v>0.62362420270287033</v>
      </c>
      <c r="P150" s="67">
        <f>(1+(P$142-1)/4)*'Adjusted Consumption'!P113</f>
        <v>0.61845301177532697</v>
      </c>
      <c r="Q150" s="67">
        <f>(1+(Q$142-1)/4)*'Adjusted Consumption'!Q113</f>
        <v>0.61354771876105119</v>
      </c>
      <c r="R150" s="67">
        <f>(1+(R$142-1)/4)*'Adjusted Consumption'!R113</f>
        <v>0.61833343189583523</v>
      </c>
      <c r="S150" s="67">
        <f>(1+(S$142-1)/4)*'Adjusted Consumption'!S113</f>
        <v>0.61688216576281985</v>
      </c>
      <c r="T150" s="67">
        <f>(1+(T$142-1)/4)*'Adjusted Consumption'!T113</f>
        <v>0.61908723017062184</v>
      </c>
      <c r="U150" s="67">
        <f>(1+(U$142-1)/4)*'Adjusted Consumption'!U113</f>
        <v>0.61768770787984728</v>
      </c>
      <c r="V150" s="67">
        <f>(1+(V$142-1)/4)*'Adjusted Consumption'!V113</f>
        <v>0.61627891574120486</v>
      </c>
      <c r="W150" s="67">
        <f>(1+(W$142-1)/4)*'Adjusted Consumption'!W113</f>
        <v>0.62116389676363537</v>
      </c>
      <c r="X150" s="67">
        <f>(1+(X$142-1)/4)*'Adjusted Consumption'!X113</f>
        <v>0.62161249743202596</v>
      </c>
      <c r="Y150" s="67">
        <f>(1+(Y$142-1)/4)*'Adjusted Consumption'!Y113</f>
        <v>0.62205430087128577</v>
      </c>
      <c r="Z150" s="67">
        <f>(1+(Z$142-1)/4)*'Adjusted Consumption'!Z113</f>
        <v>0.62243385956823105</v>
      </c>
      <c r="AA150" s="67">
        <f>(1+(AA$142-1)/4)*'Adjusted Consumption'!AA113</f>
        <v>0.61927663216749773</v>
      </c>
      <c r="AB150" s="67">
        <f>(1+(AB$142-1)/4)*'Adjusted Consumption'!AB113</f>
        <v>0.61916397220192243</v>
      </c>
      <c r="AC150" s="67">
        <f>(1+(AC$142-1)/4)*'Adjusted Consumption'!AC113</f>
        <v>0.61898980594251163</v>
      </c>
      <c r="AD150" s="67">
        <f>(1+(AD$142-1)/4)*'Adjusted Consumption'!AD113</f>
        <v>0.61881054548807901</v>
      </c>
      <c r="AE150" s="67">
        <f>(1+(AE$142-1)/4)*'Adjusted Consumption'!AE113</f>
        <v>0.61862692571437761</v>
      </c>
      <c r="AF150" s="67">
        <f>(1+(AF$142-1)/4)*'Adjusted Consumption'!AF113</f>
        <v>0.61843720261094381</v>
      </c>
      <c r="AG150" s="67">
        <f>(1+(AG$142-1)/4)*'Adjusted Consumption'!AG113</f>
        <v>0.61827396439374693</v>
      </c>
      <c r="AH150" s="67">
        <f>(1+(AH$142-1)/4)*'Adjusted Consumption'!AH113</f>
        <v>0.61810545459467847</v>
      </c>
      <c r="AI150" s="67">
        <f>(1+(AI$142-1)/4)*'Adjusted Consumption'!AI113</f>
        <v>0.61794045306162426</v>
      </c>
      <c r="AJ150" s="67">
        <f>(1+(AJ$142-1)/4)*'Adjusted Consumption'!AJ113</f>
        <v>0.61777885136354205</v>
      </c>
      <c r="AK150" s="67">
        <f>(1+(AK$142-1)/4)*'Adjusted Consumption'!AK113</f>
        <v>0.6176205454922381</v>
      </c>
    </row>
    <row r="151" spans="1:40">
      <c r="A151" s="91" t="s">
        <v>426</v>
      </c>
      <c r="B151" s="63"/>
      <c r="C151" s="63"/>
      <c r="D151" s="63"/>
      <c r="E151" s="63"/>
      <c r="F151" s="63"/>
      <c r="G151" s="63"/>
      <c r="H151" s="63"/>
      <c r="I151" s="63"/>
      <c r="J151" s="67"/>
      <c r="K151" s="67">
        <f>K$142*'Adjusted Consumption'!K114</f>
        <v>3.2731184687870823E-3</v>
      </c>
      <c r="L151" s="67">
        <f>L$142*'Adjusted Consumption'!L114</f>
        <v>4.5448241558907476E-3</v>
      </c>
      <c r="M151" s="67">
        <f>M$142*'Adjusted Consumption'!M114</f>
        <v>7.7258879043987736E-3</v>
      </c>
      <c r="N151" s="67">
        <f>N$142*'Adjusted Consumption'!N114</f>
        <v>4.8352300113573485E-3</v>
      </c>
      <c r="O151" s="67">
        <f>((1+(O$142-1)/8)*O$113-O$113)+'Adjusted Consumption'!O114*O$142</f>
        <v>4.8565442090057545E-3</v>
      </c>
      <c r="P151" s="67">
        <f>((1+(P$142-1)/8)*P$113-P$113)+'Adjusted Consumption'!P114*P$142</f>
        <v>4.8778584066541536E-3</v>
      </c>
      <c r="Q151" s="67">
        <f>((1+(Q$142-1)/8)*Q$113-Q$113)+'Adjusted Consumption'!Q114*Q$142</f>
        <v>5.0406180121789091E-3</v>
      </c>
      <c r="R151" s="67">
        <f>((1+(R$142-1)/8)*R$113-R$113)+'Adjusted Consumption'!R114*R$142</f>
        <v>5.1987696019837656E-3</v>
      </c>
      <c r="S151" s="67">
        <f>((1+(S$142-1)/8)*S$113-S$113)+'Adjusted Consumption'!S114*S$142</f>
        <v>5.398712442534823E-3</v>
      </c>
      <c r="T151" s="67">
        <f>((1+(T$142-1)/8)*T$113-T$113)+'Adjusted Consumption'!T114*T$142</f>
        <v>5.5663191686370263E-3</v>
      </c>
      <c r="U151" s="67">
        <f>((1+(U$142-1)/8)*U$113-U$113)+'Adjusted Consumption'!U114*U$142</f>
        <v>5.7772738095774436E-3</v>
      </c>
      <c r="V151" s="67">
        <f>((1+(V$142-1)/8)*V$113-V$113)+'Adjusted Consumption'!V114*V$142</f>
        <v>5.9881164688532929E-3</v>
      </c>
      <c r="W151" s="67">
        <f>((1+(W$142-1)/8)*W$113-W$113)+'Adjusted Consumption'!W114*W$142</f>
        <v>6.0304537499472101E-3</v>
      </c>
      <c r="X151" s="67">
        <f>((1+(X$142-1)/8)*X$113-X$113)+'Adjusted Consumption'!X114*X$142</f>
        <v>6.2188760321173564E-3</v>
      </c>
      <c r="Y151" s="67">
        <f>((1+(Y$142-1)/8)*Y$113-Y$113)+'Adjusted Consumption'!Y114*Y$142</f>
        <v>6.4202046226794407E-3</v>
      </c>
      <c r="Z151" s="67">
        <f>((1+(Z$142-1)/8)*Z$113-Z$113)+'Adjusted Consumption'!Z114*Z$142</f>
        <v>6.6369248426658102E-3</v>
      </c>
      <c r="AA151" s="67">
        <f>((1+(AA$142-1)/8)*AA$113-AA$113)+'Adjusted Consumption'!AA114*AA$142</f>
        <v>5.027057790192975E-3</v>
      </c>
      <c r="AB151" s="67">
        <f>((1+(AB$142-1)/8)*AB$113-AB$113)+'Adjusted Consumption'!AB114*AB$142</f>
        <v>5.027057790192975E-3</v>
      </c>
      <c r="AC151" s="67">
        <f>((1+(AC$142-1)/8)*AC$113-AC$113)+'Adjusted Consumption'!AC114*AC$142</f>
        <v>5.027057790192975E-3</v>
      </c>
      <c r="AD151" s="67">
        <f>((1+(AD$142-1)/8)*AD$113-AD$113)+'Adjusted Consumption'!AD114*AD$142</f>
        <v>5.027057790192975E-3</v>
      </c>
      <c r="AE151" s="67">
        <f>((1+(AE$142-1)/8)*AE$113-AE$113)+'Adjusted Consumption'!AE114*AE$142</f>
        <v>5.027057790192975E-3</v>
      </c>
      <c r="AF151" s="67">
        <f>((1+(AF$142-1)/8)*AF$113-AF$113)+'Adjusted Consumption'!AF114*AF$142</f>
        <v>5.027057790192975E-3</v>
      </c>
      <c r="AG151" s="67">
        <f>((1+(AG$142-1)/8)*AG$113-AG$113)+'Adjusted Consumption'!AG114*AG$142</f>
        <v>5.027057790192975E-3</v>
      </c>
      <c r="AH151" s="67">
        <f>((1+(AH$142-1)/8)*AH$113-AH$113)+'Adjusted Consumption'!AH114*AH$142</f>
        <v>5.027057790192975E-3</v>
      </c>
      <c r="AI151" s="67">
        <f>((1+(AI$142-1)/8)*AI$113-AI$113)+'Adjusted Consumption'!AI114*AI$142</f>
        <v>5.027057790192975E-3</v>
      </c>
      <c r="AJ151" s="67">
        <f>((1+(AJ$142-1)/8)*AJ$113-AJ$113)+'Adjusted Consumption'!AJ114*AJ$142</f>
        <v>5.027057790192975E-3</v>
      </c>
      <c r="AK151" s="67">
        <f>((1+(AK$142-1)/8)*AK$113-AK$113)+'Adjusted Consumption'!AK114*AK$142</f>
        <v>5.027057790192975E-3</v>
      </c>
    </row>
    <row r="152" spans="1:40">
      <c r="A152" s="91" t="s">
        <v>427</v>
      </c>
      <c r="B152" s="63"/>
      <c r="C152" s="63"/>
      <c r="D152" s="63"/>
      <c r="E152" s="63"/>
      <c r="F152" s="63"/>
      <c r="G152" s="63"/>
      <c r="H152" s="63"/>
      <c r="I152" s="63"/>
      <c r="J152" s="67"/>
      <c r="K152" s="67">
        <f>K$142*'Adjusted Consumption'!K115</f>
        <v>1.9514548124748826E-4</v>
      </c>
      <c r="L152" s="67">
        <f>L$142*'Adjusted Consumption'!L115</f>
        <v>1.8211768711012905E-4</v>
      </c>
      <c r="M152" s="67">
        <f>M$142*'Adjusted Consumption'!M115</f>
        <v>0</v>
      </c>
      <c r="N152" s="67">
        <f>N$142*'Adjusted Consumption'!N115</f>
        <v>1.2136714791051786E-4</v>
      </c>
      <c r="O152" s="67">
        <f>O$142*'Adjusted Consumption'!O115</f>
        <v>1.1309220903786554E-4</v>
      </c>
      <c r="P152" s="67">
        <f>P$142*'Adjusted Consumption'!P115</f>
        <v>1.0481727016521322E-4</v>
      </c>
      <c r="Q152" s="67">
        <f>Q$142*'Adjusted Consumption'!Q115</f>
        <v>9.6709761035690506E-5</v>
      </c>
      <c r="R152" s="67">
        <f>R$142*'Adjusted Consumption'!R115</f>
        <v>8.856640964749616E-5</v>
      </c>
      <c r="S152" s="67">
        <f>S$142*'Adjusted Consumption'!S115</f>
        <v>8.0438479377589238E-5</v>
      </c>
      <c r="T152" s="67">
        <f>T$142*'Adjusted Consumption'!T115</f>
        <v>7.2243748694342735E-5</v>
      </c>
      <c r="U152" s="67">
        <f>U$142*'Adjusted Consumption'!U115</f>
        <v>6.4055922526429335E-5</v>
      </c>
      <c r="V152" s="67">
        <f>V$142*'Adjusted Consumption'!V115</f>
        <v>5.5830088491605529E-5</v>
      </c>
      <c r="W152" s="67">
        <f>W$142*'Adjusted Consumption'!W115</f>
        <v>4.7463460552495632E-5</v>
      </c>
      <c r="X152" s="67">
        <f>X$142*'Adjusted Consumption'!X115</f>
        <v>4.7570543593472366E-5</v>
      </c>
      <c r="Y152" s="67">
        <f>Y$142*'Adjusted Consumption'!Y115</f>
        <v>4.7684972554859522E-5</v>
      </c>
      <c r="Z152" s="67">
        <f>Z$142*'Adjusted Consumption'!Z115</f>
        <v>4.7808258179868408E-5</v>
      </c>
      <c r="AA152" s="67">
        <f>AA$142*'Adjusted Consumption'!AA115</f>
        <v>4.6892698056643506E-5</v>
      </c>
      <c r="AB152" s="67">
        <f>AB$142*'Adjusted Consumption'!AB115</f>
        <v>4.6892698056643506E-5</v>
      </c>
      <c r="AC152" s="67">
        <f>AC$142*'Adjusted Consumption'!AC115</f>
        <v>4.6892698056643506E-5</v>
      </c>
      <c r="AD152" s="67">
        <f>AD$142*'Adjusted Consumption'!AD115</f>
        <v>4.6892698056643506E-5</v>
      </c>
      <c r="AE152" s="67">
        <f>AE$142*'Adjusted Consumption'!AE115</f>
        <v>4.6892698056643506E-5</v>
      </c>
      <c r="AF152" s="67">
        <f>AF$142*'Adjusted Consumption'!AF115</f>
        <v>4.6892698056643513E-5</v>
      </c>
      <c r="AG152" s="67">
        <f>AG$142*'Adjusted Consumption'!AG115</f>
        <v>4.6892698056643506E-5</v>
      </c>
      <c r="AH152" s="67">
        <f>AH$142*'Adjusted Consumption'!AH115</f>
        <v>4.6892698056643506E-5</v>
      </c>
      <c r="AI152" s="67">
        <f>AI$142*'Adjusted Consumption'!AI115</f>
        <v>4.6892698056643506E-5</v>
      </c>
      <c r="AJ152" s="67">
        <f>AJ$142*'Adjusted Consumption'!AJ115</f>
        <v>4.6892698056643506E-5</v>
      </c>
      <c r="AK152" s="67">
        <f>AK$142*'Adjusted Consumption'!AK115</f>
        <v>4.6892698056643506E-5</v>
      </c>
    </row>
    <row r="153" spans="1:40">
      <c r="A153" s="91" t="s">
        <v>428</v>
      </c>
      <c r="B153" s="63"/>
      <c r="C153" s="63"/>
      <c r="D153" s="63"/>
      <c r="E153" s="63"/>
      <c r="F153" s="63"/>
      <c r="G153" s="63"/>
      <c r="H153" s="63"/>
      <c r="I153" s="63"/>
      <c r="J153" s="67"/>
      <c r="K153" s="67">
        <f>K$142*'Adjusted Consumption'!K116</f>
        <v>2.4183320142269059E-2</v>
      </c>
      <c r="L153" s="67">
        <f>L$142*'Adjusted Consumption'!L116</f>
        <v>2.2973118738727968E-2</v>
      </c>
      <c r="M153" s="67">
        <f>M$142*'Adjusted Consumption'!M116</f>
        <v>4.1865729735520045E-2</v>
      </c>
      <c r="N153" s="67">
        <f>N$142*'Adjusted Consumption'!N116</f>
        <v>7.0000000000000007E-2</v>
      </c>
      <c r="O153" s="67">
        <f>((1+(O$142-1)/2)*O$113-O$113)+'Adjusted Consumption'!O116*O$142</f>
        <v>0.08</v>
      </c>
      <c r="P153" s="67">
        <f>((1+(P$142-1)/2)*P$113-P$113)+'Adjusted Consumption'!P116*P$142</f>
        <v>0.09</v>
      </c>
      <c r="Q153" s="67">
        <f>((1+(Q$142-1)/2)*Q$113-Q$113)+'Adjusted Consumption'!Q116*Q$142</f>
        <v>0.1007052220747803</v>
      </c>
      <c r="R153" s="67">
        <f>((1+(R$142-1)/2)*R$113-R$113)+'Adjusted Consumption'!R116*R$142</f>
        <v>0.102449853523188</v>
      </c>
      <c r="S153" s="67">
        <f>((1+(S$142-1)/2)*S$113-S$113)+'Adjusted Consumption'!S116*S$142</f>
        <v>0.10335053318921388</v>
      </c>
      <c r="T153" s="67">
        <f>((1+(T$142-1)/2)*T$113-T$113)+'Adjusted Consumption'!T116*T$142</f>
        <v>0.10471093020609705</v>
      </c>
      <c r="U153" s="67">
        <f>((1+(U$142-1)/2)*U$113-U$113)+'Adjusted Consumption'!U116*U$142</f>
        <v>0.10567327839682224</v>
      </c>
      <c r="V153" s="67">
        <f>((1+(V$142-1)/2)*V$113-V$113)+'Adjusted Consumption'!V116*V$142</f>
        <v>0.10663419348722095</v>
      </c>
      <c r="W153" s="67">
        <f>((1+(W$142-1)/2)*W$113-W$113)+'Adjusted Consumption'!W116*W$142</f>
        <v>0.10785800438220448</v>
      </c>
      <c r="X153" s="67">
        <f>((1+(X$142-1)/2)*X$113-X$113)+'Adjusted Consumption'!X116*X$142</f>
        <v>0.10881662610751636</v>
      </c>
      <c r="Y153" s="67">
        <f>((1+(Y$142-1)/2)*Y$113-Y$113)+'Adjusted Consumption'!Y116*Y$142</f>
        <v>0.10983465009691482</v>
      </c>
      <c r="Z153" s="67">
        <f>((1+(Z$142-1)/2)*Z$113-Z$113)+'Adjusted Consumption'!Z116*Z$142</f>
        <v>0.11091443981265142</v>
      </c>
      <c r="AA153" s="67">
        <f>((1+(AA$142-1)/2)*AA$113-AA$113)+'Adjusted Consumption'!AA116*AA$142</f>
        <v>0.10283699281416242</v>
      </c>
      <c r="AB153" s="67">
        <f>((1+(AB$142-1)/2)*AB$113-AB$113)+'Adjusted Consumption'!AB116*AB$142</f>
        <v>0.10281821615323319</v>
      </c>
      <c r="AC153" s="67">
        <f>((1+(AC$142-1)/2)*AC$113-AC$113)+'Adjusted Consumption'!AC116*AC$142</f>
        <v>0.1027891884433314</v>
      </c>
      <c r="AD153" s="67">
        <f>((1+(AD$142-1)/2)*AD$113-AD$113)+'Adjusted Consumption'!AD116*AD$142</f>
        <v>0.10275931170092596</v>
      </c>
      <c r="AE153" s="67">
        <f>((1+(AE$142-1)/2)*AE$113-AE$113)+'Adjusted Consumption'!AE116*AE$142</f>
        <v>0.10272870840530905</v>
      </c>
      <c r="AF153" s="67">
        <f>((1+(AF$142-1)/2)*AF$113-AF$113)+'Adjusted Consumption'!AF116*AF$142</f>
        <v>0.1026970878880701</v>
      </c>
      <c r="AG153" s="67">
        <f>((1+(AG$142-1)/2)*AG$113-AG$113)+'Adjusted Consumption'!AG116*AG$142</f>
        <v>0.10266988151853729</v>
      </c>
      <c r="AH153" s="67">
        <f>((1+(AH$142-1)/2)*AH$113-AH$113)+'Adjusted Consumption'!AH116*AH$142</f>
        <v>0.10264179655202588</v>
      </c>
      <c r="AI153" s="67">
        <f>((1+(AI$142-1)/2)*AI$113-AI$113)+'Adjusted Consumption'!AI116*AI$142</f>
        <v>0.10261429629651683</v>
      </c>
      <c r="AJ153" s="67">
        <f>((1+(AJ$142-1)/2)*AJ$113-AJ$113)+'Adjusted Consumption'!AJ116*AJ$142</f>
        <v>0.1025873626801698</v>
      </c>
      <c r="AK153" s="67">
        <f>((1+(AK$142-1)/2)*AK$113-AK$113)+'Adjusted Consumption'!AK116*AK$142</f>
        <v>0.10256097836828582</v>
      </c>
    </row>
    <row r="154" spans="1:40">
      <c r="A154" s="91" t="s">
        <v>255</v>
      </c>
      <c r="B154" s="63"/>
      <c r="C154" s="63"/>
      <c r="D154" s="63"/>
      <c r="E154" s="63"/>
      <c r="F154" s="63"/>
      <c r="G154" s="63"/>
      <c r="H154" s="63"/>
      <c r="I154" s="63"/>
      <c r="J154" s="67"/>
      <c r="K154" s="67">
        <f>K$142*'Adjusted Consumption'!K117</f>
        <v>7.210500781061232E-5</v>
      </c>
      <c r="L154" s="67">
        <f>L$142*'Adjusted Consumption'!L117</f>
        <v>9.9714670213174158E-5</v>
      </c>
      <c r="M154" s="67">
        <f>M$142*'Adjusted Consumption'!M117</f>
        <v>3.9918766510800903E-5</v>
      </c>
      <c r="N154" s="67">
        <f>N$142*'Adjusted Consumption'!N117</f>
        <v>7.4284700847183222E-5</v>
      </c>
      <c r="O154" s="67">
        <f>((1+(O$142-1)/8)*O$113-O$113)+'Adjusted Consumption'!O117*O$142</f>
        <v>8.3313498033244643E-5</v>
      </c>
      <c r="P154" s="67">
        <f>((1+(P$142-1)/8)*P$113-P$113)+'Adjusted Consumption'!P117*P$142</f>
        <v>9.2342295219306064E-5</v>
      </c>
      <c r="Q154" s="67">
        <f>((1+(Q$142-1)/8)*Q$113-Q$113)+'Adjusted Consumption'!Q117*Q$142</f>
        <v>2.3449585312136252E-4</v>
      </c>
      <c r="R154" s="67">
        <f>((1+(R$142-1)/8)*R$113-R$113)+'Adjusted Consumption'!R117*R$142</f>
        <v>1.4370224103791634E-3</v>
      </c>
      <c r="S154" s="67">
        <f>((1+(S$142-1)/8)*S$113-S$113)+'Adjusted Consumption'!S117*S$142</f>
        <v>1.6249727845224396E-3</v>
      </c>
      <c r="T154" s="67">
        <f>((1+(T$142-1)/8)*T$113-T$113)+'Adjusted Consumption'!T117*T$142</f>
        <v>2.4062109006051675E-3</v>
      </c>
      <c r="U154" s="67">
        <f>((1+(U$142-1)/8)*U$113-U$113)+'Adjusted Consumption'!U117*U$142</f>
        <v>2.6113505869367472E-3</v>
      </c>
      <c r="V154" s="67">
        <f>((1+(V$142-1)/8)*V$113-V$113)+'Adjusted Consumption'!V117*V$142</f>
        <v>2.8148783835098782E-3</v>
      </c>
      <c r="W154" s="67">
        <f>((1+(W$142-1)/8)*W$113-W$113)+'Adjusted Consumption'!W117*W$142</f>
        <v>3.9716495828341913E-3</v>
      </c>
      <c r="X154" s="67">
        <f>((1+(X$142-1)/8)*X$113-X$113)+'Adjusted Consumption'!X117*X$142</f>
        <v>4.1714410614339774E-3</v>
      </c>
      <c r="Y154" s="67">
        <f>((1+(Y$142-1)/8)*Y$113-Y$113)+'Adjusted Consumption'!Y117*Y$142</f>
        <v>4.3786373866713029E-3</v>
      </c>
      <c r="Z154" s="67">
        <f>((1+(Z$142-1)/8)*Z$113-Z$113)+'Adjusted Consumption'!Z117*Z$142</f>
        <v>4.5854152369267558E-3</v>
      </c>
      <c r="AA154" s="67">
        <f>((1+(AA$142-1)/8)*AA$113-AA$113)+'Adjusted Consumption'!AA117*AA$142</f>
        <v>2.9925366896841588E-3</v>
      </c>
      <c r="AB154" s="67">
        <f>((1+(AB$142-1)/8)*AB$113-AB$113)+'Adjusted Consumption'!AB117*AB$142</f>
        <v>2.9737600287549422E-3</v>
      </c>
      <c r="AC154" s="67">
        <f>((1+(AC$142-1)/8)*AC$113-AC$113)+'Adjusted Consumption'!AC117*AC$142</f>
        <v>2.9447323188531386E-3</v>
      </c>
      <c r="AD154" s="67">
        <f>((1+(AD$142-1)/8)*AD$113-AD$113)+'Adjusted Consumption'!AD117*AD$142</f>
        <v>2.9148555764477147E-3</v>
      </c>
      <c r="AE154" s="67">
        <f>((1+(AE$142-1)/8)*AE$113-AE$113)+'Adjusted Consumption'!AE117*AE$142</f>
        <v>2.8842522808307982E-3</v>
      </c>
      <c r="AF154" s="67">
        <f>((1+(AF$142-1)/8)*AF$113-AF$113)+'Adjusted Consumption'!AF117*AF$142</f>
        <v>2.8526317635918421E-3</v>
      </c>
      <c r="AG154" s="67">
        <f>((1+(AG$142-1)/8)*AG$113-AG$113)+'Adjusted Consumption'!AG117*AG$142</f>
        <v>2.8254253940590318E-3</v>
      </c>
      <c r="AH154" s="67">
        <f>((1+(AH$142-1)/8)*AH$113-AH$113)+'Adjusted Consumption'!AH117*AH$142</f>
        <v>2.7973404275476147E-3</v>
      </c>
      <c r="AI154" s="67">
        <f>((1+(AI$142-1)/8)*AI$113-AI$113)+'Adjusted Consumption'!AI117*AI$142</f>
        <v>2.7698401720385856E-3</v>
      </c>
      <c r="AJ154" s="67">
        <f>((1+(AJ$142-1)/8)*AJ$113-AJ$113)+'Adjusted Consumption'!AJ117*AJ$142</f>
        <v>2.7429065556915477E-3</v>
      </c>
      <c r="AK154" s="67">
        <f>((1+(AK$142-1)/8)*AK$113-AK$113)+'Adjusted Consumption'!AK117*AK$142</f>
        <v>2.7165222438075517E-3</v>
      </c>
    </row>
    <row r="155" spans="1:40">
      <c r="A155" s="91" t="s">
        <v>374</v>
      </c>
      <c r="B155" s="63"/>
      <c r="C155" s="63"/>
      <c r="D155" s="63"/>
      <c r="E155" s="63"/>
      <c r="F155" s="63"/>
      <c r="G155" s="63"/>
      <c r="H155" s="63"/>
      <c r="I155" s="63"/>
      <c r="J155" s="67"/>
      <c r="K155" s="67">
        <f>K$142*'Adjusted Consumption'!K118</f>
        <v>1.1378056921532269E-3</v>
      </c>
      <c r="L155" s="67">
        <f>L$142*'Adjusted Consumption'!L118</f>
        <v>1.5073479589894747E-3</v>
      </c>
      <c r="M155" s="67">
        <f>M$142*'Adjusted Consumption'!M118</f>
        <v>1.6943692538730867E-3</v>
      </c>
      <c r="N155" s="67">
        <f>N$142*'Adjusted Consumption'!N118</f>
        <v>1.6181499147558953E-3</v>
      </c>
      <c r="O155" s="67">
        <f>O$142*'Adjusted Consumption'!O118</f>
        <v>1.7728238744741387E-3</v>
      </c>
      <c r="P155" s="67">
        <f>P$142*'Adjusted Consumption'!P118</f>
        <v>1.9274978341923821E-3</v>
      </c>
      <c r="Q155" s="67">
        <f>Q$142*'Adjusted Consumption'!Q118</f>
        <v>2.0857828263348343E-3</v>
      </c>
      <c r="R155" s="67">
        <f>R$142*'Adjusted Consumption'!R118</f>
        <v>2.2444233584211011E-3</v>
      </c>
      <c r="S155" s="67">
        <f>S$142*'Adjusted Consumption'!S118</f>
        <v>2.4048544657969983E-3</v>
      </c>
      <c r="T155" s="67">
        <f>T$142*'Adjusted Consumption'!T118</f>
        <v>2.5648766089938933E-3</v>
      </c>
      <c r="U155" s="67">
        <f>U$142*'Adjusted Consumption'!U118</f>
        <v>2.7269789357199183E-3</v>
      </c>
      <c r="V155" s="67">
        <f>V$142*'Adjusted Consumption'!V118</f>
        <v>2.8898308623434626E-3</v>
      </c>
      <c r="W155" s="67">
        <f>W$142*'Adjusted Consumption'!W118</f>
        <v>3.0468549057408117E-3</v>
      </c>
      <c r="X155" s="501">
        <f>X$142*'Adjusted Consumption'!X118</f>
        <v>3.0537289618025429E-3</v>
      </c>
      <c r="Y155" s="67">
        <f>Y$142*'Adjusted Consumption'!Y118</f>
        <v>3.0610745796378807E-3</v>
      </c>
      <c r="Z155" s="67">
        <f>Z$142*'Adjusted Consumption'!Z118</f>
        <v>3.0689887394356095E-3</v>
      </c>
      <c r="AA155" s="67">
        <f>AA$142*'Adjusted Consumption'!AA118</f>
        <v>3.0102155522200857E-3</v>
      </c>
      <c r="AB155" s="67">
        <f>AB$142*'Adjusted Consumption'!AB118</f>
        <v>3.0102155522200857E-3</v>
      </c>
      <c r="AC155" s="67">
        <f>AC$142*'Adjusted Consumption'!AC118</f>
        <v>3.0102155522200857E-3</v>
      </c>
      <c r="AD155" s="67">
        <f>AD$142*'Adjusted Consumption'!AD118</f>
        <v>3.0102155522200857E-3</v>
      </c>
      <c r="AE155" s="67">
        <f>AE$142*'Adjusted Consumption'!AE118</f>
        <v>3.0102155522200857E-3</v>
      </c>
      <c r="AF155" s="67">
        <f>AF$142*'Adjusted Consumption'!AF118</f>
        <v>3.0102155522200857E-3</v>
      </c>
      <c r="AG155" s="67">
        <f>AG$142*'Adjusted Consumption'!AG118</f>
        <v>3.0102155522200857E-3</v>
      </c>
      <c r="AH155" s="67">
        <f>AH$142*'Adjusted Consumption'!AH118</f>
        <v>3.0102155522200857E-3</v>
      </c>
      <c r="AI155" s="67">
        <f>AI$142*'Adjusted Consumption'!AI118</f>
        <v>3.0102155522200857E-3</v>
      </c>
      <c r="AJ155" s="67">
        <f>AJ$142*'Adjusted Consumption'!AJ118</f>
        <v>3.0102155522200853E-3</v>
      </c>
      <c r="AK155" s="67">
        <f>AK$142*'Adjusted Consumption'!AK118</f>
        <v>3.0102155522200853E-3</v>
      </c>
    </row>
    <row r="156" spans="1:40">
      <c r="A156" s="91" t="s">
        <v>373</v>
      </c>
      <c r="B156" s="63"/>
      <c r="C156" s="63"/>
      <c r="D156" s="63"/>
      <c r="E156" s="63"/>
      <c r="F156" s="63"/>
      <c r="G156" s="63"/>
      <c r="H156" s="63"/>
      <c r="I156" s="63"/>
      <c r="J156" s="67"/>
      <c r="K156" s="67">
        <f>K$142*'Adjusted Consumption'!K119</f>
        <v>2.2222026885845405E-3</v>
      </c>
      <c r="L156" s="67">
        <f>L$142*'Adjusted Consumption'!L119</f>
        <v>1.2535607064825711E-3</v>
      </c>
      <c r="M156" s="67">
        <f>M$142*'Adjusted Consumption'!M119</f>
        <v>1.2658171108505154E-3</v>
      </c>
      <c r="N156" s="67">
        <f>N$142*'Adjusted Consumption'!N119</f>
        <v>2.7842448602387157E-3</v>
      </c>
      <c r="O156" s="67">
        <f>O$142*'Adjusted Consumption'!O119</f>
        <v>2.7842448602387157E-3</v>
      </c>
      <c r="P156" s="67">
        <f>P$142*'Adjusted Consumption'!P119</f>
        <v>2.7842448602387157E-3</v>
      </c>
      <c r="Q156" s="67">
        <f>Q$142*'Adjusted Consumption'!Q119</f>
        <v>2.7890734716418007E-3</v>
      </c>
      <c r="R156" s="67">
        <f>R$142*'Adjusted Consumption'!R119</f>
        <v>2.7936768504246575E-3</v>
      </c>
      <c r="S156" s="67">
        <f>S$142*'Adjusted Consumption'!S119</f>
        <v>2.7997693887483253E-3</v>
      </c>
      <c r="T156" s="67">
        <f>T$142*'Adjusted Consumption'!T119</f>
        <v>2.804674519177651E-3</v>
      </c>
      <c r="U156" s="67">
        <f>U$142*'Adjusted Consumption'!U119</f>
        <v>2.8111622330533382E-3</v>
      </c>
      <c r="V156" s="67">
        <f>V$142*'Adjusted Consumption'!V119</f>
        <v>2.8176780007569827E-3</v>
      </c>
      <c r="W156" s="67">
        <f>W$142*'Adjusted Consumption'!W119</f>
        <v>2.8181337728274886E-3</v>
      </c>
      <c r="X156" s="501">
        <f>X$142*'Adjusted Consumption'!X119</f>
        <v>2.8244918076349135E-3</v>
      </c>
      <c r="Y156" s="67">
        <f>Y$142*'Adjusted Consumption'!Y119</f>
        <v>2.8312860050432134E-3</v>
      </c>
      <c r="Z156" s="67">
        <f>Z$142*'Adjusted Consumption'!Z119</f>
        <v>2.8386060651378079E-3</v>
      </c>
      <c r="AA156" s="67">
        <f>AA$142*'Adjusted Consumption'!AA119</f>
        <v>2.7842448602387157E-3</v>
      </c>
      <c r="AB156" s="67">
        <f>AB$142*'Adjusted Consumption'!AB119</f>
        <v>2.7842448602387157E-3</v>
      </c>
      <c r="AC156" s="67">
        <f>AC$142*'Adjusted Consumption'!AC119</f>
        <v>2.7842448602387157E-3</v>
      </c>
      <c r="AD156" s="67">
        <f>AD$142*'Adjusted Consumption'!AD119</f>
        <v>2.7842448602387157E-3</v>
      </c>
      <c r="AE156" s="67">
        <f>AE$142*'Adjusted Consumption'!AE119</f>
        <v>2.7842448602387157E-3</v>
      </c>
      <c r="AF156" s="67">
        <f>AF$142*'Adjusted Consumption'!AF119</f>
        <v>2.7842448602387157E-3</v>
      </c>
      <c r="AG156" s="67">
        <f>AG$142*'Adjusted Consumption'!AG119</f>
        <v>2.7842448602387157E-3</v>
      </c>
      <c r="AH156" s="67">
        <f>AH$142*'Adjusted Consumption'!AH119</f>
        <v>2.7842448602387157E-3</v>
      </c>
      <c r="AI156" s="67">
        <f>AI$142*'Adjusted Consumption'!AI119</f>
        <v>2.7842448602387157E-3</v>
      </c>
      <c r="AJ156" s="67">
        <f>AJ$142*'Adjusted Consumption'!AJ119</f>
        <v>2.7842448602387157E-3</v>
      </c>
      <c r="AK156" s="67">
        <f>AK$142*'Adjusted Consumption'!AK119</f>
        <v>2.7842448602387157E-3</v>
      </c>
    </row>
    <row r="157" spans="1:40">
      <c r="A157" s="91" t="s">
        <v>375</v>
      </c>
      <c r="B157" s="63"/>
      <c r="C157" s="63"/>
      <c r="D157" s="63"/>
      <c r="E157" s="63"/>
      <c r="F157" s="63"/>
      <c r="G157" s="63"/>
      <c r="H157" s="63"/>
      <c r="I157" s="63"/>
      <c r="J157" s="67"/>
      <c r="K157" s="67">
        <f>K$142*'Adjusted Consumption'!K120</f>
        <v>6.5332497557503129E-4</v>
      </c>
      <c r="L157" s="67">
        <f>L$142*'Adjusted Consumption'!L120</f>
        <v>5.6699344327640919E-4</v>
      </c>
      <c r="M157" s="67">
        <f>M$142*'Adjusted Consumption'!M120</f>
        <v>5.4995504879317369E-4</v>
      </c>
      <c r="N157" s="67">
        <f>N$142*'Adjusted Consumption'!N120</f>
        <v>6.6354559303624661E-4</v>
      </c>
      <c r="O157" s="67">
        <f>O$142*'Adjusted Consumption'!O120</f>
        <v>7.1305568741927838E-4</v>
      </c>
      <c r="P157" s="67">
        <f>P$142*'Adjusted Consumption'!P120</f>
        <v>7.6256578180232404E-4</v>
      </c>
      <c r="Q157" s="67">
        <f>Q$142*'Adjusted Consumption'!Q120</f>
        <v>8.1348422891033226E-4</v>
      </c>
      <c r="R157" s="67">
        <f>R$142*'Adjusted Consumption'!R120</f>
        <v>8.6450470466926986E-4</v>
      </c>
      <c r="S157" s="67">
        <f>S$142*'Adjusted Consumption'!S120</f>
        <v>9.16176198899896E-4</v>
      </c>
      <c r="T157" s="67">
        <f>T$142*'Adjusted Consumption'!T120</f>
        <v>9.6765469751806422E-4</v>
      </c>
      <c r="U157" s="67">
        <f>U$142*'Adjusted Consumption'!U120</f>
        <v>1.0198818013443429E-3</v>
      </c>
      <c r="V157" s="67">
        <f>V$142*'Adjusted Consumption'!V120</f>
        <v>1.0723503139768431E-3</v>
      </c>
      <c r="W157" s="67">
        <f>W$142*'Adjusted Consumption'!W120</f>
        <v>1.1226364864219385E-3</v>
      </c>
      <c r="X157" s="501">
        <f>X$142*'Adjusted Consumption'!X120</f>
        <v>1.1251692838091945E-3</v>
      </c>
      <c r="Y157" s="67">
        <f>Y$142*'Adjusted Consumption'!Y120</f>
        <v>1.1278758316601357E-3</v>
      </c>
      <c r="Z157" s="67">
        <f>Z$142*'Adjusted Consumption'!Z120</f>
        <v>1.1307918630509197E-3</v>
      </c>
      <c r="AA157" s="67">
        <f>AA$142*'Adjusted Consumption'!AA120</f>
        <v>1.1091364424835881E-3</v>
      </c>
      <c r="AB157" s="67">
        <f>AB$142*'Adjusted Consumption'!AB120</f>
        <v>1.1091364424835881E-3</v>
      </c>
      <c r="AC157" s="67">
        <f>AC$142*'Adjusted Consumption'!AC120</f>
        <v>1.1091364424835881E-3</v>
      </c>
      <c r="AD157" s="67">
        <f>AD$142*'Adjusted Consumption'!AD120</f>
        <v>1.1091364424835881E-3</v>
      </c>
      <c r="AE157" s="67">
        <f>AE$142*'Adjusted Consumption'!AE120</f>
        <v>1.1091364424835881E-3</v>
      </c>
      <c r="AF157" s="67">
        <f>AF$142*'Adjusted Consumption'!AF120</f>
        <v>1.1091364424835881E-3</v>
      </c>
      <c r="AG157" s="67">
        <f>AG$142*'Adjusted Consumption'!AG120</f>
        <v>1.1091364424835881E-3</v>
      </c>
      <c r="AH157" s="67">
        <f>AH$142*'Adjusted Consumption'!AH120</f>
        <v>1.1091364424835881E-3</v>
      </c>
      <c r="AI157" s="67">
        <f>AI$142*'Adjusted Consumption'!AI120</f>
        <v>1.1091364424835881E-3</v>
      </c>
      <c r="AJ157" s="67">
        <f>AJ$142*'Adjusted Consumption'!AJ120</f>
        <v>1.1091364424835881E-3</v>
      </c>
      <c r="AK157" s="67">
        <f>AK$142*'Adjusted Consumption'!AK120</f>
        <v>1.1091364424835881E-3</v>
      </c>
    </row>
    <row r="158" spans="1:40">
      <c r="A158" s="6" t="s">
        <v>42</v>
      </c>
      <c r="B158" s="63"/>
      <c r="C158" s="63"/>
      <c r="D158" s="63"/>
      <c r="E158" s="63"/>
      <c r="F158" s="63"/>
      <c r="G158" s="63"/>
      <c r="H158" s="63"/>
      <c r="I158" s="63"/>
      <c r="J158" s="67"/>
      <c r="K158" s="119">
        <f t="shared" ref="K158:AJ158" si="20">SUM(K145:K157)</f>
        <v>1</v>
      </c>
      <c r="L158" s="119">
        <f t="shared" si="20"/>
        <v>1</v>
      </c>
      <c r="M158" s="119">
        <f t="shared" si="20"/>
        <v>1</v>
      </c>
      <c r="N158" s="119">
        <f>SUM(N145:N157)</f>
        <v>1.0000000000000002</v>
      </c>
      <c r="O158" s="119">
        <f t="shared" si="20"/>
        <v>1</v>
      </c>
      <c r="P158" s="119">
        <f t="shared" si="20"/>
        <v>1.0000000000000002</v>
      </c>
      <c r="Q158" s="119">
        <f t="shared" si="20"/>
        <v>1.0000000000000002</v>
      </c>
      <c r="R158" s="119">
        <f t="shared" si="20"/>
        <v>0.99999999999999989</v>
      </c>
      <c r="S158" s="119">
        <f t="shared" si="20"/>
        <v>1.0000000000000002</v>
      </c>
      <c r="T158" s="119">
        <f t="shared" si="20"/>
        <v>1.0000000000000002</v>
      </c>
      <c r="U158" s="119">
        <f t="shared" si="20"/>
        <v>1.0000000000000002</v>
      </c>
      <c r="V158" s="119">
        <f t="shared" si="20"/>
        <v>1.0000000000000002</v>
      </c>
      <c r="W158" s="119">
        <f t="shared" si="20"/>
        <v>1.0000000000000002</v>
      </c>
      <c r="X158" s="510">
        <f t="shared" si="20"/>
        <v>1.0000000000000004</v>
      </c>
      <c r="Y158" s="119">
        <f t="shared" si="20"/>
        <v>1.0000000000000007</v>
      </c>
      <c r="Z158" s="119">
        <f t="shared" si="20"/>
        <v>1.0000000000000004</v>
      </c>
      <c r="AA158" s="119">
        <f t="shared" si="20"/>
        <v>1.0000000000000004</v>
      </c>
      <c r="AB158" s="119">
        <f t="shared" si="20"/>
        <v>1.0000000000000004</v>
      </c>
      <c r="AC158" s="119">
        <f t="shared" si="20"/>
        <v>1.0000000000000004</v>
      </c>
      <c r="AD158" s="119">
        <f t="shared" si="20"/>
        <v>1.0000000000000004</v>
      </c>
      <c r="AE158" s="119">
        <f t="shared" si="20"/>
        <v>1.0000000000000004</v>
      </c>
      <c r="AF158" s="119">
        <f t="shared" si="20"/>
        <v>1.0000000000000004</v>
      </c>
      <c r="AG158" s="119">
        <f t="shared" si="20"/>
        <v>1.0000000000000004</v>
      </c>
      <c r="AH158" s="119">
        <f t="shared" si="20"/>
        <v>1.0000000000000004</v>
      </c>
      <c r="AI158" s="119">
        <f t="shared" si="20"/>
        <v>1.0000000000000004</v>
      </c>
      <c r="AJ158" s="119">
        <f t="shared" si="20"/>
        <v>1.0000000000000002</v>
      </c>
      <c r="AK158" s="119">
        <f>SUM(AK145:AK157)</f>
        <v>1.0000000000000004</v>
      </c>
    </row>
    <row r="159" spans="1:40">
      <c r="B159" s="63"/>
      <c r="C159" s="63"/>
      <c r="D159" s="63"/>
      <c r="E159" s="63"/>
      <c r="F159" s="63"/>
      <c r="G159" s="63"/>
      <c r="H159" s="63"/>
      <c r="I159" s="63"/>
      <c r="J159" s="67"/>
      <c r="K159" s="67"/>
      <c r="L159" s="67"/>
      <c r="M159" s="67"/>
      <c r="N159" s="67"/>
      <c r="O159" s="67"/>
      <c r="P159" s="67"/>
      <c r="Q159" s="67"/>
      <c r="R159" s="67"/>
      <c r="S159" s="67"/>
      <c r="T159" s="67"/>
      <c r="U159" s="67"/>
      <c r="V159" s="67"/>
      <c r="W159" s="67"/>
      <c r="X159" s="501"/>
      <c r="Y159" s="67"/>
      <c r="Z159" s="67"/>
      <c r="AA159" s="67"/>
      <c r="AB159" s="67"/>
      <c r="AC159" s="67"/>
      <c r="AD159" s="67"/>
      <c r="AE159" s="67"/>
      <c r="AF159" s="67"/>
      <c r="AG159" s="67"/>
      <c r="AH159" s="67"/>
      <c r="AI159" s="67"/>
      <c r="AJ159" s="67"/>
      <c r="AK159" s="67"/>
    </row>
    <row r="160" spans="1:40">
      <c r="A160" s="75" t="s">
        <v>386</v>
      </c>
      <c r="B160" s="63"/>
      <c r="C160" s="63"/>
      <c r="D160" s="63"/>
      <c r="E160" s="63"/>
      <c r="F160" s="63"/>
      <c r="G160" s="63"/>
      <c r="H160" s="63"/>
      <c r="I160" s="63"/>
      <c r="J160" s="67"/>
      <c r="K160" s="67"/>
      <c r="L160" s="67"/>
      <c r="M160" s="67"/>
      <c r="N160" s="67"/>
      <c r="O160" s="67"/>
      <c r="P160" s="67"/>
      <c r="Q160" s="67"/>
      <c r="R160" s="67"/>
      <c r="S160" s="67"/>
      <c r="T160" s="67"/>
      <c r="U160" s="67"/>
      <c r="V160" s="67"/>
      <c r="W160" s="67"/>
      <c r="X160" s="501"/>
      <c r="Y160" s="67"/>
      <c r="Z160" s="67"/>
      <c r="AA160" s="67"/>
      <c r="AB160" s="67"/>
      <c r="AC160" s="67"/>
      <c r="AD160" s="67"/>
      <c r="AE160" s="67"/>
      <c r="AF160" s="67"/>
      <c r="AG160" s="67"/>
      <c r="AH160" s="67"/>
      <c r="AI160" s="67"/>
      <c r="AJ160" s="67"/>
      <c r="AK160" s="67"/>
    </row>
    <row r="161" spans="1:37" s="5" customFormat="1" ht="15">
      <c r="A161" s="57"/>
      <c r="B161" s="60"/>
      <c r="C161" s="60"/>
      <c r="D161" s="60"/>
      <c r="E161" s="60"/>
      <c r="F161" s="60"/>
      <c r="G161" s="60"/>
      <c r="H161" s="60"/>
      <c r="I161" s="60"/>
      <c r="J161" s="66"/>
      <c r="K161" s="66"/>
      <c r="L161" s="66"/>
      <c r="M161" s="66"/>
      <c r="N161" s="66"/>
      <c r="O161" s="66"/>
      <c r="P161" s="66"/>
      <c r="Q161" s="66"/>
      <c r="R161" s="66"/>
      <c r="S161" s="66"/>
      <c r="T161" s="66"/>
      <c r="U161" s="66"/>
      <c r="V161" s="66"/>
      <c r="W161" s="66"/>
      <c r="X161" s="498"/>
      <c r="Y161" s="66"/>
      <c r="Z161" s="66"/>
      <c r="AA161" s="66"/>
      <c r="AB161" s="66"/>
      <c r="AC161" s="66"/>
      <c r="AD161" s="66"/>
      <c r="AE161" s="66"/>
      <c r="AF161" s="66"/>
      <c r="AG161" s="66"/>
      <c r="AH161" s="66"/>
      <c r="AI161" s="66"/>
      <c r="AJ161" s="66"/>
      <c r="AK161" s="66"/>
    </row>
    <row r="162" spans="1:37">
      <c r="A162" s="57" t="s">
        <v>321</v>
      </c>
      <c r="B162" s="60"/>
      <c r="C162" s="60"/>
      <c r="D162" s="60"/>
      <c r="E162" s="60"/>
      <c r="F162" s="60"/>
      <c r="G162" s="60"/>
      <c r="H162" s="60"/>
      <c r="I162" s="60"/>
      <c r="J162" s="66"/>
      <c r="K162" s="66"/>
      <c r="L162" s="66"/>
      <c r="M162" s="66"/>
      <c r="N162" s="66"/>
      <c r="O162" s="66"/>
      <c r="P162" s="66"/>
      <c r="Q162" s="66"/>
      <c r="R162" s="66"/>
      <c r="S162" s="66"/>
      <c r="T162" s="66"/>
      <c r="U162" s="66"/>
      <c r="V162" s="66"/>
      <c r="W162" s="66"/>
      <c r="X162" s="498"/>
      <c r="Y162" s="66"/>
      <c r="Z162" s="66"/>
      <c r="AA162" s="66"/>
      <c r="AB162" s="66"/>
      <c r="AC162" s="66"/>
      <c r="AD162" s="66"/>
      <c r="AE162" s="66"/>
      <c r="AF162" s="66"/>
      <c r="AG162" s="66"/>
      <c r="AH162" s="66"/>
      <c r="AI162" s="66"/>
      <c r="AJ162" s="66"/>
      <c r="AK162" s="66"/>
    </row>
    <row r="163" spans="1:37">
      <c r="A163" s="77" t="s">
        <v>78</v>
      </c>
      <c r="B163" s="63"/>
      <c r="C163" s="63"/>
      <c r="D163" s="63"/>
      <c r="E163" s="63"/>
      <c r="F163" s="63"/>
      <c r="G163" s="63"/>
      <c r="H163" s="63"/>
      <c r="I163" s="63"/>
      <c r="J163" s="67"/>
      <c r="K163" s="67">
        <f t="shared" ref="K163:AK163" si="21">K13/K71</f>
        <v>0.3616569788053226</v>
      </c>
      <c r="L163" s="67">
        <f t="shared" si="21"/>
        <v>0.36407900203393823</v>
      </c>
      <c r="M163" s="67">
        <f t="shared" si="21"/>
        <v>0.37155322026922605</v>
      </c>
      <c r="N163" s="67">
        <f t="shared" si="21"/>
        <v>0.40053973097212314</v>
      </c>
      <c r="O163" s="67">
        <f t="shared" si="21"/>
        <v>0.39581418290495596</v>
      </c>
      <c r="P163" s="67">
        <f t="shared" si="21"/>
        <v>0.39272970567889959</v>
      </c>
      <c r="Q163" s="67">
        <f t="shared" si="21"/>
        <v>0.39007182639566718</v>
      </c>
      <c r="R163" s="67">
        <f t="shared" si="21"/>
        <v>0.38768990280039983</v>
      </c>
      <c r="S163" s="67">
        <f t="shared" si="21"/>
        <v>0.38524655635373656</v>
      </c>
      <c r="T163" s="67">
        <f t="shared" si="21"/>
        <v>0.38269869676224638</v>
      </c>
      <c r="U163" s="67">
        <f t="shared" si="21"/>
        <v>0.37978081697682681</v>
      </c>
      <c r="V163" s="67">
        <f t="shared" si="21"/>
        <v>0.37646626499163904</v>
      </c>
      <c r="W163" s="67">
        <f t="shared" si="21"/>
        <v>0.37311912917779638</v>
      </c>
      <c r="X163" s="501">
        <f t="shared" si="21"/>
        <v>0.36873104964082948</v>
      </c>
      <c r="Y163" s="67">
        <f t="shared" si="21"/>
        <v>0.3637212792454011</v>
      </c>
      <c r="Z163" s="67">
        <f t="shared" si="21"/>
        <v>0.35935493431190774</v>
      </c>
      <c r="AA163" s="67">
        <f t="shared" si="21"/>
        <v>0.35478044224369748</v>
      </c>
      <c r="AB163" s="67">
        <f t="shared" si="21"/>
        <v>0.35283318802382807</v>
      </c>
      <c r="AC163" s="67">
        <f t="shared" si="21"/>
        <v>0.34985285906084257</v>
      </c>
      <c r="AD163" s="67">
        <f t="shared" si="21"/>
        <v>0.34716735529312487</v>
      </c>
      <c r="AE163" s="67">
        <f t="shared" si="21"/>
        <v>0.34480798572305354</v>
      </c>
      <c r="AF163" s="67">
        <f t="shared" si="21"/>
        <v>0.34240740760046595</v>
      </c>
      <c r="AG163" s="67">
        <f t="shared" si="21"/>
        <v>0.33983944707516134</v>
      </c>
      <c r="AH163" s="67">
        <f t="shared" si="21"/>
        <v>0.33743904541651976</v>
      </c>
      <c r="AI163" s="67">
        <f t="shared" si="21"/>
        <v>0.33508861858193201</v>
      </c>
      <c r="AJ163" s="67">
        <f t="shared" si="21"/>
        <v>0.33278662198434417</v>
      </c>
      <c r="AK163" s="67">
        <f t="shared" si="21"/>
        <v>0.33053157403964717</v>
      </c>
    </row>
    <row r="164" spans="1:37">
      <c r="A164" s="77" t="s">
        <v>79</v>
      </c>
      <c r="B164" s="63"/>
      <c r="C164" s="63"/>
      <c r="D164" s="63"/>
      <c r="E164" s="63"/>
      <c r="F164" s="63"/>
      <c r="G164" s="63"/>
      <c r="H164" s="63"/>
      <c r="I164" s="63"/>
      <c r="J164" s="67"/>
      <c r="K164" s="67">
        <f t="shared" ref="K164:AK164" si="22">K25/K71</f>
        <v>0.34976610875415082</v>
      </c>
      <c r="L164" s="67">
        <f t="shared" si="22"/>
        <v>0.34340433800846859</v>
      </c>
      <c r="M164" s="67">
        <f t="shared" si="22"/>
        <v>0.31695566159400407</v>
      </c>
      <c r="N164" s="67">
        <f t="shared" si="22"/>
        <v>0.35560320400607437</v>
      </c>
      <c r="O164" s="67">
        <f t="shared" si="22"/>
        <v>0.35121894041195939</v>
      </c>
      <c r="P164" s="67">
        <f t="shared" si="22"/>
        <v>0.34943635884895113</v>
      </c>
      <c r="Q164" s="67">
        <f t="shared" si="22"/>
        <v>0.34786319215185457</v>
      </c>
      <c r="R164" s="67">
        <f t="shared" si="22"/>
        <v>0.34541561104855883</v>
      </c>
      <c r="S164" s="67">
        <f t="shared" si="22"/>
        <v>0.34283629927538251</v>
      </c>
      <c r="T164" s="67">
        <f t="shared" si="22"/>
        <v>0.340039420855901</v>
      </c>
      <c r="U164" s="67">
        <f t="shared" si="22"/>
        <v>0.33725675545945444</v>
      </c>
      <c r="V164" s="67">
        <f t="shared" si="22"/>
        <v>0.33470642991453747</v>
      </c>
      <c r="W164" s="67">
        <f t="shared" si="22"/>
        <v>0.33214611533096006</v>
      </c>
      <c r="X164" s="501">
        <f t="shared" si="22"/>
        <v>0.33083047222431922</v>
      </c>
      <c r="Y164" s="67">
        <f t="shared" si="22"/>
        <v>0.3308079282691449</v>
      </c>
      <c r="Z164" s="67">
        <f t="shared" si="22"/>
        <v>0.33104116854212673</v>
      </c>
      <c r="AA164" s="67">
        <f t="shared" si="22"/>
        <v>0.33130887786067303</v>
      </c>
      <c r="AB164" s="67">
        <f t="shared" si="22"/>
        <v>0.33336635131780123</v>
      </c>
      <c r="AC164" s="67">
        <f t="shared" si="22"/>
        <v>0.3342602807485972</v>
      </c>
      <c r="AD164" s="67">
        <f t="shared" si="22"/>
        <v>0.33517121974721742</v>
      </c>
      <c r="AE164" s="67">
        <f t="shared" si="22"/>
        <v>0.33591789744189876</v>
      </c>
      <c r="AF164" s="67">
        <f t="shared" si="22"/>
        <v>0.33690563645882715</v>
      </c>
      <c r="AG164" s="67">
        <f t="shared" si="22"/>
        <v>0.33768119245800438</v>
      </c>
      <c r="AH164" s="67">
        <f t="shared" si="22"/>
        <v>0.33849150819469548</v>
      </c>
      <c r="AI164" s="67">
        <f t="shared" si="22"/>
        <v>0.33928495367710171</v>
      </c>
      <c r="AJ164" s="67">
        <f t="shared" si="22"/>
        <v>0.34006205031928993</v>
      </c>
      <c r="AK164" s="67">
        <f t="shared" si="22"/>
        <v>0.34082329826710911</v>
      </c>
    </row>
    <row r="165" spans="1:37">
      <c r="A165" s="77" t="s">
        <v>80</v>
      </c>
      <c r="B165" s="63"/>
      <c r="C165" s="63"/>
      <c r="D165" s="63"/>
      <c r="E165" s="63"/>
      <c r="F165" s="63"/>
      <c r="G165" s="63"/>
      <c r="H165" s="63"/>
      <c r="I165" s="63"/>
      <c r="J165" s="67"/>
      <c r="K165" s="67">
        <f t="shared" ref="K165:AK165" si="23">K46/K71</f>
        <v>0.28679925914948268</v>
      </c>
      <c r="L165" s="67">
        <f t="shared" si="23"/>
        <v>0.29215300303587688</v>
      </c>
      <c r="M165" s="67">
        <f t="shared" si="23"/>
        <v>0.31104717764395534</v>
      </c>
      <c r="N165" s="67">
        <f t="shared" si="23"/>
        <v>0.24182213353323534</v>
      </c>
      <c r="O165" s="67">
        <f t="shared" si="23"/>
        <v>0.25015485603059318</v>
      </c>
      <c r="P165" s="67">
        <f t="shared" si="23"/>
        <v>0.25409679229069942</v>
      </c>
      <c r="Q165" s="67">
        <f t="shared" si="23"/>
        <v>0.25731022971688683</v>
      </c>
      <c r="R165" s="67">
        <f t="shared" si="23"/>
        <v>0.261006520639182</v>
      </c>
      <c r="S165" s="67">
        <f t="shared" si="23"/>
        <v>0.26479465685437109</v>
      </c>
      <c r="T165" s="67">
        <f t="shared" si="23"/>
        <v>0.26881456680148647</v>
      </c>
      <c r="U165" s="67">
        <f t="shared" si="23"/>
        <v>0.27310623872218454</v>
      </c>
      <c r="V165" s="67">
        <f t="shared" si="23"/>
        <v>0.2774855562297156</v>
      </c>
      <c r="W165" s="67">
        <f t="shared" si="23"/>
        <v>0.28183485645497158</v>
      </c>
      <c r="X165" s="501">
        <f t="shared" si="23"/>
        <v>0.28599178062123054</v>
      </c>
      <c r="Y165" s="67">
        <f t="shared" si="23"/>
        <v>0.28952275693240215</v>
      </c>
      <c r="Z165" s="67">
        <f t="shared" si="23"/>
        <v>0.29228685331976656</v>
      </c>
      <c r="AA165" s="67">
        <f t="shared" si="23"/>
        <v>0.2954859065458606</v>
      </c>
      <c r="AB165" s="67">
        <f t="shared" si="23"/>
        <v>0.29447944277637961</v>
      </c>
      <c r="AC165" s="67">
        <f t="shared" si="23"/>
        <v>0.29579056849421731</v>
      </c>
      <c r="AD165" s="67">
        <f t="shared" si="23"/>
        <v>0.29695817731716451</v>
      </c>
      <c r="AE165" s="67">
        <f t="shared" si="23"/>
        <v>0.29800068287562659</v>
      </c>
      <c r="AF165" s="67">
        <f t="shared" si="23"/>
        <v>0.29910713234807268</v>
      </c>
      <c r="AG165" s="67">
        <f t="shared" si="23"/>
        <v>0.30022108870724673</v>
      </c>
      <c r="AH165" s="67">
        <f t="shared" si="23"/>
        <v>0.30128397980811988</v>
      </c>
      <c r="AI165" s="67">
        <f t="shared" si="23"/>
        <v>0.30232474219750666</v>
      </c>
      <c r="AJ165" s="67">
        <f t="shared" si="23"/>
        <v>0.30334405981421037</v>
      </c>
      <c r="AK165" s="67">
        <f t="shared" si="23"/>
        <v>0.30434258869950365</v>
      </c>
    </row>
    <row r="166" spans="1:37">
      <c r="A166" s="77" t="s">
        <v>81</v>
      </c>
      <c r="B166" s="63"/>
      <c r="C166" s="63"/>
      <c r="D166" s="63"/>
      <c r="E166" s="63"/>
      <c r="F166" s="63"/>
      <c r="G166" s="63"/>
      <c r="H166" s="63"/>
      <c r="I166" s="63"/>
      <c r="J166" s="67"/>
      <c r="K166" s="67">
        <f t="shared" ref="K166:AK166" si="24">K60/K71</f>
        <v>1.7776532910437882E-3</v>
      </c>
      <c r="L166" s="67">
        <f t="shared" si="24"/>
        <v>3.6365692171636536E-4</v>
      </c>
      <c r="M166" s="67">
        <f t="shared" si="24"/>
        <v>4.4394049281476158E-4</v>
      </c>
      <c r="N166" s="67">
        <f t="shared" si="24"/>
        <v>2.0349314885672355E-3</v>
      </c>
      <c r="O166" s="67">
        <f t="shared" si="24"/>
        <v>2.812020652491547E-3</v>
      </c>
      <c r="P166" s="67">
        <f t="shared" si="24"/>
        <v>3.7371431814497745E-3</v>
      </c>
      <c r="Q166" s="67">
        <f t="shared" si="24"/>
        <v>4.7547517355915024E-3</v>
      </c>
      <c r="R166" s="67">
        <f t="shared" si="24"/>
        <v>5.8879655118594231E-3</v>
      </c>
      <c r="S166" s="67">
        <f t="shared" si="24"/>
        <v>7.1224875165099115E-3</v>
      </c>
      <c r="T166" s="67">
        <f t="shared" si="24"/>
        <v>8.447315580366023E-3</v>
      </c>
      <c r="U166" s="67">
        <f t="shared" si="24"/>
        <v>9.8561888415342209E-3</v>
      </c>
      <c r="V166" s="67">
        <f t="shared" si="24"/>
        <v>1.1341748864107807E-2</v>
      </c>
      <c r="W166" s="67">
        <f t="shared" si="24"/>
        <v>1.2899899036271952E-2</v>
      </c>
      <c r="X166" s="501">
        <f t="shared" si="24"/>
        <v>1.4446697513620771E-2</v>
      </c>
      <c r="Y166" s="67">
        <f t="shared" si="24"/>
        <v>1.5948035553051989E-2</v>
      </c>
      <c r="Z166" s="67">
        <f t="shared" si="24"/>
        <v>1.7317043826198978E-2</v>
      </c>
      <c r="AA166" s="67">
        <f t="shared" si="24"/>
        <v>1.842477334976899E-2</v>
      </c>
      <c r="AB166" s="67">
        <f t="shared" si="24"/>
        <v>1.9321017881991115E-2</v>
      </c>
      <c r="AC166" s="67">
        <f t="shared" si="24"/>
        <v>2.0096291696342975E-2</v>
      </c>
      <c r="AD166" s="67">
        <f t="shared" si="24"/>
        <v>2.0703247642493327E-2</v>
      </c>
      <c r="AE166" s="67">
        <f t="shared" si="24"/>
        <v>2.1273433959421155E-2</v>
      </c>
      <c r="AF166" s="67">
        <f t="shared" si="24"/>
        <v>2.1579823592634356E-2</v>
      </c>
      <c r="AG166" s="67">
        <f t="shared" si="24"/>
        <v>2.2258271759587545E-2</v>
      </c>
      <c r="AH166" s="67">
        <f t="shared" si="24"/>
        <v>2.2785466580664718E-2</v>
      </c>
      <c r="AI166" s="67">
        <f t="shared" si="24"/>
        <v>2.330168554345971E-2</v>
      </c>
      <c r="AJ166" s="67">
        <f t="shared" si="24"/>
        <v>2.3807267882155505E-2</v>
      </c>
      <c r="AK166" s="67">
        <f t="shared" si="24"/>
        <v>2.4302538993740058E-2</v>
      </c>
    </row>
    <row r="167" spans="1:37">
      <c r="A167" s="57"/>
    </row>
  </sheetData>
  <mergeCells count="3">
    <mergeCell ref="AL101:AM102"/>
    <mergeCell ref="AL143:AO143"/>
    <mergeCell ref="AL144:AP144"/>
  </mergeCells>
  <phoneticPr fontId="22"/>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00B0F0"/>
  </sheetPr>
  <dimension ref="A1:AL89"/>
  <sheetViews>
    <sheetView workbookViewId="0">
      <pane xSplit="1" ySplit="6" topLeftCell="N7" activePane="bottomRight" state="frozen"/>
      <selection pane="topRight" activeCell="B1" sqref="B1"/>
      <selection pane="bottomLeft" activeCell="A7" sqref="A7"/>
      <selection pane="bottomRight" activeCell="A77" sqref="A77"/>
    </sheetView>
  </sheetViews>
  <sheetFormatPr defaultRowHeight="12.75"/>
  <cols>
    <col min="1" max="1" width="35.7109375" customWidth="1"/>
    <col min="2" max="3" width="8.7109375" style="31" customWidth="1"/>
    <col min="4" max="37" width="8.7109375" customWidth="1"/>
  </cols>
  <sheetData>
    <row r="1" spans="1:37" ht="27">
      <c r="A1" s="78" t="s">
        <v>409</v>
      </c>
      <c r="B1" s="34"/>
      <c r="C1" s="34"/>
      <c r="D1" s="34"/>
      <c r="E1" s="34"/>
      <c r="F1" s="34"/>
      <c r="G1" s="34"/>
      <c r="H1" s="34"/>
    </row>
    <row r="2" spans="1:37" ht="15.75">
      <c r="A2" s="64" t="s">
        <v>382</v>
      </c>
      <c r="C2" s="69" t="s">
        <v>410</v>
      </c>
      <c r="D2" s="34"/>
      <c r="E2" s="34"/>
      <c r="F2" s="34"/>
      <c r="G2" s="34"/>
      <c r="H2" s="34"/>
    </row>
    <row r="3" spans="1:37" ht="18.75">
      <c r="A3" s="64" t="s">
        <v>383</v>
      </c>
      <c r="C3" s="69" t="s">
        <v>412</v>
      </c>
      <c r="D3" s="33"/>
      <c r="E3" s="33"/>
      <c r="F3" s="33"/>
      <c r="G3" s="33"/>
      <c r="H3" s="33"/>
    </row>
    <row r="4" spans="1:37" ht="18.75">
      <c r="A4" s="64" t="s">
        <v>380</v>
      </c>
      <c r="C4" s="69" t="s">
        <v>411</v>
      </c>
      <c r="D4" s="34"/>
      <c r="E4" s="34"/>
      <c r="F4" s="34"/>
      <c r="G4" s="34"/>
      <c r="H4" s="34"/>
    </row>
    <row r="6" spans="1:37" ht="13.5">
      <c r="A6" s="59" t="s">
        <v>22</v>
      </c>
      <c r="B6" s="59">
        <v>2005</v>
      </c>
      <c r="C6" s="59">
        <v>2006</v>
      </c>
      <c r="D6" s="59">
        <v>2007</v>
      </c>
      <c r="E6" s="59">
        <v>2008</v>
      </c>
      <c r="F6" s="59">
        <v>2009</v>
      </c>
      <c r="G6" s="59">
        <v>2010</v>
      </c>
      <c r="H6" s="59">
        <v>2011</v>
      </c>
      <c r="I6" s="59">
        <v>2012</v>
      </c>
      <c r="J6" s="59">
        <v>2013</v>
      </c>
      <c r="K6" s="59">
        <v>2014</v>
      </c>
      <c r="L6" s="59">
        <v>2015</v>
      </c>
      <c r="M6" s="59">
        <v>2016</v>
      </c>
      <c r="N6" s="59">
        <v>2017</v>
      </c>
      <c r="O6" s="59">
        <v>2018</v>
      </c>
      <c r="P6" s="59">
        <v>2019</v>
      </c>
      <c r="Q6" s="59">
        <v>2020</v>
      </c>
      <c r="R6" s="59">
        <v>2021</v>
      </c>
      <c r="S6" s="59">
        <v>2022</v>
      </c>
      <c r="T6" s="59">
        <v>2023</v>
      </c>
      <c r="U6" s="59">
        <v>2024</v>
      </c>
      <c r="V6" s="59">
        <v>2025</v>
      </c>
      <c r="W6" s="59">
        <v>2026</v>
      </c>
      <c r="X6" s="59">
        <v>2027</v>
      </c>
      <c r="Y6" s="59">
        <v>2028</v>
      </c>
      <c r="Z6" s="59">
        <v>2029</v>
      </c>
      <c r="AA6" s="59">
        <v>2030</v>
      </c>
      <c r="AB6" s="59">
        <v>2031</v>
      </c>
      <c r="AC6" s="59">
        <v>2032</v>
      </c>
      <c r="AD6" s="59">
        <v>2033</v>
      </c>
      <c r="AE6" s="59">
        <v>2034</v>
      </c>
      <c r="AF6" s="59">
        <v>2035</v>
      </c>
      <c r="AG6" s="59">
        <v>2036</v>
      </c>
      <c r="AH6" s="59">
        <v>2037</v>
      </c>
      <c r="AI6" s="59">
        <v>2038</v>
      </c>
      <c r="AJ6" s="59">
        <v>2039</v>
      </c>
      <c r="AK6" s="59">
        <v>2040</v>
      </c>
    </row>
    <row r="7" spans="1:37">
      <c r="A7" s="57" t="s">
        <v>23</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row>
    <row r="8" spans="1:37">
      <c r="A8" s="57" t="s">
        <v>24</v>
      </c>
      <c r="B8" s="66"/>
      <c r="C8" s="66"/>
      <c r="D8" s="66"/>
      <c r="E8" s="66"/>
      <c r="F8" s="66"/>
      <c r="G8" s="66"/>
      <c r="H8" s="66"/>
      <c r="I8" s="66"/>
      <c r="J8" s="66"/>
      <c r="K8" s="444"/>
      <c r="L8" s="444"/>
      <c r="M8" s="444"/>
      <c r="N8" s="444">
        <f>'Adjusted Consumption'!N8*parameters!$C$42</f>
        <v>0.49095858692673794</v>
      </c>
      <c r="O8" s="444">
        <f>'Adjusted Consumption'!O8*parameters!$C$42</f>
        <v>0.45458791083573347</v>
      </c>
      <c r="P8" s="444">
        <f>'Adjusted Consumption'!P8*parameters!$C$42</f>
        <v>0.44090479748654599</v>
      </c>
      <c r="Q8" s="444">
        <f>'Adjusted Consumption'!Q8*parameters!$C$42</f>
        <v>0.43544916832733438</v>
      </c>
      <c r="R8" s="444">
        <f>'Adjusted Consumption'!R8*parameters!$C$42</f>
        <v>0.42955219242373049</v>
      </c>
      <c r="S8" s="444">
        <f>'Adjusted Consumption'!S8*parameters!$C$42</f>
        <v>0.42410189244068802</v>
      </c>
      <c r="T8" s="444">
        <f>'Adjusted Consumption'!T8*parameters!$C$42</f>
        <v>0.41952425449309327</v>
      </c>
      <c r="U8" s="444">
        <f>'Adjusted Consumption'!U8*parameters!$C$42</f>
        <v>0.41541944950107546</v>
      </c>
      <c r="V8" s="444">
        <f>'Adjusted Consumption'!V8*parameters!$C$42</f>
        <v>0.41147160319517734</v>
      </c>
      <c r="W8" s="444">
        <f>'Adjusted Consumption'!W8*parameters!$C$42</f>
        <v>0.4078100278329721</v>
      </c>
      <c r="X8" s="444">
        <f>'Adjusted Consumption'!X8*parameters!$C$42</f>
        <v>0.40441803904654683</v>
      </c>
      <c r="Y8" s="444">
        <f>'Adjusted Consumption'!Y8*parameters!$C$42</f>
        <v>0.40094573812651835</v>
      </c>
      <c r="Z8" s="444">
        <f>'Adjusted Consumption'!Z8*parameters!$C$42</f>
        <v>0.3973326918084516</v>
      </c>
      <c r="AA8" s="444">
        <f>'Adjusted Consumption'!AA8*parameters!$C$42</f>
        <v>0.40007687385345453</v>
      </c>
      <c r="AB8" s="444">
        <f>'Adjusted Consumption'!AB8*parameters!$C$42</f>
        <v>0.39716927083335429</v>
      </c>
      <c r="AC8" s="444">
        <f>'Adjusted Consumption'!AC8*parameters!$C$42</f>
        <v>0.39402669465167278</v>
      </c>
      <c r="AD8" s="444">
        <f>'Adjusted Consumption'!AD8*parameters!$C$42</f>
        <v>0.39091018460250954</v>
      </c>
      <c r="AE8" s="444">
        <f>'Adjusted Consumption'!AE8*parameters!$C$42</f>
        <v>0.38799455595754873</v>
      </c>
      <c r="AF8" s="444">
        <f>'Adjusted Consumption'!AF8*parameters!$C$42</f>
        <v>0.38532853917219556</v>
      </c>
      <c r="AG8" s="444">
        <f>'Adjusted Consumption'!AG8*parameters!$C$42</f>
        <v>0.38258419308043462</v>
      </c>
      <c r="AH8" s="444">
        <f>'Adjusted Consumption'!AH8*parameters!$C$42</f>
        <v>0.38010687721721237</v>
      </c>
      <c r="AI8" s="444">
        <f>'Adjusted Consumption'!AI8*parameters!$C$42</f>
        <v>0.37739300357983857</v>
      </c>
      <c r="AJ8" s="444">
        <f>'Adjusted Consumption'!AJ8*parameters!$C$42</f>
        <v>0.37490458662320131</v>
      </c>
      <c r="AK8" s="444">
        <f>'Adjusted Consumption'!AK8*parameters!$C$42</f>
        <v>0.37272362058102687</v>
      </c>
    </row>
    <row r="9" spans="1:37">
      <c r="A9" s="57" t="s">
        <v>56</v>
      </c>
      <c r="B9" s="66"/>
      <c r="C9" s="66"/>
      <c r="D9" s="66"/>
      <c r="E9" s="66"/>
      <c r="F9" s="66"/>
      <c r="G9" s="66"/>
      <c r="H9" s="66"/>
      <c r="I9" s="66"/>
      <c r="J9" s="66"/>
      <c r="K9" s="444"/>
      <c r="L9" s="444"/>
      <c r="M9" s="444"/>
      <c r="N9" s="444">
        <f>'Adjusted Consumption'!N9*parameters!$C$45</f>
        <v>2.5241259870243285E-3</v>
      </c>
      <c r="O9" s="444">
        <f>'Adjusted Consumption'!O9*parameters!$C$45</f>
        <v>2.1437296600979399E-3</v>
      </c>
      <c r="P9" s="444">
        <f>'Adjusted Consumption'!P9*parameters!$C$45</f>
        <v>1.9991694289485723E-3</v>
      </c>
      <c r="Q9" s="444">
        <f>'Adjusted Consumption'!Q9*parameters!$C$45</f>
        <v>1.9395629854773802E-3</v>
      </c>
      <c r="R9" s="444">
        <f>'Adjusted Consumption'!R9*parameters!$C$45</f>
        <v>1.8675151361516127E-3</v>
      </c>
      <c r="S9" s="444">
        <f>'Adjusted Consumption'!S9*parameters!$C$45</f>
        <v>1.8043366647501541E-3</v>
      </c>
      <c r="T9" s="444">
        <f>'Adjusted Consumption'!T9*parameters!$C$45</f>
        <v>1.7596976622703063E-3</v>
      </c>
      <c r="U9" s="444">
        <f>'Adjusted Consumption'!U9*parameters!$C$45</f>
        <v>1.7199852265420241E-3</v>
      </c>
      <c r="V9" s="444">
        <f>'Adjusted Consumption'!V9*parameters!$C$45</f>
        <v>1.6836889592307261E-3</v>
      </c>
      <c r="W9" s="444">
        <f>'Adjusted Consumption'!W9*parameters!$C$45</f>
        <v>1.6499049753302881E-3</v>
      </c>
      <c r="X9" s="444">
        <f>'Adjusted Consumption'!X9*parameters!$C$45</f>
        <v>1.616968469401148E-3</v>
      </c>
      <c r="Y9" s="444">
        <f>'Adjusted Consumption'!Y9*parameters!$C$45</f>
        <v>1.5837954430436535E-3</v>
      </c>
      <c r="Z9" s="444">
        <f>'Adjusted Consumption'!Z9*parameters!$C$45</f>
        <v>1.5501620512597435E-3</v>
      </c>
      <c r="AA9" s="444">
        <f>'Adjusted Consumption'!AA9*parameters!$C$45</f>
        <v>1.5178758634008282E-3</v>
      </c>
      <c r="AB9" s="444">
        <f>'Adjusted Consumption'!AB9*parameters!$C$45</f>
        <v>1.4852372464956773E-3</v>
      </c>
      <c r="AC9" s="444">
        <f>'Adjusted Consumption'!AC9*parameters!$C$45</f>
        <v>1.4533455680771018E-3</v>
      </c>
      <c r="AD9" s="444">
        <f>'Adjusted Consumption'!AD9*parameters!$C$45</f>
        <v>1.422921665568691E-3</v>
      </c>
      <c r="AE9" s="444">
        <f>'Adjusted Consumption'!AE9*parameters!$C$45</f>
        <v>1.3934960936503342E-3</v>
      </c>
      <c r="AF9" s="444">
        <f>'Adjusted Consumption'!AF9*parameters!$C$45</f>
        <v>1.3657892380045538E-3</v>
      </c>
      <c r="AG9" s="444">
        <f>'Adjusted Consumption'!AG9*parameters!$C$45</f>
        <v>1.3388359026667168E-3</v>
      </c>
      <c r="AH9" s="444">
        <f>'Adjusted Consumption'!AH9*parameters!$C$45</f>
        <v>1.3102318117726953E-3</v>
      </c>
      <c r="AI9" s="444">
        <f>'Adjusted Consumption'!AI9*parameters!$C$45</f>
        <v>1.2827385272047675E-3</v>
      </c>
      <c r="AJ9" s="444">
        <f>'Adjusted Consumption'!AJ9*parameters!$C$45</f>
        <v>1.2568347440815809E-3</v>
      </c>
      <c r="AK9" s="444">
        <f>'Adjusted Consumption'!AK9*parameters!$C$45</f>
        <v>1.2321593413329383E-3</v>
      </c>
    </row>
    <row r="10" spans="1:37">
      <c r="A10" s="57" t="s">
        <v>25</v>
      </c>
      <c r="B10" s="66"/>
      <c r="C10" s="66"/>
      <c r="D10" s="66"/>
      <c r="E10" s="66"/>
      <c r="F10" s="66"/>
      <c r="G10" s="66"/>
      <c r="H10" s="66"/>
      <c r="I10" s="66"/>
      <c r="J10" s="66"/>
      <c r="K10" s="444"/>
      <c r="L10" s="444"/>
      <c r="M10" s="444"/>
      <c r="N10" s="444">
        <f>'Adjusted Consumption'!N10*parameters!$C$37</f>
        <v>0.27593144999401426</v>
      </c>
      <c r="O10" s="444">
        <f>'Adjusted Consumption'!O10*parameters!$C$37</f>
        <v>0.29882294247134328</v>
      </c>
      <c r="P10" s="444">
        <f>'Adjusted Consumption'!P10*parameters!$C$37</f>
        <v>0.27674372838300709</v>
      </c>
      <c r="Q10" s="444">
        <f>'Adjusted Consumption'!Q10*parameters!$C$37</f>
        <v>0.26764433748404182</v>
      </c>
      <c r="R10" s="444">
        <f>'Adjusted Consumption'!R10*parameters!$C$37</f>
        <v>0.25829798476826937</v>
      </c>
      <c r="S10" s="444">
        <f>'Adjusted Consumption'!S10*parameters!$C$37</f>
        <v>0.25067969604686802</v>
      </c>
      <c r="T10" s="444">
        <f>'Adjusted Consumption'!T10*parameters!$C$37</f>
        <v>0.24461997541706176</v>
      </c>
      <c r="U10" s="444">
        <f>'Adjusted Consumption'!U10*parameters!$C$37</f>
        <v>0.2393932056512294</v>
      </c>
      <c r="V10" s="444">
        <f>'Adjusted Consumption'!V10*parameters!$C$37</f>
        <v>0.23448861323250886</v>
      </c>
      <c r="W10" s="444">
        <f>'Adjusted Consumption'!W10*parameters!$C$37</f>
        <v>0.22985677341433733</v>
      </c>
      <c r="X10" s="444">
        <f>'Adjusted Consumption'!X10*parameters!$C$37</f>
        <v>0.22520175850059584</v>
      </c>
      <c r="Y10" s="444">
        <f>'Adjusted Consumption'!Y10*parameters!$C$37</f>
        <v>0.22054476333129019</v>
      </c>
      <c r="Z10" s="444">
        <f>'Adjusted Consumption'!Z10*parameters!$C$37</f>
        <v>0.21583364505910629</v>
      </c>
      <c r="AA10" s="444">
        <f>'Adjusted Consumption'!AA10*parameters!$C$37</f>
        <v>0.21477064228974355</v>
      </c>
      <c r="AB10" s="444">
        <f>'Adjusted Consumption'!AB10*parameters!$C$37</f>
        <v>0.21068360585838578</v>
      </c>
      <c r="AC10" s="444">
        <f>'Adjusted Consumption'!AC10*parameters!$C$37</f>
        <v>0.20675224894635891</v>
      </c>
      <c r="AD10" s="444">
        <f>'Adjusted Consumption'!AD10*parameters!$C$37</f>
        <v>0.20297269126327827</v>
      </c>
      <c r="AE10" s="444">
        <f>'Adjusted Consumption'!AE10*parameters!$C$37</f>
        <v>0.19932852791406372</v>
      </c>
      <c r="AF10" s="444">
        <f>'Adjusted Consumption'!AF10*parameters!$C$37</f>
        <v>0.19587153053575923</v>
      </c>
      <c r="AG10" s="444">
        <f>'Adjusted Consumption'!AG10*parameters!$C$37</f>
        <v>0.19254816298773411</v>
      </c>
      <c r="AH10" s="444">
        <f>'Adjusted Consumption'!AH10*parameters!$C$37</f>
        <v>0.18913268418215556</v>
      </c>
      <c r="AI10" s="444">
        <f>'Adjusted Consumption'!AI10*parameters!$C$37</f>
        <v>0.1859215686769814</v>
      </c>
      <c r="AJ10" s="444">
        <f>'Adjusted Consumption'!AJ10*parameters!$C$37</f>
        <v>0.18284425318537528</v>
      </c>
      <c r="AK10" s="444">
        <f>'Adjusted Consumption'!AK10*parameters!$C$37</f>
        <v>0.17992011682964557</v>
      </c>
    </row>
    <row r="11" spans="1:37">
      <c r="A11" s="57" t="s">
        <v>26</v>
      </c>
      <c r="B11" s="66"/>
      <c r="C11" s="66"/>
      <c r="D11" s="66"/>
      <c r="E11" s="66"/>
      <c r="F11" s="66"/>
      <c r="G11" s="66"/>
      <c r="H11" s="66"/>
      <c r="I11" s="66"/>
      <c r="J11" s="66"/>
      <c r="K11" s="444"/>
      <c r="L11" s="444"/>
      <c r="M11" s="444"/>
      <c r="N11" s="444">
        <f>'Adjusted Consumption'!N11*parameters!$C$34</f>
        <v>4.1853468096002082</v>
      </c>
      <c r="O11" s="444">
        <f>'Adjusted Consumption'!O11*parameters!$C$34</f>
        <v>4.5454028450922479</v>
      </c>
      <c r="P11" s="444">
        <f>'Adjusted Consumption'!P11*parameters!$C$34</f>
        <v>4.4405940785114151</v>
      </c>
      <c r="Q11" s="444">
        <f>'Adjusted Consumption'!Q11*parameters!$C$34</f>
        <v>4.4349684603434421</v>
      </c>
      <c r="R11" s="444">
        <f>'Adjusted Consumption'!R11*parameters!$C$34</f>
        <v>4.4299690959882794</v>
      </c>
      <c r="S11" s="444">
        <f>'Adjusted Consumption'!S11*parameters!$C$34</f>
        <v>4.4307056447209163</v>
      </c>
      <c r="T11" s="444">
        <f>'Adjusted Consumption'!T11*parameters!$C$34</f>
        <v>4.429165649421499</v>
      </c>
      <c r="U11" s="444">
        <f>'Adjusted Consumption'!U11*parameters!$C$34</f>
        <v>4.4293113281920853</v>
      </c>
      <c r="V11" s="444">
        <f>'Adjusted Consumption'!V11*parameters!$C$34</f>
        <v>4.4243079934932403</v>
      </c>
      <c r="W11" s="444">
        <f>'Adjusted Consumption'!W11*parameters!$C$34</f>
        <v>4.4232544819564223</v>
      </c>
      <c r="X11" s="444">
        <f>'Adjusted Consumption'!X11*parameters!$C$34</f>
        <v>4.4234872802023046</v>
      </c>
      <c r="Y11" s="444">
        <f>'Adjusted Consumption'!Y11*parameters!$C$34</f>
        <v>4.4235642136425621</v>
      </c>
      <c r="Z11" s="444">
        <f>'Adjusted Consumption'!Z11*parameters!$C$34</f>
        <v>4.4216910061039751</v>
      </c>
      <c r="AA11" s="444">
        <f>'Adjusted Consumption'!AA11*parameters!$C$34</f>
        <v>4.5214780259905432</v>
      </c>
      <c r="AB11" s="444">
        <f>'Adjusted Consumption'!AB11*parameters!$C$34</f>
        <v>4.5311318529288709</v>
      </c>
      <c r="AC11" s="444">
        <f>'Adjusted Consumption'!AC11*parameters!$C$34</f>
        <v>4.5383181652668503</v>
      </c>
      <c r="AD11" s="444">
        <f>'Adjusted Consumption'!AD11*parameters!$C$34</f>
        <v>4.5443635402207647</v>
      </c>
      <c r="AE11" s="444">
        <f>'Adjusted Consumption'!AE11*parameters!$C$34</f>
        <v>4.5495200600888914</v>
      </c>
      <c r="AF11" s="444">
        <f>'Adjusted Consumption'!AF11*parameters!$C$34</f>
        <v>4.5555375397407323</v>
      </c>
      <c r="AG11" s="444">
        <f>'Adjusted Consumption'!AG11*parameters!$C$34</f>
        <v>4.5581881430523348</v>
      </c>
      <c r="AH11" s="444">
        <f>'Adjusted Consumption'!AH11*parameters!$C$34</f>
        <v>4.5602165935309236</v>
      </c>
      <c r="AI11" s="444">
        <f>'Adjusted Consumption'!AI11*parameters!$C$34</f>
        <v>4.5625115461874106</v>
      </c>
      <c r="AJ11" s="444">
        <f>'Adjusted Consumption'!AJ11*parameters!$C$34</f>
        <v>4.5668797645045007</v>
      </c>
      <c r="AK11" s="444">
        <f>'Adjusted Consumption'!AK11*parameters!$C$34</f>
        <v>4.5736285715814269</v>
      </c>
    </row>
    <row r="12" spans="1:37">
      <c r="A12" s="57" t="s">
        <v>58</v>
      </c>
      <c r="B12" s="66"/>
      <c r="C12" s="66"/>
      <c r="D12" s="66"/>
      <c r="E12" s="66"/>
      <c r="F12" s="66"/>
      <c r="G12" s="66"/>
      <c r="H12" s="66"/>
      <c r="I12" s="66"/>
      <c r="J12" s="66"/>
      <c r="K12" s="444"/>
      <c r="L12" s="444"/>
      <c r="M12" s="444"/>
      <c r="N12" s="444">
        <f>'Adjusted Consumption'!N12*parameters!$C$50</f>
        <v>0</v>
      </c>
      <c r="O12" s="444">
        <f>'Adjusted Consumption'!O12*parameters!$C$50</f>
        <v>0</v>
      </c>
      <c r="P12" s="444">
        <f>'Adjusted Consumption'!P12*parameters!$C$50</f>
        <v>0</v>
      </c>
      <c r="Q12" s="444">
        <f>'Adjusted Consumption'!Q12*parameters!$C$50</f>
        <v>0</v>
      </c>
      <c r="R12" s="444">
        <f>'Adjusted Consumption'!R12*parameters!$C$50</f>
        <v>0</v>
      </c>
      <c r="S12" s="444">
        <f>'Adjusted Consumption'!S12*parameters!$C$50</f>
        <v>0</v>
      </c>
      <c r="T12" s="444">
        <f>'Adjusted Consumption'!T12*parameters!$C$50</f>
        <v>0</v>
      </c>
      <c r="U12" s="444">
        <f>'Adjusted Consumption'!U12*parameters!$C$50</f>
        <v>0</v>
      </c>
      <c r="V12" s="444">
        <f>'Adjusted Consumption'!V12*parameters!$C$50</f>
        <v>0</v>
      </c>
      <c r="W12" s="444">
        <f>'Adjusted Consumption'!W12*parameters!$C$50</f>
        <v>0</v>
      </c>
      <c r="X12" s="444">
        <f>'Adjusted Consumption'!X12*parameters!$C$50</f>
        <v>0</v>
      </c>
      <c r="Y12" s="444">
        <f>'Adjusted Consumption'!Y12*parameters!$C$50</f>
        <v>0</v>
      </c>
      <c r="Z12" s="444">
        <f>'Adjusted Consumption'!Z12*parameters!$C$50</f>
        <v>0</v>
      </c>
      <c r="AA12" s="444">
        <f>'Adjusted Consumption'!AA12*parameters!$C$50</f>
        <v>0</v>
      </c>
      <c r="AB12" s="444">
        <f>'Adjusted Consumption'!AB12*parameters!$C$50</f>
        <v>0</v>
      </c>
      <c r="AC12" s="444">
        <f>'Adjusted Consumption'!AC12*parameters!$C$50</f>
        <v>0</v>
      </c>
      <c r="AD12" s="444">
        <f>'Adjusted Consumption'!AD12*parameters!$C$50</f>
        <v>0</v>
      </c>
      <c r="AE12" s="444">
        <f>'Adjusted Consumption'!AE12*parameters!$C$50</f>
        <v>0</v>
      </c>
      <c r="AF12" s="444">
        <f>'Adjusted Consumption'!AF12*parameters!$C$50</f>
        <v>0</v>
      </c>
      <c r="AG12" s="444">
        <f>'Adjusted Consumption'!AG12*parameters!$C$50</f>
        <v>0</v>
      </c>
      <c r="AH12" s="444">
        <f>'Adjusted Consumption'!AH12*parameters!$C$50</f>
        <v>0</v>
      </c>
      <c r="AI12" s="444">
        <f>'Adjusted Consumption'!AI12*parameters!$C$50</f>
        <v>0</v>
      </c>
      <c r="AJ12" s="444">
        <f>'Adjusted Consumption'!AJ12*parameters!$C$50</f>
        <v>0</v>
      </c>
      <c r="AK12" s="444">
        <f>'Adjusted Consumption'!AK12*parameters!$C$50</f>
        <v>0</v>
      </c>
    </row>
    <row r="13" spans="1:37">
      <c r="A13" s="57" t="s">
        <v>27</v>
      </c>
      <c r="B13" s="66"/>
      <c r="C13" s="66"/>
      <c r="D13" s="66"/>
      <c r="E13" s="66"/>
      <c r="F13" s="66"/>
      <c r="G13" s="66"/>
      <c r="H13" s="66"/>
      <c r="I13" s="66"/>
      <c r="J13" s="66"/>
      <c r="K13" s="444"/>
      <c r="L13" s="444"/>
      <c r="M13" s="444"/>
      <c r="N13" s="444">
        <f>N82*'Adjusted Consumption'!N163</f>
        <v>6.3156825310425706</v>
      </c>
      <c r="O13" s="444">
        <f>O82*'Adjusted Consumption'!O163</f>
        <v>6.0708095893244831</v>
      </c>
      <c r="P13" s="444">
        <f>P82*'Adjusted Consumption'!P163</f>
        <v>5.8152750511694435</v>
      </c>
      <c r="Q13" s="444">
        <f>Q82*'Adjusted Consumption'!Q163</f>
        <v>5.4939128628133718</v>
      </c>
      <c r="R13" s="444">
        <f>R82*'Adjusted Consumption'!R163</f>
        <v>4.8117173683643468</v>
      </c>
      <c r="S13" s="444">
        <f>S82*'Adjusted Consumption'!S163</f>
        <v>4.6527072552016575</v>
      </c>
      <c r="T13" s="444">
        <f>T82*'Adjusted Consumption'!T163</f>
        <v>4.2110050830137258</v>
      </c>
      <c r="U13" s="444">
        <f>U82*'Adjusted Consumption'!U163</f>
        <v>4.0531842639223976</v>
      </c>
      <c r="V13" s="444">
        <f>V82*'Adjusted Consumption'!V163</f>
        <v>3.9178467564741508</v>
      </c>
      <c r="W13" s="444">
        <f>W82*'Adjusted Consumption'!W163</f>
        <v>3.3624186396878697</v>
      </c>
      <c r="X13" s="444">
        <f>X82*'Adjusted Consumption'!X163</f>
        <v>3.249613201441417</v>
      </c>
      <c r="Y13" s="444">
        <f>Y82*'Adjusted Consumption'!Y163</f>
        <v>3.1405235823975515</v>
      </c>
      <c r="Z13" s="444">
        <f>Z82*'Adjusted Consumption'!Z163</f>
        <v>3.0568046748950204</v>
      </c>
      <c r="AA13" s="444">
        <f>AA82*'Adjusted Consumption'!AA163</f>
        <v>3.4814483345203819</v>
      </c>
      <c r="AB13" s="444">
        <f>AB82*'Adjusted Consumption'!AB163</f>
        <v>3.4897891279208482</v>
      </c>
      <c r="AC13" s="444">
        <f>AC82*'Adjusted Consumption'!AC163</f>
        <v>3.5052620260401515</v>
      </c>
      <c r="AD13" s="444">
        <f>AD82*'Adjusted Consumption'!AD163</f>
        <v>3.5253305177297198</v>
      </c>
      <c r="AE13" s="444">
        <f>AE82*'Adjusted Consumption'!AE163</f>
        <v>3.550405154284709</v>
      </c>
      <c r="AF13" s="444">
        <f>AF82*'Adjusted Consumption'!AF163</f>
        <v>3.5773408944575569</v>
      </c>
      <c r="AG13" s="444">
        <f>AG82*'Adjusted Consumption'!AG163</f>
        <v>3.5950431870687765</v>
      </c>
      <c r="AH13" s="444">
        <f>AH82*'Adjusted Consumption'!AH163</f>
        <v>3.6163872926890859</v>
      </c>
      <c r="AI13" s="444">
        <f>AI82*'Adjusted Consumption'!AI163</f>
        <v>3.6375687330481687</v>
      </c>
      <c r="AJ13" s="444">
        <f>AJ82*'Adjusted Consumption'!AJ163</f>
        <v>3.6585892198223915</v>
      </c>
      <c r="AK13" s="444">
        <f>AK82*'Adjusted Consumption'!AK163</f>
        <v>3.6794283385546236</v>
      </c>
    </row>
    <row r="14" spans="1:37">
      <c r="A14" s="57" t="s">
        <v>28</v>
      </c>
      <c r="B14" s="66"/>
      <c r="C14" s="66"/>
      <c r="D14" s="66"/>
      <c r="E14" s="66"/>
      <c r="F14" s="66"/>
      <c r="G14" s="66"/>
      <c r="H14" s="66"/>
      <c r="I14" s="66"/>
      <c r="J14" s="66"/>
      <c r="K14" s="445"/>
      <c r="L14" s="445"/>
      <c r="M14" s="445"/>
      <c r="N14" s="445">
        <f t="shared" ref="N14:AK14" si="0">SUM(N8:N13)</f>
        <v>11.270443503550556</v>
      </c>
      <c r="O14" s="445">
        <f t="shared" si="0"/>
        <v>11.371767017383906</v>
      </c>
      <c r="P14" s="445">
        <f t="shared" si="0"/>
        <v>10.97551682497936</v>
      </c>
      <c r="Q14" s="445">
        <f t="shared" si="0"/>
        <v>10.633914391953667</v>
      </c>
      <c r="R14" s="445">
        <f t="shared" si="0"/>
        <v>9.9314041566807774</v>
      </c>
      <c r="S14" s="445">
        <f t="shared" si="0"/>
        <v>9.7599988250748808</v>
      </c>
      <c r="T14" s="445">
        <f t="shared" si="0"/>
        <v>9.3060746600076492</v>
      </c>
      <c r="U14" s="445">
        <f t="shared" si="0"/>
        <v>9.139028232493331</v>
      </c>
      <c r="V14" s="445">
        <f t="shared" si="0"/>
        <v>8.9897986553543081</v>
      </c>
      <c r="W14" s="445">
        <f t="shared" si="0"/>
        <v>8.4249898278669306</v>
      </c>
      <c r="X14" s="445">
        <f t="shared" si="0"/>
        <v>8.3043372476602659</v>
      </c>
      <c r="Y14" s="445">
        <f t="shared" si="0"/>
        <v>8.1871620929409659</v>
      </c>
      <c r="Z14" s="445">
        <f t="shared" si="0"/>
        <v>8.0932121799178134</v>
      </c>
      <c r="AA14" s="445">
        <f t="shared" si="0"/>
        <v>8.6192917525175243</v>
      </c>
      <c r="AB14" s="445">
        <f t="shared" si="0"/>
        <v>8.6302590947879558</v>
      </c>
      <c r="AC14" s="445">
        <f t="shared" si="0"/>
        <v>8.6458124804731113</v>
      </c>
      <c r="AD14" s="445">
        <f t="shared" si="0"/>
        <v>8.6649998554818417</v>
      </c>
      <c r="AE14" s="445">
        <f t="shared" si="0"/>
        <v>8.6886417943388636</v>
      </c>
      <c r="AF14" s="445">
        <f t="shared" si="0"/>
        <v>8.7154442931442482</v>
      </c>
      <c r="AG14" s="445">
        <f t="shared" si="0"/>
        <v>8.7297025220919462</v>
      </c>
      <c r="AH14" s="445">
        <f t="shared" si="0"/>
        <v>8.7471536794311504</v>
      </c>
      <c r="AI14" s="445">
        <f t="shared" si="0"/>
        <v>8.7646775900196054</v>
      </c>
      <c r="AJ14" s="445">
        <f t="shared" si="0"/>
        <v>8.7844746588795495</v>
      </c>
      <c r="AK14" s="445">
        <f t="shared" si="0"/>
        <v>8.8069328068880566</v>
      </c>
    </row>
    <row r="15" spans="1:37">
      <c r="A15" s="57"/>
      <c r="B15" s="66"/>
      <c r="C15" s="66"/>
      <c r="D15" s="66"/>
      <c r="E15" s="66"/>
      <c r="F15" s="66"/>
      <c r="G15" s="66"/>
      <c r="H15" s="66"/>
      <c r="I15" s="66"/>
      <c r="J15" s="66"/>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44"/>
    </row>
    <row r="16" spans="1:37">
      <c r="A16" s="57" t="s">
        <v>29</v>
      </c>
      <c r="B16" s="66"/>
      <c r="C16" s="66"/>
      <c r="D16" s="66"/>
      <c r="E16" s="66"/>
      <c r="F16" s="66"/>
      <c r="G16" s="66"/>
      <c r="H16" s="66"/>
      <c r="I16" s="66"/>
      <c r="J16" s="66"/>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row>
    <row r="17" spans="1:37">
      <c r="A17" s="57" t="s">
        <v>24</v>
      </c>
      <c r="B17" s="66"/>
      <c r="C17" s="66"/>
      <c r="D17" s="66"/>
      <c r="E17" s="66"/>
      <c r="F17" s="66"/>
      <c r="G17" s="66"/>
      <c r="H17" s="66"/>
      <c r="I17" s="66"/>
      <c r="J17" s="66"/>
      <c r="K17" s="444"/>
      <c r="L17" s="444"/>
      <c r="M17" s="444"/>
      <c r="N17" s="444">
        <f>'Adjusted Consumption'!N17*parameters!$C$42</f>
        <v>0.20052682299425803</v>
      </c>
      <c r="O17" s="444">
        <f>'Adjusted Consumption'!O17*parameters!$C$42</f>
        <v>0.19653753402829022</v>
      </c>
      <c r="P17" s="444">
        <f>'Adjusted Consumption'!P17*parameters!$C$42</f>
        <v>0.2083343841051285</v>
      </c>
      <c r="Q17" s="444">
        <f>'Adjusted Consumption'!Q17*parameters!$C$42</f>
        <v>0.21583132065799404</v>
      </c>
      <c r="R17" s="444">
        <f>'Adjusted Consumption'!R17*parameters!$C$42</f>
        <v>0.22622696575529053</v>
      </c>
      <c r="S17" s="444">
        <f>'Adjusted Consumption'!S17*parameters!$C$42</f>
        <v>0.23673448951261417</v>
      </c>
      <c r="T17" s="444">
        <f>'Adjusted Consumption'!T17*parameters!$C$42</f>
        <v>0.23934576773392507</v>
      </c>
      <c r="U17" s="444">
        <f>'Adjusted Consumption'!U17*parameters!$C$42</f>
        <v>0.24183311397690402</v>
      </c>
      <c r="V17" s="444">
        <f>'Adjusted Consumption'!V17*parameters!$C$42</f>
        <v>0.24517811423207039</v>
      </c>
      <c r="W17" s="444">
        <f>'Adjusted Consumption'!W17*parameters!$C$42</f>
        <v>0.24855644641185123</v>
      </c>
      <c r="X17" s="444">
        <f>'Adjusted Consumption'!X17*parameters!$C$42</f>
        <v>0.25206892271103093</v>
      </c>
      <c r="Y17" s="444">
        <f>'Adjusted Consumption'!Y17*parameters!$C$42</f>
        <v>0.25534237592826686</v>
      </c>
      <c r="Z17" s="444">
        <f>'Adjusted Consumption'!Z17*parameters!$C$42</f>
        <v>0.25770389174583014</v>
      </c>
      <c r="AA17" s="444">
        <f>'Adjusted Consumption'!AA17*parameters!$C$42</f>
        <v>0.26532959821083113</v>
      </c>
      <c r="AB17" s="444">
        <f>'Adjusted Consumption'!AB17*parameters!$C$42</f>
        <v>0.26856007395362846</v>
      </c>
      <c r="AC17" s="444">
        <f>'Adjusted Consumption'!AC17*parameters!$C$42</f>
        <v>0.27142267635461303</v>
      </c>
      <c r="AD17" s="444">
        <f>'Adjusted Consumption'!AD17*parameters!$C$42</f>
        <v>0.27444184151929507</v>
      </c>
      <c r="AE17" s="444">
        <f>'Adjusted Consumption'!AE17*parameters!$C$42</f>
        <v>0.27773911364206727</v>
      </c>
      <c r="AF17" s="444">
        <f>'Adjusted Consumption'!AF17*parameters!$C$42</f>
        <v>0.28069850578285926</v>
      </c>
      <c r="AG17" s="444">
        <f>'Adjusted Consumption'!AG17*parameters!$C$42</f>
        <v>0.28353694080113773</v>
      </c>
      <c r="AH17" s="444">
        <f>'Adjusted Consumption'!AH17*parameters!$C$42</f>
        <v>0.28715645451071081</v>
      </c>
      <c r="AI17" s="444">
        <f>'Adjusted Consumption'!AI17*parameters!$C$42</f>
        <v>0.28924840676288938</v>
      </c>
      <c r="AJ17" s="444">
        <f>'Adjusted Consumption'!AJ17*parameters!$C$42</f>
        <v>0.2925446175247598</v>
      </c>
      <c r="AK17" s="444">
        <f>'Adjusted Consumption'!AK17*parameters!$C$42</f>
        <v>0.29603586482294536</v>
      </c>
    </row>
    <row r="18" spans="1:37">
      <c r="A18" s="57" t="s">
        <v>30</v>
      </c>
      <c r="B18" s="66"/>
      <c r="C18" s="66"/>
      <c r="D18" s="66"/>
      <c r="E18" s="66"/>
      <c r="F18" s="66"/>
      <c r="G18" s="66"/>
      <c r="H18" s="66"/>
      <c r="I18" s="66"/>
      <c r="J18" s="66"/>
      <c r="K18" s="444"/>
      <c r="L18" s="444"/>
      <c r="M18" s="444"/>
      <c r="N18" s="444">
        <f>'Adjusted Consumption'!N18*parameters!$C$31</f>
        <v>0.49149510711800271</v>
      </c>
      <c r="O18" s="444">
        <f>'Adjusted Consumption'!O18*parameters!$C$31</f>
        <v>0.54359293336520709</v>
      </c>
      <c r="P18" s="444">
        <f>'Adjusted Consumption'!P18*parameters!$C$31</f>
        <v>0.50754242137108518</v>
      </c>
      <c r="Q18" s="444">
        <f>'Adjusted Consumption'!Q18*parameters!$C$31</f>
        <v>0.44800861436859613</v>
      </c>
      <c r="R18" s="444">
        <f>'Adjusted Consumption'!R18*parameters!$C$31</f>
        <v>0.40658332182207363</v>
      </c>
      <c r="S18" s="444">
        <f>'Adjusted Consumption'!S18*parameters!$C$31</f>
        <v>0.37257576856608532</v>
      </c>
      <c r="T18" s="444">
        <f>'Adjusted Consumption'!T18*parameters!$C$31</f>
        <v>0.36974930588685234</v>
      </c>
      <c r="U18" s="444">
        <f>'Adjusted Consumption'!U18*parameters!$C$31</f>
        <v>0.36624995249254683</v>
      </c>
      <c r="V18" s="444">
        <f>'Adjusted Consumption'!V18*parameters!$C$31</f>
        <v>0.36827554975114662</v>
      </c>
      <c r="W18" s="444">
        <f>'Adjusted Consumption'!W18*parameters!$C$31</f>
        <v>0.37027299109446349</v>
      </c>
      <c r="X18" s="444">
        <f>'Adjusted Consumption'!X18*parameters!$C$31</f>
        <v>0.37106156951633823</v>
      </c>
      <c r="Y18" s="444">
        <f>'Adjusted Consumption'!Y18*parameters!$C$31</f>
        <v>0.37139496154997731</v>
      </c>
      <c r="Z18" s="444">
        <f>'Adjusted Consumption'!Z18*parameters!$C$31</f>
        <v>0.37089265407648564</v>
      </c>
      <c r="AA18" s="444">
        <f>'Adjusted Consumption'!AA18*parameters!$C$31</f>
        <v>0.37224871549610034</v>
      </c>
      <c r="AB18" s="444">
        <f>'Adjusted Consumption'!AB18*parameters!$C$31</f>
        <v>0.37207909036540271</v>
      </c>
      <c r="AC18" s="444">
        <f>'Adjusted Consumption'!AC18*parameters!$C$31</f>
        <v>0.37318715185573798</v>
      </c>
      <c r="AD18" s="444">
        <f>'Adjusted Consumption'!AD18*parameters!$C$31</f>
        <v>0.37421578888599488</v>
      </c>
      <c r="AE18" s="444">
        <f>'Adjusted Consumption'!AE18*parameters!$C$31</f>
        <v>0.3746243815136901</v>
      </c>
      <c r="AF18" s="444">
        <f>'Adjusted Consumption'!AF18*parameters!$C$31</f>
        <v>0.37583328308359898</v>
      </c>
      <c r="AG18" s="444">
        <f>'Adjusted Consumption'!AG18*parameters!$C$31</f>
        <v>0.37728432974178738</v>
      </c>
      <c r="AH18" s="444">
        <f>'Adjusted Consumption'!AH18*parameters!$C$31</f>
        <v>0.37652235494625486</v>
      </c>
      <c r="AI18" s="444">
        <f>'Adjusted Consumption'!AI18*parameters!$C$31</f>
        <v>0.37777085353602741</v>
      </c>
      <c r="AJ18" s="444">
        <f>'Adjusted Consumption'!AJ18*parameters!$C$31</f>
        <v>0.37859018389110466</v>
      </c>
      <c r="AK18" s="444">
        <f>'Adjusted Consumption'!AK18*parameters!$C$31</f>
        <v>0.37924234082298036</v>
      </c>
    </row>
    <row r="19" spans="1:37">
      <c r="A19" s="57" t="s">
        <v>56</v>
      </c>
      <c r="B19" s="66"/>
      <c r="C19" s="66"/>
      <c r="D19" s="66"/>
      <c r="E19" s="66"/>
      <c r="F19" s="66"/>
      <c r="G19" s="66"/>
      <c r="H19" s="66"/>
      <c r="I19" s="66"/>
      <c r="J19" s="66"/>
      <c r="K19" s="444"/>
      <c r="L19" s="444"/>
      <c r="M19" s="444"/>
      <c r="N19" s="444">
        <f>'Adjusted Consumption'!N19*parameters!$C$45</f>
        <v>1.1987260677638978E-3</v>
      </c>
      <c r="O19" s="444">
        <f>'Adjusted Consumption'!O19*parameters!$C$45</f>
        <v>1.9189709429055649E-3</v>
      </c>
      <c r="P19" s="444">
        <f>'Adjusted Consumption'!P19*parameters!$C$45</f>
        <v>1.863596675796126E-3</v>
      </c>
      <c r="Q19" s="444">
        <f>'Adjusted Consumption'!Q19*parameters!$C$45</f>
        <v>1.6147890178138048E-3</v>
      </c>
      <c r="R19" s="444">
        <f>'Adjusted Consumption'!R19*parameters!$C$45</f>
        <v>1.5172685173188351E-3</v>
      </c>
      <c r="S19" s="444">
        <f>'Adjusted Consumption'!S19*parameters!$C$45</f>
        <v>1.4536723179764269E-3</v>
      </c>
      <c r="T19" s="444">
        <f>'Adjusted Consumption'!T19*parameters!$C$45</f>
        <v>1.5446346054294828E-3</v>
      </c>
      <c r="U19" s="444">
        <f>'Adjusted Consumption'!U19*parameters!$C$45</f>
        <v>1.6222140648225565E-3</v>
      </c>
      <c r="V19" s="444">
        <f>'Adjusted Consumption'!V19*parameters!$C$45</f>
        <v>1.7181249484976451E-3</v>
      </c>
      <c r="W19" s="444">
        <f>'Adjusted Consumption'!W19*parameters!$C$45</f>
        <v>1.8175019207590569E-3</v>
      </c>
      <c r="X19" s="444">
        <f>'Adjusted Consumption'!X19*parameters!$C$45</f>
        <v>1.9091773828359502E-3</v>
      </c>
      <c r="Y19" s="444">
        <f>'Adjusted Consumption'!Y19*parameters!$C$45</f>
        <v>2.0001968704392655E-3</v>
      </c>
      <c r="Z19" s="444">
        <f>'Adjusted Consumption'!Z19*parameters!$C$45</f>
        <v>2.0796226196132658E-3</v>
      </c>
      <c r="AA19" s="444">
        <f>'Adjusted Consumption'!AA19*parameters!$C$45</f>
        <v>2.1721053064426019E-3</v>
      </c>
      <c r="AB19" s="444">
        <f>'Adjusted Consumption'!AB19*parameters!$C$45</f>
        <v>2.2564030536451327E-3</v>
      </c>
      <c r="AC19" s="444">
        <f>'Adjusted Consumption'!AC19*parameters!$C$45</f>
        <v>2.3468075633304472E-3</v>
      </c>
      <c r="AD19" s="444">
        <f>'Adjusted Consumption'!AD19*parameters!$C$45</f>
        <v>2.435987560748074E-3</v>
      </c>
      <c r="AE19" s="444">
        <f>'Adjusted Consumption'!AE19*parameters!$C$45</f>
        <v>2.5244435267919888E-3</v>
      </c>
      <c r="AF19" s="444">
        <f>'Adjusted Consumption'!AF19*parameters!$C$45</f>
        <v>2.617953617741281E-3</v>
      </c>
      <c r="AG19" s="444">
        <f>'Adjusted Consumption'!AG19*parameters!$C$45</f>
        <v>2.7096175548817583E-3</v>
      </c>
      <c r="AH19" s="444">
        <f>'Adjusted Consumption'!AH19*parameters!$C$45</f>
        <v>2.7723324335959714E-3</v>
      </c>
      <c r="AI19" s="444">
        <f>'Adjusted Consumption'!AI19*parameters!$C$45</f>
        <v>2.8614460863008394E-3</v>
      </c>
      <c r="AJ19" s="444">
        <f>'Adjusted Consumption'!AJ19*parameters!$C$45</f>
        <v>2.9451386859739442E-3</v>
      </c>
      <c r="AK19" s="444">
        <f>'Adjusted Consumption'!AK19*parameters!$C$45</f>
        <v>3.0305403603860716E-3</v>
      </c>
    </row>
    <row r="20" spans="1:37">
      <c r="A20" s="57" t="s">
        <v>25</v>
      </c>
      <c r="B20" s="66"/>
      <c r="C20" s="66"/>
      <c r="D20" s="66"/>
      <c r="E20" s="66"/>
      <c r="F20" s="66"/>
      <c r="G20" s="66"/>
      <c r="H20" s="66"/>
      <c r="I20" s="66"/>
      <c r="J20" s="66"/>
      <c r="K20" s="444"/>
      <c r="L20" s="444"/>
      <c r="M20" s="444"/>
      <c r="N20" s="444">
        <f>'Adjusted Consumption'!N20*parameters!$C$37</f>
        <v>0.5581020400937533</v>
      </c>
      <c r="O20" s="444">
        <f>'Adjusted Consumption'!O20*parameters!$C$37</f>
        <v>0.60928919604120357</v>
      </c>
      <c r="P20" s="444">
        <f>'Adjusted Consumption'!P20*parameters!$C$37</f>
        <v>0.59353666325764765</v>
      </c>
      <c r="Q20" s="444">
        <f>'Adjusted Consumption'!Q20*parameters!$C$37</f>
        <v>0.58273635290068226</v>
      </c>
      <c r="R20" s="444">
        <f>'Adjusted Consumption'!R20*parameters!$C$37</f>
        <v>0.57272790397880657</v>
      </c>
      <c r="S20" s="444">
        <f>'Adjusted Consumption'!S20*parameters!$C$37</f>
        <v>0.56775524408359823</v>
      </c>
      <c r="T20" s="444">
        <f>'Adjusted Consumption'!T20*parameters!$C$37</f>
        <v>0.56341118585200678</v>
      </c>
      <c r="U20" s="444">
        <f>'Adjusted Consumption'!U20*parameters!$C$37</f>
        <v>0.55920930143384362</v>
      </c>
      <c r="V20" s="444">
        <f>'Adjusted Consumption'!V20*parameters!$C$37</f>
        <v>0.55519898511106447</v>
      </c>
      <c r="W20" s="444">
        <f>'Adjusted Consumption'!W20*parameters!$C$37</f>
        <v>0.55206749489324081</v>
      </c>
      <c r="X20" s="444">
        <f>'Adjusted Consumption'!X20*parameters!$C$37</f>
        <v>0.5489752564491881</v>
      </c>
      <c r="Y20" s="444">
        <f>'Adjusted Consumption'!Y20*parameters!$C$37</f>
        <v>0.54567171473356568</v>
      </c>
      <c r="Z20" s="444">
        <f>'Adjusted Consumption'!Z20*parameters!$C$37</f>
        <v>0.54185402042382436</v>
      </c>
      <c r="AA20" s="444">
        <f>'Adjusted Consumption'!AA20*parameters!$C$37</f>
        <v>0.5462903626496094</v>
      </c>
      <c r="AB20" s="444">
        <f>'Adjusted Consumption'!AB20*parameters!$C$37</f>
        <v>0.54376623508985422</v>
      </c>
      <c r="AC20" s="444">
        <f>'Adjusted Consumption'!AC20*parameters!$C$37</f>
        <v>0.54149614406401159</v>
      </c>
      <c r="AD20" s="444">
        <f>'Adjusted Consumption'!AD20*parameters!$C$37</f>
        <v>0.53938298997425449</v>
      </c>
      <c r="AE20" s="444">
        <f>'Adjusted Consumption'!AE20*parameters!$C$37</f>
        <v>0.53720157191618245</v>
      </c>
      <c r="AF20" s="444">
        <f>'Adjusted Consumption'!AF20*parameters!$C$37</f>
        <v>0.53521772769728182</v>
      </c>
      <c r="AG20" s="444">
        <f>'Adjusted Consumption'!AG20*parameters!$C$37</f>
        <v>0.53358732372090056</v>
      </c>
      <c r="AH20" s="444">
        <f>'Adjusted Consumption'!AH20*parameters!$C$37</f>
        <v>0.5311697234595073</v>
      </c>
      <c r="AI20" s="444">
        <f>'Adjusted Consumption'!AI20*parameters!$C$37</f>
        <v>0.52914506976817632</v>
      </c>
      <c r="AJ20" s="444">
        <f>'Adjusted Consumption'!AJ20*parameters!$C$37</f>
        <v>0.5272906206924719</v>
      </c>
      <c r="AK20" s="444">
        <f>'Adjusted Consumption'!AK20*parameters!$C$37</f>
        <v>0.52571951144043483</v>
      </c>
    </row>
    <row r="21" spans="1:37">
      <c r="A21" s="57" t="s">
        <v>31</v>
      </c>
      <c r="B21" s="66"/>
      <c r="C21" s="66"/>
      <c r="D21" s="66"/>
      <c r="E21" s="66"/>
      <c r="F21" s="66"/>
      <c r="G21" s="66"/>
      <c r="H21" s="66"/>
      <c r="I21" s="66"/>
      <c r="J21" s="66"/>
      <c r="K21" s="444"/>
      <c r="L21" s="444"/>
      <c r="M21" s="444"/>
      <c r="N21" s="444">
        <f>'Adjusted Consumption'!N21*parameters!$C$47</f>
        <v>0</v>
      </c>
      <c r="O21" s="444">
        <f>'Adjusted Consumption'!O21*parameters!$C$47</f>
        <v>0</v>
      </c>
      <c r="P21" s="444">
        <f>'Adjusted Consumption'!P21*parameters!$C$47</f>
        <v>0</v>
      </c>
      <c r="Q21" s="444">
        <f>'Adjusted Consumption'!Q21*parameters!$C$47</f>
        <v>0</v>
      </c>
      <c r="R21" s="444">
        <f>'Adjusted Consumption'!R21*parameters!$C$47</f>
        <v>0</v>
      </c>
      <c r="S21" s="444">
        <f>'Adjusted Consumption'!S21*parameters!$C$47</f>
        <v>0</v>
      </c>
      <c r="T21" s="444">
        <f>'Adjusted Consumption'!T21*parameters!$C$47</f>
        <v>0</v>
      </c>
      <c r="U21" s="444">
        <f>'Adjusted Consumption'!U21*parameters!$C$47</f>
        <v>0</v>
      </c>
      <c r="V21" s="444">
        <f>'Adjusted Consumption'!V21*parameters!$C$47</f>
        <v>0</v>
      </c>
      <c r="W21" s="444">
        <f>'Adjusted Consumption'!W21*parameters!$C$47</f>
        <v>0</v>
      </c>
      <c r="X21" s="444">
        <f>'Adjusted Consumption'!X21*parameters!$C$47</f>
        <v>0</v>
      </c>
      <c r="Y21" s="444">
        <f>'Adjusted Consumption'!Y21*parameters!$C$47</f>
        <v>0</v>
      </c>
      <c r="Z21" s="444">
        <f>'Adjusted Consumption'!Z21*parameters!$C$47</f>
        <v>0</v>
      </c>
      <c r="AA21" s="444">
        <f>'Adjusted Consumption'!AA21*parameters!$C$47</f>
        <v>0</v>
      </c>
      <c r="AB21" s="444">
        <f>'Adjusted Consumption'!AB21*parameters!$C$47</f>
        <v>0</v>
      </c>
      <c r="AC21" s="444">
        <f>'Adjusted Consumption'!AC21*parameters!$C$47</f>
        <v>0</v>
      </c>
      <c r="AD21" s="444">
        <f>'Adjusted Consumption'!AD21*parameters!$C$47</f>
        <v>0</v>
      </c>
      <c r="AE21" s="444">
        <f>'Adjusted Consumption'!AE21*parameters!$C$47</f>
        <v>0</v>
      </c>
      <c r="AF21" s="444">
        <f>'Adjusted Consumption'!AF21*parameters!$C$47</f>
        <v>0</v>
      </c>
      <c r="AG21" s="444">
        <f>'Adjusted Consumption'!AG21*parameters!$C$47</f>
        <v>0</v>
      </c>
      <c r="AH21" s="444">
        <f>'Adjusted Consumption'!AH21*parameters!$C$47</f>
        <v>0</v>
      </c>
      <c r="AI21" s="444">
        <f>'Adjusted Consumption'!AI21*parameters!$C$47</f>
        <v>0</v>
      </c>
      <c r="AJ21" s="444">
        <f>'Adjusted Consumption'!AJ21*parameters!$C$47</f>
        <v>0</v>
      </c>
      <c r="AK21" s="444">
        <f>'Adjusted Consumption'!AK21*parameters!$C$47</f>
        <v>0</v>
      </c>
    </row>
    <row r="22" spans="1:37">
      <c r="A22" s="57" t="s">
        <v>26</v>
      </c>
      <c r="B22" s="66"/>
      <c r="C22" s="66"/>
      <c r="D22" s="66"/>
      <c r="E22" s="66"/>
      <c r="F22" s="66"/>
      <c r="G22" s="66"/>
      <c r="H22" s="66"/>
      <c r="I22" s="66"/>
      <c r="J22" s="66"/>
      <c r="K22" s="444"/>
      <c r="L22" s="444"/>
      <c r="M22" s="444"/>
      <c r="N22" s="444">
        <f>'Adjusted Consumption'!N22*parameters!$C$34</f>
        <v>2.9789382020694384</v>
      </c>
      <c r="O22" s="444">
        <f>'Adjusted Consumption'!O22*parameters!$C$34</f>
        <v>3.1537887581576833</v>
      </c>
      <c r="P22" s="444">
        <f>'Adjusted Consumption'!P22*parameters!$C$34</f>
        <v>3.1184594059108739</v>
      </c>
      <c r="Q22" s="444">
        <f>'Adjusted Consumption'!Q22*parameters!$C$34</f>
        <v>3.106638486311708</v>
      </c>
      <c r="R22" s="444">
        <f>'Adjusted Consumption'!R22*parameters!$C$34</f>
        <v>3.0939499845190399</v>
      </c>
      <c r="S22" s="444">
        <f>'Adjusted Consumption'!S22*parameters!$C$34</f>
        <v>3.0862062516931132</v>
      </c>
      <c r="T22" s="444">
        <f>'Adjusted Consumption'!T22*parameters!$C$34</f>
        <v>3.0817096428721751</v>
      </c>
      <c r="U22" s="444">
        <f>'Adjusted Consumption'!U22*parameters!$C$34</f>
        <v>3.0808802981767767</v>
      </c>
      <c r="V22" s="444">
        <f>'Adjusted Consumption'!V22*parameters!$C$34</f>
        <v>3.0822779035460353</v>
      </c>
      <c r="W22" s="444">
        <f>'Adjusted Consumption'!W22*parameters!$C$34</f>
        <v>3.092805939843537</v>
      </c>
      <c r="X22" s="444">
        <f>'Adjusted Consumption'!X22*parameters!$C$34</f>
        <v>3.1074693532450444</v>
      </c>
      <c r="Y22" s="444">
        <f>'Adjusted Consumption'!Y22*parameters!$C$34</f>
        <v>3.126451543807204</v>
      </c>
      <c r="Z22" s="444">
        <f>'Adjusted Consumption'!Z22*parameters!$C$34</f>
        <v>3.1433681723655056</v>
      </c>
      <c r="AA22" s="444">
        <f>'Adjusted Consumption'!AA22*parameters!$C$34</f>
        <v>3.2375600713401846</v>
      </c>
      <c r="AB22" s="444">
        <f>'Adjusted Consumption'!AB22*parameters!$C$34</f>
        <v>3.269735090225891</v>
      </c>
      <c r="AC22" s="444">
        <f>'Adjusted Consumption'!AC22*parameters!$C$34</f>
        <v>3.3034792567187199</v>
      </c>
      <c r="AD22" s="444">
        <f>'Adjusted Consumption'!AD22*parameters!$C$34</f>
        <v>3.3377826276859395</v>
      </c>
      <c r="AE22" s="444">
        <f>'Adjusted Consumption'!AE22*parameters!$C$34</f>
        <v>3.3723258847387019</v>
      </c>
      <c r="AF22" s="444">
        <f>'Adjusted Consumption'!AF22*parameters!$C$34</f>
        <v>3.4080368867832647</v>
      </c>
      <c r="AG22" s="444">
        <f>'Adjusted Consumption'!AG22*parameters!$C$34</f>
        <v>3.4412046937807972</v>
      </c>
      <c r="AH22" s="444">
        <f>'Adjusted Consumption'!AH22*parameters!$C$34</f>
        <v>3.4747586798645909</v>
      </c>
      <c r="AI22" s="444">
        <f>'Adjusted Consumption'!AI22*parameters!$C$34</f>
        <v>3.5094648879828254</v>
      </c>
      <c r="AJ22" s="444">
        <f>'Adjusted Consumption'!AJ22*parameters!$C$34</f>
        <v>3.5465527688425382</v>
      </c>
      <c r="AK22" s="444">
        <f>'Adjusted Consumption'!AK22*parameters!$C$34</f>
        <v>3.5859376109423633</v>
      </c>
    </row>
    <row r="23" spans="1:37">
      <c r="A23" s="57" t="s">
        <v>57</v>
      </c>
      <c r="B23" s="66"/>
      <c r="C23" s="66"/>
      <c r="D23" s="66"/>
      <c r="E23" s="66"/>
      <c r="F23" s="66"/>
      <c r="G23" s="66"/>
      <c r="H23" s="66"/>
      <c r="I23" s="66"/>
      <c r="J23" s="66"/>
      <c r="K23" s="444"/>
      <c r="L23" s="444"/>
      <c r="M23" s="444"/>
      <c r="N23" s="444">
        <f>'Adjusted Consumption'!N23*parameters!$C$36</f>
        <v>0</v>
      </c>
      <c r="O23" s="444">
        <f>'Adjusted Consumption'!O23*parameters!$C$36</f>
        <v>0</v>
      </c>
      <c r="P23" s="444">
        <f>'Adjusted Consumption'!P23*parameters!$C$36</f>
        <v>0</v>
      </c>
      <c r="Q23" s="444">
        <f>'Adjusted Consumption'!Q23*parameters!$C$36</f>
        <v>0</v>
      </c>
      <c r="R23" s="444">
        <f>'Adjusted Consumption'!R23*parameters!$C$36</f>
        <v>0</v>
      </c>
      <c r="S23" s="444">
        <f>'Adjusted Consumption'!S23*parameters!$C$36</f>
        <v>0</v>
      </c>
      <c r="T23" s="444">
        <f>'Adjusted Consumption'!T23*parameters!$C$36</f>
        <v>0</v>
      </c>
      <c r="U23" s="444">
        <f>'Adjusted Consumption'!U23*parameters!$C$36</f>
        <v>0</v>
      </c>
      <c r="V23" s="444">
        <f>'Adjusted Consumption'!V23*parameters!$C$36</f>
        <v>0</v>
      </c>
      <c r="W23" s="444">
        <f>'Adjusted Consumption'!W23*parameters!$C$36</f>
        <v>0</v>
      </c>
      <c r="X23" s="444">
        <f>'Adjusted Consumption'!X23*parameters!$C$36</f>
        <v>0</v>
      </c>
      <c r="Y23" s="444">
        <f>'Adjusted Consumption'!Y23*parameters!$C$36</f>
        <v>0</v>
      </c>
      <c r="Z23" s="444">
        <f>'Adjusted Consumption'!Z23*parameters!$C$36</f>
        <v>0</v>
      </c>
      <c r="AA23" s="444">
        <f>'Adjusted Consumption'!AA23*parameters!$C$36</f>
        <v>0</v>
      </c>
      <c r="AB23" s="444">
        <f>'Adjusted Consumption'!AB23*parameters!$C$36</f>
        <v>0</v>
      </c>
      <c r="AC23" s="444">
        <f>'Adjusted Consumption'!AC23*parameters!$C$36</f>
        <v>0</v>
      </c>
      <c r="AD23" s="444">
        <f>'Adjusted Consumption'!AD23*parameters!$C$36</f>
        <v>0</v>
      </c>
      <c r="AE23" s="444">
        <f>'Adjusted Consumption'!AE23*parameters!$C$36</f>
        <v>0</v>
      </c>
      <c r="AF23" s="444">
        <f>'Adjusted Consumption'!AF23*parameters!$C$36</f>
        <v>0</v>
      </c>
      <c r="AG23" s="444">
        <f>'Adjusted Consumption'!AG23*parameters!$C$36</f>
        <v>0</v>
      </c>
      <c r="AH23" s="444">
        <f>'Adjusted Consumption'!AH23*parameters!$C$36</f>
        <v>0</v>
      </c>
      <c r="AI23" s="444">
        <f>'Adjusted Consumption'!AI23*parameters!$C$36</f>
        <v>0</v>
      </c>
      <c r="AJ23" s="444">
        <f>'Adjusted Consumption'!AJ23*parameters!$C$36</f>
        <v>0</v>
      </c>
      <c r="AK23" s="444">
        <f>'Adjusted Consumption'!AK23*parameters!$C$36</f>
        <v>0</v>
      </c>
    </row>
    <row r="24" spans="1:37">
      <c r="A24" s="57" t="s">
        <v>59</v>
      </c>
      <c r="B24" s="66"/>
      <c r="C24" s="66"/>
      <c r="D24" s="66"/>
      <c r="E24" s="66"/>
      <c r="F24" s="66"/>
      <c r="G24" s="66"/>
      <c r="H24" s="66"/>
      <c r="I24" s="66"/>
      <c r="J24" s="66"/>
      <c r="K24" s="444"/>
      <c r="L24" s="444"/>
      <c r="M24" s="444"/>
      <c r="N24" s="444">
        <f>'Adjusted Consumption'!N24*parameters!$C$50</f>
        <v>0</v>
      </c>
      <c r="O24" s="444">
        <f>'Adjusted Consumption'!O24*parameters!$C$50</f>
        <v>0</v>
      </c>
      <c r="P24" s="444">
        <f>'Adjusted Consumption'!P24*parameters!$C$50</f>
        <v>0</v>
      </c>
      <c r="Q24" s="444">
        <f>'Adjusted Consumption'!Q24*parameters!$C$50</f>
        <v>0</v>
      </c>
      <c r="R24" s="444">
        <f>'Adjusted Consumption'!R24*parameters!$C$50</f>
        <v>0</v>
      </c>
      <c r="S24" s="444">
        <f>'Adjusted Consumption'!S24*parameters!$C$50</f>
        <v>0</v>
      </c>
      <c r="T24" s="444">
        <f>'Adjusted Consumption'!T24*parameters!$C$50</f>
        <v>0</v>
      </c>
      <c r="U24" s="444">
        <f>'Adjusted Consumption'!U24*parameters!$C$50</f>
        <v>0</v>
      </c>
      <c r="V24" s="444">
        <f>'Adjusted Consumption'!V24*parameters!$C$50</f>
        <v>0</v>
      </c>
      <c r="W24" s="444">
        <f>'Adjusted Consumption'!W24*parameters!$C$50</f>
        <v>0</v>
      </c>
      <c r="X24" s="444">
        <f>'Adjusted Consumption'!X24*parameters!$C$50</f>
        <v>0</v>
      </c>
      <c r="Y24" s="444">
        <f>'Adjusted Consumption'!Y24*parameters!$C$50</f>
        <v>0</v>
      </c>
      <c r="Z24" s="444">
        <f>'Adjusted Consumption'!Z24*parameters!$C$50</f>
        <v>0</v>
      </c>
      <c r="AA24" s="444">
        <f>'Adjusted Consumption'!AA24*parameters!$C$50</f>
        <v>0</v>
      </c>
      <c r="AB24" s="444">
        <f>'Adjusted Consumption'!AB24*parameters!$C$50</f>
        <v>0</v>
      </c>
      <c r="AC24" s="444">
        <f>'Adjusted Consumption'!AC24*parameters!$C$50</f>
        <v>0</v>
      </c>
      <c r="AD24" s="444">
        <f>'Adjusted Consumption'!AD24*parameters!$C$50</f>
        <v>0</v>
      </c>
      <c r="AE24" s="444">
        <f>'Adjusted Consumption'!AE24*parameters!$C$50</f>
        <v>0</v>
      </c>
      <c r="AF24" s="444">
        <f>'Adjusted Consumption'!AF24*parameters!$C$50</f>
        <v>0</v>
      </c>
      <c r="AG24" s="444">
        <f>'Adjusted Consumption'!AG24*parameters!$C$50</f>
        <v>0</v>
      </c>
      <c r="AH24" s="444">
        <f>'Adjusted Consumption'!AH24*parameters!$C$50</f>
        <v>0</v>
      </c>
      <c r="AI24" s="444">
        <f>'Adjusted Consumption'!AI24*parameters!$C$50</f>
        <v>0</v>
      </c>
      <c r="AJ24" s="444">
        <f>'Adjusted Consumption'!AJ24*parameters!$C$50</f>
        <v>0</v>
      </c>
      <c r="AK24" s="444">
        <f>'Adjusted Consumption'!AK24*parameters!$C$50</f>
        <v>0</v>
      </c>
    </row>
    <row r="25" spans="1:37">
      <c r="A25" s="57" t="s">
        <v>27</v>
      </c>
      <c r="B25" s="66"/>
      <c r="C25" s="66"/>
      <c r="D25" s="66"/>
      <c r="E25" s="66"/>
      <c r="F25" s="66"/>
      <c r="G25" s="66"/>
      <c r="H25" s="66"/>
      <c r="I25" s="66"/>
      <c r="J25" s="66"/>
      <c r="K25" s="444"/>
      <c r="L25" s="444"/>
      <c r="M25" s="444"/>
      <c r="N25" s="444">
        <f>N82*'Adjusted Consumption'!N164</f>
        <v>5.6071265092057505</v>
      </c>
      <c r="O25" s="444">
        <f>O82*'Adjusted Consumption'!O164</f>
        <v>5.3868289806009635</v>
      </c>
      <c r="P25" s="444">
        <f>P82*'Adjusted Consumption'!P164</f>
        <v>5.1742165418147446</v>
      </c>
      <c r="Q25" s="444">
        <f>Q82*'Adjusted Consumption'!Q164</f>
        <v>4.8994311727703437</v>
      </c>
      <c r="R25" s="444">
        <f>R82*'Adjusted Consumption'!R164</f>
        <v>4.2870404490318341</v>
      </c>
      <c r="S25" s="444">
        <f>S82*'Adjusted Consumption'!S164</f>
        <v>4.140509267837321</v>
      </c>
      <c r="T25" s="444">
        <f>T82*'Adjusted Consumption'!T164</f>
        <v>3.741605972958991</v>
      </c>
      <c r="U25" s="444">
        <f>U82*'Adjusted Consumption'!U164</f>
        <v>3.599349185172755</v>
      </c>
      <c r="V25" s="444">
        <f>V82*'Adjusted Consumption'!V164</f>
        <v>3.4832563306591009</v>
      </c>
      <c r="W25" s="444">
        <f>W82*'Adjusted Consumption'!W164</f>
        <v>2.9931842190716509</v>
      </c>
      <c r="X25" s="444">
        <f>X82*'Adjusted Consumption'!X164</f>
        <v>2.9155968043007015</v>
      </c>
      <c r="Y25" s="444">
        <f>Y82*'Adjusted Consumption'!Y164</f>
        <v>2.8563357693251135</v>
      </c>
      <c r="Z25" s="444">
        <f>Z82*'Adjusted Consumption'!Z164</f>
        <v>2.8159574141368666</v>
      </c>
      <c r="AA25" s="444">
        <f>AA82*'Adjusted Consumption'!AA164</f>
        <v>3.2511226767330266</v>
      </c>
      <c r="AB25" s="444">
        <f>AB82*'Adjusted Consumption'!AB164</f>
        <v>3.2972472769906713</v>
      </c>
      <c r="AC25" s="444">
        <f>AC82*'Adjusted Consumption'!AC164</f>
        <v>3.3490361406988352</v>
      </c>
      <c r="AD25" s="444">
        <f>AD82*'Adjusted Consumption'!AD164</f>
        <v>3.4035150817734712</v>
      </c>
      <c r="AE25" s="444">
        <f>AE82*'Adjusted Consumption'!AE164</f>
        <v>3.4588660468325703</v>
      </c>
      <c r="AF25" s="444">
        <f>AF82*'Adjusted Consumption'!AF164</f>
        <v>3.519860505715803</v>
      </c>
      <c r="AG25" s="444">
        <f>AG82*'Adjusted Consumption'!AG164</f>
        <v>3.5722117629237924</v>
      </c>
      <c r="AH25" s="444">
        <f>AH82*'Adjusted Consumption'!AH164</f>
        <v>3.6276667017222786</v>
      </c>
      <c r="AI25" s="444">
        <f>AI82*'Adjusted Consumption'!AI164</f>
        <v>3.6831222269274297</v>
      </c>
      <c r="AJ25" s="444">
        <f>AJ82*'Adjusted Consumption'!AJ164</f>
        <v>3.7385738163097924</v>
      </c>
      <c r="AK25" s="444">
        <f>AK82*'Adjusted Consumption'!AK164</f>
        <v>3.793994282474312</v>
      </c>
    </row>
    <row r="26" spans="1:37">
      <c r="A26" s="57" t="s">
        <v>28</v>
      </c>
      <c r="B26" s="66"/>
      <c r="C26" s="66"/>
      <c r="D26" s="66"/>
      <c r="E26" s="66"/>
      <c r="F26" s="66"/>
      <c r="G26" s="66"/>
      <c r="H26" s="66"/>
      <c r="I26" s="66"/>
      <c r="J26" s="66"/>
      <c r="K26" s="445"/>
      <c r="L26" s="445"/>
      <c r="M26" s="445"/>
      <c r="N26" s="445">
        <f t="shared" ref="N26:AF26" si="1">SUM(N17:N25)</f>
        <v>9.8373874075489667</v>
      </c>
      <c r="O26" s="445">
        <f t="shared" si="1"/>
        <v>9.891956373136253</v>
      </c>
      <c r="P26" s="445">
        <f t="shared" si="1"/>
        <v>9.6039530131352748</v>
      </c>
      <c r="Q26" s="445">
        <f t="shared" si="1"/>
        <v>9.2542607360271383</v>
      </c>
      <c r="R26" s="445">
        <f t="shared" si="1"/>
        <v>8.5880458936243649</v>
      </c>
      <c r="S26" s="445">
        <f t="shared" si="1"/>
        <v>8.4052346940107086</v>
      </c>
      <c r="T26" s="445">
        <f t="shared" si="1"/>
        <v>7.99736650990938</v>
      </c>
      <c r="U26" s="445">
        <f t="shared" si="1"/>
        <v>7.849144065317649</v>
      </c>
      <c r="V26" s="445">
        <f t="shared" si="1"/>
        <v>7.735905008247915</v>
      </c>
      <c r="W26" s="445">
        <f t="shared" si="1"/>
        <v>7.2587045932355023</v>
      </c>
      <c r="X26" s="445">
        <f t="shared" si="1"/>
        <v>7.1970810836051395</v>
      </c>
      <c r="Y26" s="445">
        <f t="shared" si="1"/>
        <v>7.1571965622145663</v>
      </c>
      <c r="Z26" s="445">
        <f t="shared" si="1"/>
        <v>7.1318557753681251</v>
      </c>
      <c r="AA26" s="445">
        <f t="shared" si="1"/>
        <v>7.6747235297361946</v>
      </c>
      <c r="AB26" s="445">
        <f t="shared" si="1"/>
        <v>7.7536441696790934</v>
      </c>
      <c r="AC26" s="445">
        <f t="shared" si="1"/>
        <v>7.8409681772552489</v>
      </c>
      <c r="AD26" s="445">
        <f t="shared" si="1"/>
        <v>7.9317743173997028</v>
      </c>
      <c r="AE26" s="445">
        <f t="shared" si="1"/>
        <v>8.0232814421700045</v>
      </c>
      <c r="AF26" s="445">
        <f t="shared" si="1"/>
        <v>8.1222648626805487</v>
      </c>
      <c r="AG26" s="445">
        <f>SUM(AG17:AG25)</f>
        <v>8.2105346685232963</v>
      </c>
      <c r="AH26" s="445">
        <f>SUM(AH17:AH25)</f>
        <v>8.3000462469369385</v>
      </c>
      <c r="AI26" s="445">
        <f>SUM(AI17:AI25)</f>
        <v>8.391612891063648</v>
      </c>
      <c r="AJ26" s="445">
        <f>SUM(AJ17:AJ25)</f>
        <v>8.4864971459466414</v>
      </c>
      <c r="AK26" s="445">
        <f>SUM(AK17:AK25)</f>
        <v>8.5839601508634225</v>
      </c>
    </row>
    <row r="27" spans="1:37">
      <c r="A27" s="57"/>
      <c r="B27" s="66"/>
      <c r="C27" s="66"/>
      <c r="D27" s="66"/>
      <c r="E27" s="66"/>
      <c r="F27" s="66"/>
      <c r="G27" s="66"/>
      <c r="H27" s="66"/>
      <c r="I27" s="66"/>
      <c r="J27" s="66"/>
      <c r="K27" s="444"/>
      <c r="L27" s="444"/>
      <c r="M27" s="444"/>
      <c r="N27" s="444"/>
      <c r="O27" s="444"/>
      <c r="P27" s="444"/>
      <c r="Q27" s="444"/>
      <c r="R27" s="444"/>
      <c r="S27" s="444"/>
      <c r="T27" s="444"/>
      <c r="U27" s="444"/>
      <c r="V27" s="444"/>
      <c r="W27" s="444"/>
      <c r="X27" s="444"/>
      <c r="Y27" s="444"/>
      <c r="Z27" s="444"/>
      <c r="AA27" s="444"/>
      <c r="AB27" s="444"/>
      <c r="AC27" s="444"/>
      <c r="AD27" s="444"/>
      <c r="AE27" s="444"/>
      <c r="AF27" s="444"/>
      <c r="AG27" s="444"/>
      <c r="AH27" s="444"/>
      <c r="AI27" s="444"/>
      <c r="AJ27" s="444"/>
      <c r="AK27" s="444"/>
    </row>
    <row r="28" spans="1:37">
      <c r="A28" s="57" t="s">
        <v>32</v>
      </c>
      <c r="B28" s="66"/>
      <c r="C28" s="66"/>
      <c r="D28" s="66"/>
      <c r="E28" s="66"/>
      <c r="F28" s="66"/>
      <c r="G28" s="66"/>
      <c r="H28" s="66"/>
      <c r="I28" s="66"/>
      <c r="J28" s="66"/>
      <c r="K28" s="444"/>
      <c r="L28" s="444"/>
      <c r="M28" s="444"/>
      <c r="N28" s="444"/>
      <c r="O28" s="444"/>
      <c r="P28" s="444"/>
      <c r="Q28" s="444"/>
      <c r="R28" s="444"/>
      <c r="S28" s="444"/>
      <c r="T28" s="444"/>
      <c r="U28" s="444"/>
      <c r="V28" s="444"/>
      <c r="W28" s="444"/>
      <c r="X28" s="444"/>
      <c r="Y28" s="444"/>
      <c r="Z28" s="444"/>
      <c r="AA28" s="444"/>
      <c r="AB28" s="444"/>
      <c r="AC28" s="444"/>
      <c r="AD28" s="444"/>
      <c r="AE28" s="444"/>
      <c r="AF28" s="444"/>
      <c r="AG28" s="444"/>
      <c r="AH28" s="444"/>
      <c r="AI28" s="444"/>
      <c r="AJ28" s="444"/>
      <c r="AK28" s="444"/>
    </row>
    <row r="29" spans="1:37">
      <c r="A29" s="57" t="s">
        <v>24</v>
      </c>
      <c r="B29" s="66"/>
      <c r="C29" s="66"/>
      <c r="D29" s="66"/>
      <c r="E29" s="66"/>
      <c r="F29" s="66"/>
      <c r="G29" s="66"/>
      <c r="H29" s="66"/>
      <c r="I29" s="66"/>
      <c r="J29" s="66"/>
      <c r="K29" s="444"/>
      <c r="L29" s="444"/>
      <c r="M29" s="444"/>
      <c r="N29" s="444">
        <f>'Adjusted Consumption'!N29*parameters!$C$42</f>
        <v>0.36577516174809455</v>
      </c>
      <c r="O29" s="444">
        <f>'Adjusted Consumption'!O29*parameters!$C$42</f>
        <v>0.40475071631365112</v>
      </c>
      <c r="P29" s="444">
        <f>'Adjusted Consumption'!P29*parameters!$C$42</f>
        <v>0.40071949448723615</v>
      </c>
      <c r="Q29" s="444">
        <f>'Adjusted Consumption'!Q29*parameters!$C$42</f>
        <v>0.42143665423585797</v>
      </c>
      <c r="R29" s="444">
        <f>'Adjusted Consumption'!R29*parameters!$C$42</f>
        <v>0.43412381357728846</v>
      </c>
      <c r="S29" s="444">
        <f>'Adjusted Consumption'!S29*parameters!$C$42</f>
        <v>0.44570997696249592</v>
      </c>
      <c r="T29" s="444">
        <f>'Adjusted Consumption'!T29*parameters!$C$42</f>
        <v>0.45921783494508189</v>
      </c>
      <c r="U29" s="444">
        <f>'Adjusted Consumption'!U29*parameters!$C$42</f>
        <v>0.47408081907060468</v>
      </c>
      <c r="V29" s="444">
        <f>'Adjusted Consumption'!V29*parameters!$C$42</f>
        <v>0.48019856981630782</v>
      </c>
      <c r="W29" s="444">
        <f>'Adjusted Consumption'!W29*parameters!$C$42</f>
        <v>0.48421658651253741</v>
      </c>
      <c r="X29" s="444">
        <f>'Adjusted Consumption'!X29*parameters!$C$42</f>
        <v>0.49055472347152923</v>
      </c>
      <c r="Y29" s="444">
        <f>'Adjusted Consumption'!Y29*parameters!$C$42</f>
        <v>0.49912419206110714</v>
      </c>
      <c r="Z29" s="444">
        <f>'Adjusted Consumption'!Z29*parameters!$C$42</f>
        <v>0.50600752403236571</v>
      </c>
      <c r="AA29" s="444">
        <f>'Adjusted Consumption'!AA29*parameters!$C$42</f>
        <v>0.53244775670977673</v>
      </c>
      <c r="AB29" s="444">
        <f>'Adjusted Consumption'!AB29*parameters!$C$42</f>
        <v>0.53997576718064877</v>
      </c>
      <c r="AC29" s="444">
        <f>'Adjusted Consumption'!AC29*parameters!$C$42</f>
        <v>0.54474301428405603</v>
      </c>
      <c r="AD29" s="444">
        <f>'Adjusted Consumption'!AD29*parameters!$C$42</f>
        <v>0.55183406078659458</v>
      </c>
      <c r="AE29" s="444">
        <f>'Adjusted Consumption'!AE29*parameters!$C$42</f>
        <v>0.55485023681945067</v>
      </c>
      <c r="AF29" s="444">
        <f>'Adjusted Consumption'!AF29*parameters!$C$42</f>
        <v>0.55746992215596369</v>
      </c>
      <c r="AG29" s="444">
        <f>'Adjusted Consumption'!AG29*parameters!$C$42</f>
        <v>0.56115761445449996</v>
      </c>
      <c r="AH29" s="444">
        <f>'Adjusted Consumption'!AH29*parameters!$C$42</f>
        <v>0.56736237108023502</v>
      </c>
      <c r="AI29" s="444">
        <f>'Adjusted Consumption'!AI29*parameters!$C$42</f>
        <v>0.57665215367906164</v>
      </c>
      <c r="AJ29" s="444">
        <f>'Adjusted Consumption'!AJ29*parameters!$C$42</f>
        <v>0.57998395340746123</v>
      </c>
      <c r="AK29" s="444">
        <f>'Adjusted Consumption'!AK29*parameters!$C$42</f>
        <v>0.58193770454496552</v>
      </c>
    </row>
    <row r="30" spans="1:37">
      <c r="A30" s="57" t="s">
        <v>30</v>
      </c>
      <c r="B30" s="66"/>
      <c r="C30" s="66"/>
      <c r="D30" s="66"/>
      <c r="E30" s="66"/>
      <c r="F30" s="66"/>
      <c r="G30" s="66"/>
      <c r="H30" s="66"/>
      <c r="I30" s="66"/>
      <c r="J30" s="66"/>
      <c r="K30" s="444"/>
      <c r="L30" s="444"/>
      <c r="M30" s="444"/>
      <c r="N30" s="444">
        <f>'Adjusted Consumption'!N30*parameters!$C$31</f>
        <v>0.40589287067881252</v>
      </c>
      <c r="O30" s="444">
        <f>'Adjusted Consumption'!O30*parameters!$C$31</f>
        <v>0.40939037643154491</v>
      </c>
      <c r="P30" s="444">
        <f>'Adjusted Consumption'!P30*parameters!$C$31</f>
        <v>0.41753500042287695</v>
      </c>
      <c r="Q30" s="444">
        <f>'Adjusted Consumption'!Q30*parameters!$C$31</f>
        <v>0.42220149483019748</v>
      </c>
      <c r="R30" s="444">
        <f>'Adjusted Consumption'!R30*parameters!$C$31</f>
        <v>0.42609015545179585</v>
      </c>
      <c r="S30" s="444">
        <f>'Adjusted Consumption'!S30*parameters!$C$31</f>
        <v>0.4300135465436648</v>
      </c>
      <c r="T30" s="444">
        <f>'Adjusted Consumption'!T30*parameters!$C$31</f>
        <v>0.43311099936866021</v>
      </c>
      <c r="U30" s="444">
        <f>'Adjusted Consumption'!U30*parameters!$C$31</f>
        <v>0.43628506699424957</v>
      </c>
      <c r="V30" s="444">
        <f>'Adjusted Consumption'!V30*parameters!$C$31</f>
        <v>0.43861686686698514</v>
      </c>
      <c r="W30" s="444">
        <f>'Adjusted Consumption'!W30*parameters!$C$31</f>
        <v>0.44180612459652097</v>
      </c>
      <c r="X30" s="444">
        <f>'Adjusted Consumption'!X30*parameters!$C$31</f>
        <v>0.44566422785260801</v>
      </c>
      <c r="Y30" s="444">
        <f>'Adjusted Consumption'!Y30*parameters!$C$31</f>
        <v>0.44731756190600552</v>
      </c>
      <c r="Z30" s="444">
        <f>'Adjusted Consumption'!Z30*parameters!$C$31</f>
        <v>0.4498521379727472</v>
      </c>
      <c r="AA30" s="444">
        <f>'Adjusted Consumption'!AA30*parameters!$C$31</f>
        <v>0.45199742629068024</v>
      </c>
      <c r="AB30" s="444">
        <f>'Adjusted Consumption'!AB30*parameters!$C$31</f>
        <v>0.45495167549412263</v>
      </c>
      <c r="AC30" s="444">
        <f>'Adjusted Consumption'!AC30*parameters!$C$31</f>
        <v>0.45800089350313095</v>
      </c>
      <c r="AD30" s="444">
        <f>'Adjusted Consumption'!AD30*parameters!$C$31</f>
        <v>0.46005407008921384</v>
      </c>
      <c r="AE30" s="444">
        <f>'Adjusted Consumption'!AE30*parameters!$C$31</f>
        <v>0.46267117761976634</v>
      </c>
      <c r="AF30" s="444">
        <f>'Adjusted Consumption'!AF30*parameters!$C$31</f>
        <v>0.46509494977218696</v>
      </c>
      <c r="AG30" s="444">
        <f>'Adjusted Consumption'!AG30*parameters!$C$31</f>
        <v>0.46775919104140418</v>
      </c>
      <c r="AH30" s="444">
        <f>'Adjusted Consumption'!AH30*parameters!$C$31</f>
        <v>0.4708485282954431</v>
      </c>
      <c r="AI30" s="444">
        <f>'Adjusted Consumption'!AI30*parameters!$C$31</f>
        <v>0.47367339891901145</v>
      </c>
      <c r="AJ30" s="444">
        <f>'Adjusted Consumption'!AJ30*parameters!$C$31</f>
        <v>0.47718118492053146</v>
      </c>
      <c r="AK30" s="444">
        <f>'Adjusted Consumption'!AK30*parameters!$C$31</f>
        <v>0.48087859293538199</v>
      </c>
    </row>
    <row r="31" spans="1:37">
      <c r="A31" s="57" t="s">
        <v>25</v>
      </c>
      <c r="B31" s="66"/>
      <c r="C31" s="66"/>
      <c r="D31" s="66"/>
      <c r="E31" s="66"/>
      <c r="F31" s="66"/>
      <c r="G31" s="66"/>
      <c r="H31" s="66"/>
      <c r="I31" s="66"/>
      <c r="J31" s="66"/>
      <c r="K31" s="444"/>
      <c r="L31" s="444"/>
      <c r="M31" s="444"/>
      <c r="N31" s="444">
        <f>'Adjusted Consumption'!N31*parameters!$C$37</f>
        <v>1.1529684781370322</v>
      </c>
      <c r="O31" s="444">
        <f>'Adjusted Consumption'!O31*parameters!$C$37</f>
        <v>1.1834048172634895</v>
      </c>
      <c r="P31" s="444">
        <f>'Adjusted Consumption'!P31*parameters!$C$37</f>
        <v>1.2177618271647743</v>
      </c>
      <c r="Q31" s="444">
        <f>'Adjusted Consumption'!Q31*parameters!$C$37</f>
        <v>1.2346994216768141</v>
      </c>
      <c r="R31" s="444">
        <f>'Adjusted Consumption'!R31*parameters!$C$37</f>
        <v>1.2498377140923707</v>
      </c>
      <c r="S31" s="444">
        <f>'Adjusted Consumption'!S31*parameters!$C$37</f>
        <v>1.2644723538929299</v>
      </c>
      <c r="T31" s="444">
        <f>'Adjusted Consumption'!T31*parameters!$C$37</f>
        <v>1.2777225712369424</v>
      </c>
      <c r="U31" s="444">
        <f>'Adjusted Consumption'!U31*parameters!$C$37</f>
        <v>1.2946416577042539</v>
      </c>
      <c r="V31" s="444">
        <f>'Adjusted Consumption'!V31*parameters!$C$37</f>
        <v>1.3050029581700981</v>
      </c>
      <c r="W31" s="444">
        <f>'Adjusted Consumption'!W31*parameters!$C$37</f>
        <v>1.3149356677787609</v>
      </c>
      <c r="X31" s="444">
        <f>'Adjusted Consumption'!X31*parameters!$C$37</f>
        <v>1.3240831493428111</v>
      </c>
      <c r="Y31" s="444">
        <f>'Adjusted Consumption'!Y31*parameters!$C$37</f>
        <v>1.3349975732209947</v>
      </c>
      <c r="Z31" s="444">
        <f>'Adjusted Consumption'!Z31*parameters!$C$37</f>
        <v>1.3417667281420935</v>
      </c>
      <c r="AA31" s="444">
        <f>'Adjusted Consumption'!AA31*parameters!$C$37</f>
        <v>1.3850945510217489</v>
      </c>
      <c r="AB31" s="444">
        <f>'Adjusted Consumption'!AB31*parameters!$C$37</f>
        <v>1.3977928133919735</v>
      </c>
      <c r="AC31" s="444">
        <f>'Adjusted Consumption'!AC31*parameters!$C$37</f>
        <v>1.4075765951511578</v>
      </c>
      <c r="AD31" s="444">
        <f>'Adjusted Consumption'!AD31*parameters!$C$37</f>
        <v>1.4162880496901913</v>
      </c>
      <c r="AE31" s="444">
        <f>'Adjusted Consumption'!AE31*parameters!$C$37</f>
        <v>1.4291614873989231</v>
      </c>
      <c r="AF31" s="444">
        <f>'Adjusted Consumption'!AF31*parameters!$C$37</f>
        <v>1.4428190532578864</v>
      </c>
      <c r="AG31" s="444">
        <f>'Adjusted Consumption'!AG31*parameters!$C$37</f>
        <v>1.4569692000278849</v>
      </c>
      <c r="AH31" s="444">
        <f>'Adjusted Consumption'!AH31*parameters!$C$37</f>
        <v>1.4709587208634367</v>
      </c>
      <c r="AI31" s="444">
        <f>'Adjusted Consumption'!AI31*parameters!$C$37</f>
        <v>1.4876411741461544</v>
      </c>
      <c r="AJ31" s="444">
        <f>'Adjusted Consumption'!AJ31*parameters!$C$37</f>
        <v>1.5021945512688779</v>
      </c>
      <c r="AK31" s="444">
        <f>'Adjusted Consumption'!AK31*parameters!$C$37</f>
        <v>1.5187862160207966</v>
      </c>
    </row>
    <row r="32" spans="1:37">
      <c r="A32" s="57" t="s">
        <v>31</v>
      </c>
      <c r="B32" s="66"/>
      <c r="C32" s="66"/>
      <c r="D32" s="66"/>
      <c r="E32" s="66"/>
      <c r="F32" s="66"/>
      <c r="G32" s="66"/>
      <c r="H32" s="66"/>
      <c r="I32" s="66"/>
      <c r="J32" s="66"/>
      <c r="K32" s="444"/>
      <c r="L32" s="444"/>
      <c r="M32" s="444"/>
      <c r="N32" s="444">
        <f>'Adjusted Consumption'!N32*parameters!$C$47</f>
        <v>3.2386708130123579E-2</v>
      </c>
      <c r="O32" s="444">
        <f>'Adjusted Consumption'!O32*parameters!$C$47</f>
        <v>3.2155796585858411E-2</v>
      </c>
      <c r="P32" s="444">
        <f>'Adjusted Consumption'!P32*parameters!$C$47</f>
        <v>3.00241305125135E-2</v>
      </c>
      <c r="Q32" s="444">
        <f>'Adjusted Consumption'!Q32*parameters!$C$47</f>
        <v>2.7622428517169513E-2</v>
      </c>
      <c r="R32" s="444">
        <f>'Adjusted Consumption'!R32*parameters!$C$47</f>
        <v>2.6533160516208142E-2</v>
      </c>
      <c r="S32" s="444">
        <f>'Adjusted Consumption'!S32*parameters!$C$47</f>
        <v>2.5761130061390174E-2</v>
      </c>
      <c r="T32" s="444">
        <f>'Adjusted Consumption'!T32*parameters!$C$47</f>
        <v>2.5102725037267543E-2</v>
      </c>
      <c r="U32" s="444">
        <f>'Adjusted Consumption'!U32*parameters!$C$47</f>
        <v>2.4561775694395032E-2</v>
      </c>
      <c r="V32" s="444">
        <f>'Adjusted Consumption'!V32*parameters!$C$47</f>
        <v>2.434180604534723E-2</v>
      </c>
      <c r="W32" s="444">
        <f>'Adjusted Consumption'!W32*parameters!$C$47</f>
        <v>2.4050620177316337E-2</v>
      </c>
      <c r="X32" s="444">
        <f>'Adjusted Consumption'!X32*parameters!$C$47</f>
        <v>2.3835527732420526E-2</v>
      </c>
      <c r="Y32" s="444">
        <f>'Adjusted Consumption'!Y32*parameters!$C$47</f>
        <v>2.3574638121254498E-2</v>
      </c>
      <c r="Z32" s="444">
        <f>'Adjusted Consumption'!Z32*parameters!$C$47</f>
        <v>2.3823423558006422E-2</v>
      </c>
      <c r="AA32" s="444">
        <f>'Adjusted Consumption'!AA32*parameters!$C$47</f>
        <v>2.4054059836631624E-2</v>
      </c>
      <c r="AB32" s="444">
        <f>'Adjusted Consumption'!AB32*parameters!$C$47</f>
        <v>2.4287864802718037E-2</v>
      </c>
      <c r="AC32" s="444">
        <f>'Adjusted Consumption'!AC32*parameters!$C$47</f>
        <v>2.4466346717292708E-2</v>
      </c>
      <c r="AD32" s="444">
        <f>'Adjusted Consumption'!AD32*parameters!$C$47</f>
        <v>2.4633249894234432E-2</v>
      </c>
      <c r="AE32" s="444">
        <f>'Adjusted Consumption'!AE32*parameters!$C$47</f>
        <v>2.4851604892421279E-2</v>
      </c>
      <c r="AF32" s="444">
        <f>'Adjusted Consumption'!AF32*parameters!$C$47</f>
        <v>2.5056765219639916E-2</v>
      </c>
      <c r="AG32" s="444">
        <f>'Adjusted Consumption'!AG32*parameters!$C$47</f>
        <v>2.5335099163921296E-2</v>
      </c>
      <c r="AH32" s="444">
        <f>'Adjusted Consumption'!AH32*parameters!$C$47</f>
        <v>2.5561101315793783E-2</v>
      </c>
      <c r="AI32" s="444">
        <f>'Adjusted Consumption'!AI32*parameters!$C$47</f>
        <v>2.5760108345405042E-2</v>
      </c>
      <c r="AJ32" s="444">
        <f>'Adjusted Consumption'!AJ32*parameters!$C$47</f>
        <v>2.6008156982287287E-2</v>
      </c>
      <c r="AK32" s="444">
        <f>'Adjusted Consumption'!AK32*parameters!$C$47</f>
        <v>2.6302114562565638E-2</v>
      </c>
    </row>
    <row r="33" spans="1:37">
      <c r="A33" s="57" t="s">
        <v>60</v>
      </c>
      <c r="B33" s="66"/>
      <c r="C33" s="66"/>
      <c r="D33" s="66"/>
      <c r="E33" s="66"/>
      <c r="F33" s="66"/>
      <c r="G33" s="66"/>
      <c r="H33" s="66"/>
      <c r="I33" s="66"/>
      <c r="J33" s="66"/>
      <c r="K33" s="444"/>
      <c r="L33" s="444"/>
      <c r="M33" s="444"/>
      <c r="N33" s="444">
        <f>'Adjusted Consumption'!N33*parameters!$C$50</f>
        <v>0</v>
      </c>
      <c r="O33" s="444">
        <f>'Adjusted Consumption'!O33*parameters!$C$50</f>
        <v>0</v>
      </c>
      <c r="P33" s="444">
        <f>'Adjusted Consumption'!P33*parameters!$C$50</f>
        <v>0</v>
      </c>
      <c r="Q33" s="444">
        <f>'Adjusted Consumption'!Q33*parameters!$C$50</f>
        <v>0</v>
      </c>
      <c r="R33" s="444">
        <f>'Adjusted Consumption'!R33*parameters!$C$50</f>
        <v>0</v>
      </c>
      <c r="S33" s="444">
        <f>'Adjusted Consumption'!S33*parameters!$C$50</f>
        <v>0</v>
      </c>
      <c r="T33" s="444">
        <f>'Adjusted Consumption'!T33*parameters!$C$50</f>
        <v>0</v>
      </c>
      <c r="U33" s="444">
        <f>'Adjusted Consumption'!U33*parameters!$C$50</f>
        <v>0</v>
      </c>
      <c r="V33" s="444">
        <f>'Adjusted Consumption'!V33*parameters!$C$50</f>
        <v>0</v>
      </c>
      <c r="W33" s="444">
        <f>'Adjusted Consumption'!W33*parameters!$C$50</f>
        <v>0</v>
      </c>
      <c r="X33" s="444">
        <f>'Adjusted Consumption'!X33*parameters!$C$50</f>
        <v>0</v>
      </c>
      <c r="Y33" s="444">
        <f>'Adjusted Consumption'!Y33*parameters!$C$50</f>
        <v>0</v>
      </c>
      <c r="Z33" s="444">
        <f>'Adjusted Consumption'!Z33*parameters!$C$50</f>
        <v>0</v>
      </c>
      <c r="AA33" s="444">
        <f>'Adjusted Consumption'!AA33*parameters!$C$50</f>
        <v>0</v>
      </c>
      <c r="AB33" s="444">
        <f>'Adjusted Consumption'!AB33*parameters!$C$50</f>
        <v>0</v>
      </c>
      <c r="AC33" s="444">
        <f>'Adjusted Consumption'!AC33*parameters!$C$50</f>
        <v>0</v>
      </c>
      <c r="AD33" s="444">
        <f>'Adjusted Consumption'!AD33*parameters!$C$50</f>
        <v>0</v>
      </c>
      <c r="AE33" s="444">
        <f>'Adjusted Consumption'!AE33*parameters!$C$50</f>
        <v>0</v>
      </c>
      <c r="AF33" s="444">
        <f>'Adjusted Consumption'!AF33*parameters!$C$50</f>
        <v>0</v>
      </c>
      <c r="AG33" s="444">
        <f>'Adjusted Consumption'!AG33*parameters!$C$50</f>
        <v>0</v>
      </c>
      <c r="AH33" s="444">
        <f>'Adjusted Consumption'!AH33*parameters!$C$50</f>
        <v>0</v>
      </c>
      <c r="AI33" s="444">
        <f>'Adjusted Consumption'!AI33*parameters!$C$50</f>
        <v>0</v>
      </c>
      <c r="AJ33" s="444">
        <f>'Adjusted Consumption'!AJ33*parameters!$C$50</f>
        <v>0</v>
      </c>
      <c r="AK33" s="444">
        <f>'Adjusted Consumption'!AK33*parameters!$C$50</f>
        <v>0</v>
      </c>
    </row>
    <row r="34" spans="1:37">
      <c r="A34" s="57" t="s">
        <v>33</v>
      </c>
      <c r="B34" s="66"/>
      <c r="C34" s="66"/>
      <c r="D34" s="66"/>
      <c r="E34" s="66"/>
      <c r="F34" s="66"/>
      <c r="G34" s="66"/>
      <c r="H34" s="66"/>
      <c r="I34" s="66"/>
      <c r="J34" s="66"/>
      <c r="K34" s="444"/>
      <c r="L34" s="444"/>
      <c r="M34" s="444"/>
      <c r="N34" s="444">
        <f>'Adjusted Consumption'!N34*parameters!$C$35</f>
        <v>5.0875318567099468</v>
      </c>
      <c r="O34" s="444">
        <f>'Adjusted Consumption'!O34*parameters!$C$35</f>
        <v>5.3767362281331268</v>
      </c>
      <c r="P34" s="444">
        <f>'Adjusted Consumption'!P34*parameters!$C$35</f>
        <v>5.5150740199889743</v>
      </c>
      <c r="Q34" s="444">
        <f>'Adjusted Consumption'!Q34*parameters!$C$35</f>
        <v>5.405645103614364</v>
      </c>
      <c r="R34" s="444">
        <f>'Adjusted Consumption'!R34*parameters!$C$35</f>
        <v>5.332070353790793</v>
      </c>
      <c r="S34" s="444">
        <f>'Adjusted Consumption'!S34*parameters!$C$35</f>
        <v>5.3538835482801339</v>
      </c>
      <c r="T34" s="444">
        <f>'Adjusted Consumption'!T34*parameters!$C$35</f>
        <v>5.384731067245589</v>
      </c>
      <c r="U34" s="444">
        <f>'Adjusted Consumption'!U34*parameters!$C$35</f>
        <v>5.4215814268178084</v>
      </c>
      <c r="V34" s="444">
        <f>'Adjusted Consumption'!V34*parameters!$C$35</f>
        <v>5.4520942572475741</v>
      </c>
      <c r="W34" s="444">
        <f>'Adjusted Consumption'!W34*parameters!$C$35</f>
        <v>5.4387482630566391</v>
      </c>
      <c r="X34" s="444">
        <f>'Adjusted Consumption'!X34*parameters!$C$35</f>
        <v>5.4971927937422684</v>
      </c>
      <c r="Y34" s="444">
        <f>'Adjusted Consumption'!Y34*parameters!$C$35</f>
        <v>5.538425908316662</v>
      </c>
      <c r="Z34" s="444">
        <f>'Adjusted Consumption'!Z34*parameters!$C$35</f>
        <v>5.5784043767567493</v>
      </c>
      <c r="AA34" s="444">
        <f>'Adjusted Consumption'!AA34*parameters!$C$35</f>
        <v>5.6126464415169872</v>
      </c>
      <c r="AB34" s="444">
        <f>'Adjusted Consumption'!AB34*parameters!$C$35</f>
        <v>5.7176109195478411</v>
      </c>
      <c r="AC34" s="444">
        <f>'Adjusted Consumption'!AC34*parameters!$C$35</f>
        <v>5.7481242329004552</v>
      </c>
      <c r="AD34" s="444">
        <f>'Adjusted Consumption'!AD34*parameters!$C$35</f>
        <v>5.7952669322322139</v>
      </c>
      <c r="AE34" s="444">
        <f>'Adjusted Consumption'!AE34*parameters!$C$35</f>
        <v>5.8540516147128168</v>
      </c>
      <c r="AF34" s="444">
        <f>'Adjusted Consumption'!AF34*parameters!$C$35</f>
        <v>5.9264002315834139</v>
      </c>
      <c r="AG34" s="444">
        <f>'Adjusted Consumption'!AG34*parameters!$C$35</f>
        <v>5.9768157347112201</v>
      </c>
      <c r="AH34" s="444">
        <f>'Adjusted Consumption'!AH34*parameters!$C$35</f>
        <v>6.0236480672363752</v>
      </c>
      <c r="AI34" s="444">
        <f>'Adjusted Consumption'!AI34*parameters!$C$35</f>
        <v>6.0863894430206091</v>
      </c>
      <c r="AJ34" s="444">
        <f>'Adjusted Consumption'!AJ34*parameters!$C$35</f>
        <v>6.1418909281868119</v>
      </c>
      <c r="AK34" s="444">
        <f>'Adjusted Consumption'!AK34*parameters!$C$35</f>
        <v>6.2090647203917904</v>
      </c>
    </row>
    <row r="35" spans="1:37">
      <c r="A35" s="57" t="s">
        <v>26</v>
      </c>
      <c r="B35" s="66"/>
      <c r="C35" s="66"/>
      <c r="D35" s="66"/>
      <c r="E35" s="66"/>
      <c r="F35" s="66"/>
      <c r="G35" s="66"/>
      <c r="H35" s="66"/>
      <c r="I35" s="66"/>
      <c r="J35" s="66"/>
      <c r="K35" s="444"/>
      <c r="L35" s="444"/>
      <c r="M35" s="444"/>
      <c r="N35" s="444">
        <f>'Adjusted Consumption'!N35*parameters!$C$34</f>
        <v>3.8604559390970845</v>
      </c>
      <c r="O35" s="444">
        <f>'Adjusted Consumption'!O35*parameters!$C$34</f>
        <v>3.9795533438955046</v>
      </c>
      <c r="P35" s="444">
        <f>'Adjusted Consumption'!P35*parameters!$C$34</f>
        <v>4.0956166236546219</v>
      </c>
      <c r="Q35" s="444">
        <f>'Adjusted Consumption'!Q35*parameters!$C$34</f>
        <v>4.214800926485367</v>
      </c>
      <c r="R35" s="444">
        <f>'Adjusted Consumption'!R35*parameters!$C$34</f>
        <v>4.249867705783144</v>
      </c>
      <c r="S35" s="444">
        <f>'Adjusted Consumption'!S35*parameters!$C$34</f>
        <v>4.2564818856673661</v>
      </c>
      <c r="T35" s="444">
        <f>'Adjusted Consumption'!T35*parameters!$C$34</f>
        <v>4.2439430929969157</v>
      </c>
      <c r="U35" s="444">
        <f>'Adjusted Consumption'!U35*parameters!$C$34</f>
        <v>4.1710661352343683</v>
      </c>
      <c r="V35" s="444">
        <f>'Adjusted Consumption'!V35*parameters!$C$34</f>
        <v>4.1054224412597291</v>
      </c>
      <c r="W35" s="444">
        <f>'Adjusted Consumption'!W35*parameters!$C$34</f>
        <v>4.0392217946299285</v>
      </c>
      <c r="X35" s="444">
        <f>'Adjusted Consumption'!X35*parameters!$C$34</f>
        <v>3.9846325066015251</v>
      </c>
      <c r="Y35" s="444">
        <f>'Adjusted Consumption'!Y35*parameters!$C$34</f>
        <v>3.9283384563282535</v>
      </c>
      <c r="Z35" s="444">
        <f>'Adjusted Consumption'!Z35*parameters!$C$34</f>
        <v>3.8589937911037091</v>
      </c>
      <c r="AA35" s="444">
        <f>'Adjusted Consumption'!AA35*parameters!$C$34</f>
        <v>4.6944197029486832</v>
      </c>
      <c r="AB35" s="444">
        <f>'Adjusted Consumption'!AB35*parameters!$C$34</f>
        <v>4.7330259576946032</v>
      </c>
      <c r="AC35" s="444">
        <f>'Adjusted Consumption'!AC35*parameters!$C$34</f>
        <v>4.7822986616175225</v>
      </c>
      <c r="AD35" s="444">
        <f>'Adjusted Consumption'!AD35*parameters!$C$34</f>
        <v>4.827951609090257</v>
      </c>
      <c r="AE35" s="444">
        <f>'Adjusted Consumption'!AE35*parameters!$C$34</f>
        <v>4.8754901101213788</v>
      </c>
      <c r="AF35" s="444">
        <f>'Adjusted Consumption'!AF35*parameters!$C$34</f>
        <v>4.9267751002229536</v>
      </c>
      <c r="AG35" s="444">
        <f>'Adjusted Consumption'!AG35*parameters!$C$34</f>
        <v>4.963126705035223</v>
      </c>
      <c r="AH35" s="444">
        <f>'Adjusted Consumption'!AH35*parameters!$C$34</f>
        <v>5.0248138789526209</v>
      </c>
      <c r="AI35" s="444">
        <f>'Adjusted Consumption'!AI35*parameters!$C$34</f>
        <v>5.0903104841032567</v>
      </c>
      <c r="AJ35" s="444">
        <f>'Adjusted Consumption'!AJ35*parameters!$C$34</f>
        <v>5.1420261950263342</v>
      </c>
      <c r="AK35" s="444">
        <f>'Adjusted Consumption'!AK35*parameters!$C$34</f>
        <v>5.1917074170310205</v>
      </c>
    </row>
    <row r="36" spans="1:37">
      <c r="A36" s="57" t="s">
        <v>61</v>
      </c>
      <c r="B36" s="66"/>
      <c r="C36" s="66"/>
      <c r="D36" s="66"/>
      <c r="E36" s="66"/>
      <c r="F36" s="66"/>
      <c r="G36" s="66"/>
      <c r="H36" s="66"/>
      <c r="I36" s="66"/>
      <c r="J36" s="66"/>
      <c r="K36" s="444"/>
      <c r="L36" s="444"/>
      <c r="M36" s="444"/>
      <c r="N36" s="444">
        <f>'Adjusted Consumption'!N36*parameters!$C$34</f>
        <v>0</v>
      </c>
      <c r="O36" s="444">
        <f>'Adjusted Consumption'!O36*parameters!$C$34</f>
        <v>0</v>
      </c>
      <c r="P36" s="444">
        <f>'Adjusted Consumption'!P36*parameters!$C$34</f>
        <v>0</v>
      </c>
      <c r="Q36" s="444">
        <f>'Adjusted Consumption'!Q36*parameters!$C$34</f>
        <v>0</v>
      </c>
      <c r="R36" s="444">
        <f>'Adjusted Consumption'!R36*parameters!$C$34</f>
        <v>0</v>
      </c>
      <c r="S36" s="444">
        <f>'Adjusted Consumption'!S36*parameters!$C$34</f>
        <v>0</v>
      </c>
      <c r="T36" s="444">
        <f>'Adjusted Consumption'!T36*parameters!$C$34</f>
        <v>0</v>
      </c>
      <c r="U36" s="444">
        <f>'Adjusted Consumption'!U36*parameters!$C$34</f>
        <v>0</v>
      </c>
      <c r="V36" s="444">
        <f>'Adjusted Consumption'!V36*parameters!$C$34</f>
        <v>0</v>
      </c>
      <c r="W36" s="444">
        <f>'Adjusted Consumption'!W36*parameters!$C$34</f>
        <v>0</v>
      </c>
      <c r="X36" s="444">
        <f>'Adjusted Consumption'!X36*parameters!$C$34</f>
        <v>0</v>
      </c>
      <c r="Y36" s="444">
        <f>'Adjusted Consumption'!Y36*parameters!$C$34</f>
        <v>0</v>
      </c>
      <c r="Z36" s="444">
        <f>'Adjusted Consumption'!Z36*parameters!$C$34</f>
        <v>0</v>
      </c>
      <c r="AA36" s="444">
        <f>'Adjusted Consumption'!AA36*parameters!$C$34</f>
        <v>0</v>
      </c>
      <c r="AB36" s="444">
        <f>'Adjusted Consumption'!AB36*parameters!$C$34</f>
        <v>0</v>
      </c>
      <c r="AC36" s="444">
        <f>'Adjusted Consumption'!AC36*parameters!$C$34</f>
        <v>0</v>
      </c>
      <c r="AD36" s="444">
        <f>'Adjusted Consumption'!AD36*parameters!$C$34</f>
        <v>0</v>
      </c>
      <c r="AE36" s="444">
        <f>'Adjusted Consumption'!AE36*parameters!$C$34</f>
        <v>0</v>
      </c>
      <c r="AF36" s="444">
        <f>'Adjusted Consumption'!AF36*parameters!$C$34</f>
        <v>0</v>
      </c>
      <c r="AG36" s="444">
        <f>'Adjusted Consumption'!AG36*parameters!$C$34</f>
        <v>0</v>
      </c>
      <c r="AH36" s="444">
        <f>'Adjusted Consumption'!AH36*parameters!$C$34</f>
        <v>0</v>
      </c>
      <c r="AI36" s="444">
        <f>'Adjusted Consumption'!AI36*parameters!$C$34</f>
        <v>0</v>
      </c>
      <c r="AJ36" s="444">
        <f>'Adjusted Consumption'!AJ36*parameters!$C$34</f>
        <v>0</v>
      </c>
      <c r="AK36" s="444">
        <f>'Adjusted Consumption'!AK36*parameters!$C$34</f>
        <v>0</v>
      </c>
    </row>
    <row r="37" spans="1:37">
      <c r="A37" s="57" t="s">
        <v>35</v>
      </c>
      <c r="B37" s="66"/>
      <c r="C37" s="66"/>
      <c r="D37" s="66"/>
      <c r="E37" s="66"/>
      <c r="F37" s="66"/>
      <c r="G37" s="66"/>
      <c r="H37" s="66"/>
      <c r="I37" s="66"/>
      <c r="J37" s="66"/>
      <c r="K37" s="444"/>
      <c r="L37" s="444"/>
      <c r="M37" s="444"/>
      <c r="N37" s="444">
        <f>'Adjusted Consumption'!N37*parameters!$C$34</f>
        <v>0</v>
      </c>
      <c r="O37" s="444">
        <f>'Adjusted Consumption'!O37*parameters!$C$34</f>
        <v>0</v>
      </c>
      <c r="P37" s="444">
        <f>'Adjusted Consumption'!P37*parameters!$C$34</f>
        <v>0</v>
      </c>
      <c r="Q37" s="444">
        <f>'Adjusted Consumption'!Q37*parameters!$C$34</f>
        <v>0</v>
      </c>
      <c r="R37" s="444">
        <f>'Adjusted Consumption'!R37*parameters!$C$34</f>
        <v>0</v>
      </c>
      <c r="S37" s="444">
        <f>'Adjusted Consumption'!S37*parameters!$C$34</f>
        <v>0</v>
      </c>
      <c r="T37" s="444">
        <f>'Adjusted Consumption'!T37*parameters!$C$34</f>
        <v>0</v>
      </c>
      <c r="U37" s="444">
        <f>'Adjusted Consumption'!U37*parameters!$C$34</f>
        <v>0</v>
      </c>
      <c r="V37" s="444">
        <f>'Adjusted Consumption'!V37*parameters!$C$34</f>
        <v>0</v>
      </c>
      <c r="W37" s="444">
        <f>'Adjusted Consumption'!W37*parameters!$C$34</f>
        <v>0</v>
      </c>
      <c r="X37" s="444">
        <f>'Adjusted Consumption'!X37*parameters!$C$34</f>
        <v>0</v>
      </c>
      <c r="Y37" s="444">
        <f>'Adjusted Consumption'!Y37*parameters!$C$34</f>
        <v>0</v>
      </c>
      <c r="Z37" s="444">
        <f>'Adjusted Consumption'!Z37*parameters!$C$34</f>
        <v>0</v>
      </c>
      <c r="AA37" s="444">
        <f>'Adjusted Consumption'!AA37*parameters!$C$34</f>
        <v>0</v>
      </c>
      <c r="AB37" s="444">
        <f>'Adjusted Consumption'!AB37*parameters!$C$34</f>
        <v>0</v>
      </c>
      <c r="AC37" s="444">
        <f>'Adjusted Consumption'!AC37*parameters!$C$34</f>
        <v>0</v>
      </c>
      <c r="AD37" s="444">
        <f>'Adjusted Consumption'!AD37*parameters!$C$34</f>
        <v>0</v>
      </c>
      <c r="AE37" s="444">
        <f>'Adjusted Consumption'!AE37*parameters!$C$34</f>
        <v>0</v>
      </c>
      <c r="AF37" s="444">
        <f>'Adjusted Consumption'!AF37*parameters!$C$34</f>
        <v>0</v>
      </c>
      <c r="AG37" s="444">
        <f>'Adjusted Consumption'!AG37*parameters!$C$34</f>
        <v>0</v>
      </c>
      <c r="AH37" s="444">
        <f>'Adjusted Consumption'!AH37*parameters!$C$34</f>
        <v>0</v>
      </c>
      <c r="AI37" s="444">
        <f>'Adjusted Consumption'!AI37*parameters!$C$34</f>
        <v>0</v>
      </c>
      <c r="AJ37" s="444">
        <f>'Adjusted Consumption'!AJ37*parameters!$C$34</f>
        <v>0</v>
      </c>
      <c r="AK37" s="444">
        <f>'Adjusted Consumption'!AK37*parameters!$C$34</f>
        <v>0</v>
      </c>
    </row>
    <row r="38" spans="1:37">
      <c r="A38" s="57" t="s">
        <v>62</v>
      </c>
      <c r="B38" s="66"/>
      <c r="C38" s="66"/>
      <c r="D38" s="66"/>
      <c r="E38" s="66"/>
      <c r="F38" s="66"/>
      <c r="G38" s="66"/>
      <c r="H38" s="66"/>
      <c r="I38" s="66"/>
      <c r="J38" s="66"/>
      <c r="K38" s="444"/>
      <c r="L38" s="444"/>
      <c r="M38" s="444"/>
      <c r="N38" s="444">
        <f>'Adjusted Consumption'!N38*parameters!$C$34</f>
        <v>3.8604559390970845</v>
      </c>
      <c r="O38" s="444">
        <f>'Adjusted Consumption'!O38*parameters!$C$34</f>
        <v>3.9795533438955046</v>
      </c>
      <c r="P38" s="444">
        <f>'Adjusted Consumption'!P38*parameters!$C$34</f>
        <v>4.0956166236546219</v>
      </c>
      <c r="Q38" s="444">
        <f>'Adjusted Consumption'!Q38*parameters!$C$34</f>
        <v>4.214800926485367</v>
      </c>
      <c r="R38" s="444">
        <f>'Adjusted Consumption'!R38*parameters!$C$34</f>
        <v>4.249867705783144</v>
      </c>
      <c r="S38" s="444">
        <f>'Adjusted Consumption'!S38*parameters!$C$34</f>
        <v>4.2564818856673661</v>
      </c>
      <c r="T38" s="444">
        <f>'Adjusted Consumption'!T38*parameters!$C$34</f>
        <v>4.2439430929969157</v>
      </c>
      <c r="U38" s="444">
        <f>'Adjusted Consumption'!U38*parameters!$C$34</f>
        <v>4.1710661352343683</v>
      </c>
      <c r="V38" s="444">
        <f>'Adjusted Consumption'!V38*parameters!$C$34</f>
        <v>4.1054224412597291</v>
      </c>
      <c r="W38" s="444">
        <f>'Adjusted Consumption'!W38*parameters!$C$34</f>
        <v>4.0392217946299285</v>
      </c>
      <c r="X38" s="444">
        <f>'Adjusted Consumption'!X38*parameters!$C$34</f>
        <v>3.9846325066015251</v>
      </c>
      <c r="Y38" s="444">
        <f>'Adjusted Consumption'!Y38*parameters!$C$34</f>
        <v>3.9283384563282535</v>
      </c>
      <c r="Z38" s="444">
        <f>'Adjusted Consumption'!Z38*parameters!$C$34</f>
        <v>3.8589937911037091</v>
      </c>
      <c r="AA38" s="444">
        <f>'Adjusted Consumption'!AA38*parameters!$C$34</f>
        <v>4.6944197029486832</v>
      </c>
      <c r="AB38" s="444">
        <f>'Adjusted Consumption'!AB38*parameters!$C$34</f>
        <v>4.7330259576946032</v>
      </c>
      <c r="AC38" s="444">
        <f>'Adjusted Consumption'!AC38*parameters!$C$34</f>
        <v>4.7822986616175225</v>
      </c>
      <c r="AD38" s="444">
        <f>'Adjusted Consumption'!AD38*parameters!$C$34</f>
        <v>4.827951609090257</v>
      </c>
      <c r="AE38" s="444">
        <f>'Adjusted Consumption'!AE38*parameters!$C$34</f>
        <v>4.8754901101213788</v>
      </c>
      <c r="AF38" s="444">
        <f>'Adjusted Consumption'!AF38*parameters!$C$34</f>
        <v>4.9267751002229536</v>
      </c>
      <c r="AG38" s="444">
        <f>'Adjusted Consumption'!AG38*parameters!$C$34</f>
        <v>4.963126705035223</v>
      </c>
      <c r="AH38" s="444">
        <f>'Adjusted Consumption'!AH38*parameters!$C$34</f>
        <v>5.0248138789526209</v>
      </c>
      <c r="AI38" s="444">
        <f>'Adjusted Consumption'!AI38*parameters!$C$34</f>
        <v>5.0903104841032567</v>
      </c>
      <c r="AJ38" s="444">
        <f>'Adjusted Consumption'!AJ38*parameters!$C$34</f>
        <v>5.1420261950263342</v>
      </c>
      <c r="AK38" s="444">
        <f>'Adjusted Consumption'!AK38*parameters!$C$34</f>
        <v>5.1917074170310205</v>
      </c>
    </row>
    <row r="39" spans="1:37">
      <c r="A39" s="57" t="s">
        <v>36</v>
      </c>
      <c r="B39" s="66"/>
      <c r="C39" s="66"/>
      <c r="D39" s="66"/>
      <c r="E39" s="66"/>
      <c r="F39" s="66"/>
      <c r="G39" s="66"/>
      <c r="H39" s="66"/>
      <c r="I39" s="66"/>
      <c r="J39" s="66"/>
      <c r="K39" s="444"/>
      <c r="L39" s="444"/>
      <c r="M39" s="444"/>
      <c r="N39" s="444">
        <f>'Adjusted Consumption'!N39*parameters!$C$36</f>
        <v>0</v>
      </c>
      <c r="O39" s="444">
        <f>'Adjusted Consumption'!O39*parameters!$C$36</f>
        <v>0</v>
      </c>
      <c r="P39" s="444">
        <f>'Adjusted Consumption'!P39*parameters!$C$36</f>
        <v>0</v>
      </c>
      <c r="Q39" s="444">
        <f>'Adjusted Consumption'!Q39*parameters!$C$36</f>
        <v>0</v>
      </c>
      <c r="R39" s="444">
        <f>'Adjusted Consumption'!R39*parameters!$C$36</f>
        <v>0</v>
      </c>
      <c r="S39" s="444">
        <f>'Adjusted Consumption'!S39*parameters!$C$36</f>
        <v>0</v>
      </c>
      <c r="T39" s="444">
        <f>'Adjusted Consumption'!T39*parameters!$C$36</f>
        <v>0</v>
      </c>
      <c r="U39" s="444">
        <f>'Adjusted Consumption'!U39*parameters!$C$36</f>
        <v>0</v>
      </c>
      <c r="V39" s="444">
        <f>'Adjusted Consumption'!V39*parameters!$C$36</f>
        <v>0</v>
      </c>
      <c r="W39" s="444">
        <f>'Adjusted Consumption'!W39*parameters!$C$36</f>
        <v>0</v>
      </c>
      <c r="X39" s="444">
        <f>'Adjusted Consumption'!X39*parameters!$C$36</f>
        <v>0</v>
      </c>
      <c r="Y39" s="444">
        <f>'Adjusted Consumption'!Y39*parameters!$C$36</f>
        <v>0</v>
      </c>
      <c r="Z39" s="444">
        <f>'Adjusted Consumption'!Z39*parameters!$C$36</f>
        <v>0</v>
      </c>
      <c r="AA39" s="444">
        <f>'Adjusted Consumption'!AA39*parameters!$C$36</f>
        <v>0</v>
      </c>
      <c r="AB39" s="444">
        <f>'Adjusted Consumption'!AB39*parameters!$C$36</f>
        <v>0</v>
      </c>
      <c r="AC39" s="444">
        <f>'Adjusted Consumption'!AC39*parameters!$C$36</f>
        <v>0</v>
      </c>
      <c r="AD39" s="444">
        <f>'Adjusted Consumption'!AD39*parameters!$C$36</f>
        <v>0</v>
      </c>
      <c r="AE39" s="444">
        <f>'Adjusted Consumption'!AE39*parameters!$C$36</f>
        <v>0</v>
      </c>
      <c r="AF39" s="444">
        <f>'Adjusted Consumption'!AF39*parameters!$C$36</f>
        <v>0</v>
      </c>
      <c r="AG39" s="444">
        <f>'Adjusted Consumption'!AG39*parameters!$C$36</f>
        <v>0</v>
      </c>
      <c r="AH39" s="444">
        <f>'Adjusted Consumption'!AH39*parameters!$C$36</f>
        <v>0</v>
      </c>
      <c r="AI39" s="444">
        <f>'Adjusted Consumption'!AI39*parameters!$C$36</f>
        <v>0</v>
      </c>
      <c r="AJ39" s="444">
        <f>'Adjusted Consumption'!AJ39*parameters!$C$36</f>
        <v>0</v>
      </c>
      <c r="AK39" s="444">
        <f>'Adjusted Consumption'!AK39*parameters!$C$36</f>
        <v>0</v>
      </c>
    </row>
    <row r="40" spans="1:37">
      <c r="A40" s="57" t="s">
        <v>37</v>
      </c>
      <c r="B40" s="66"/>
      <c r="C40" s="66"/>
      <c r="D40" s="66"/>
      <c r="E40" s="66"/>
      <c r="F40" s="66"/>
      <c r="G40" s="66"/>
      <c r="H40" s="66"/>
      <c r="I40" s="66"/>
      <c r="J40" s="66"/>
      <c r="K40" s="444"/>
      <c r="L40" s="444"/>
      <c r="M40" s="444"/>
      <c r="N40" s="444">
        <f>'Adjusted Consumption'!N40*parameters!$C$36</f>
        <v>9.0658598666102375E-2</v>
      </c>
      <c r="O40" s="444">
        <f>'Adjusted Consumption'!O40*parameters!$C$36</f>
        <v>9.3677910990193972E-2</v>
      </c>
      <c r="P40" s="444">
        <f>'Adjusted Consumption'!P40*parameters!$C$36</f>
        <v>9.8680389338176119E-2</v>
      </c>
      <c r="Q40" s="444">
        <f>'Adjusted Consumption'!Q40*parameters!$C$36</f>
        <v>0.1015756761962984</v>
      </c>
      <c r="R40" s="444">
        <f>'Adjusted Consumption'!R40*parameters!$C$36</f>
        <v>0.10180052515521934</v>
      </c>
      <c r="S40" s="444">
        <f>'Adjusted Consumption'!S40*parameters!$C$36</f>
        <v>0.10163566659445837</v>
      </c>
      <c r="T40" s="444">
        <f>'Adjusted Consumption'!T40*parameters!$C$36</f>
        <v>0.10105251060484999</v>
      </c>
      <c r="U40" s="444">
        <f>'Adjusted Consumption'!U40*parameters!$C$36</f>
        <v>0.10050320099501243</v>
      </c>
      <c r="V40" s="444">
        <f>'Adjusted Consumption'!V40*parameters!$C$36</f>
        <v>9.8483971649527408E-2</v>
      </c>
      <c r="W40" s="444">
        <f>'Adjusted Consumption'!W40*parameters!$C$36</f>
        <v>9.6143139139167041E-2</v>
      </c>
      <c r="X40" s="444">
        <f>'Adjusted Consumption'!X40*parameters!$C$36</f>
        <v>9.3545395028199016E-2</v>
      </c>
      <c r="Y40" s="444">
        <f>'Adjusted Consumption'!Y40*parameters!$C$36</f>
        <v>9.079307746347845E-2</v>
      </c>
      <c r="Z40" s="444">
        <f>'Adjusted Consumption'!Z40*parameters!$C$36</f>
        <v>8.6997392398246803E-2</v>
      </c>
      <c r="AA40" s="444">
        <f>'Adjusted Consumption'!AA40*parameters!$C$36</f>
        <v>0.10583239187958632</v>
      </c>
      <c r="AB40" s="444">
        <f>'Adjusted Consumption'!AB40*parameters!$C$36</f>
        <v>0.10536128964064882</v>
      </c>
      <c r="AC40" s="444">
        <f>'Adjusted Consumption'!AC40*parameters!$C$36</f>
        <v>0.10446855813383699</v>
      </c>
      <c r="AD40" s="444">
        <f>'Adjusted Consumption'!AD40*parameters!$C$36</f>
        <v>0.10381196557150195</v>
      </c>
      <c r="AE40" s="444">
        <f>'Adjusted Consumption'!AE40*parameters!$C$36</f>
        <v>0.10324173384438917</v>
      </c>
      <c r="AF40" s="444">
        <f>'Adjusted Consumption'!AF40*parameters!$C$36</f>
        <v>0.10248677457015423</v>
      </c>
      <c r="AG40" s="444">
        <f>'Adjusted Consumption'!AG40*parameters!$C$36</f>
        <v>0.10269261340087028</v>
      </c>
      <c r="AH40" s="444">
        <f>'Adjusted Consumption'!AH40*parameters!$C$36</f>
        <v>0.10291235017442874</v>
      </c>
      <c r="AI40" s="444">
        <f>'Adjusted Consumption'!AI40*parameters!$C$36</f>
        <v>0.10301807458314238</v>
      </c>
      <c r="AJ40" s="444">
        <f>'Adjusted Consumption'!AJ40*parameters!$C$36</f>
        <v>0.10301557477466097</v>
      </c>
      <c r="AK40" s="444">
        <f>'Adjusted Consumption'!AK40*parameters!$C$36</f>
        <v>0.10320665792495125</v>
      </c>
    </row>
    <row r="41" spans="1:37">
      <c r="A41" s="57" t="s">
        <v>63</v>
      </c>
      <c r="B41" s="66"/>
      <c r="C41" s="66"/>
      <c r="D41" s="66"/>
      <c r="E41" s="66"/>
      <c r="F41" s="66"/>
      <c r="G41" s="66"/>
      <c r="H41" s="66"/>
      <c r="I41" s="66"/>
      <c r="J41" s="66"/>
      <c r="K41" s="444"/>
      <c r="L41" s="444"/>
      <c r="M41" s="444"/>
      <c r="N41" s="444">
        <f>'Adjusted Consumption'!N41*parameters!$C$36</f>
        <v>0</v>
      </c>
      <c r="O41" s="444">
        <f>'Adjusted Consumption'!O41*parameters!$C$36</f>
        <v>0</v>
      </c>
      <c r="P41" s="444">
        <f>'Adjusted Consumption'!P41*parameters!$C$36</f>
        <v>0</v>
      </c>
      <c r="Q41" s="444">
        <f>'Adjusted Consumption'!Q41*parameters!$C$36</f>
        <v>0</v>
      </c>
      <c r="R41" s="444">
        <f>'Adjusted Consumption'!R41*parameters!$C$36</f>
        <v>0</v>
      </c>
      <c r="S41" s="444">
        <f>'Adjusted Consumption'!S41*parameters!$C$36</f>
        <v>0</v>
      </c>
      <c r="T41" s="444">
        <f>'Adjusted Consumption'!T41*parameters!$C$36</f>
        <v>0</v>
      </c>
      <c r="U41" s="444">
        <f>'Adjusted Consumption'!U41*parameters!$C$36</f>
        <v>0</v>
      </c>
      <c r="V41" s="444">
        <f>'Adjusted Consumption'!V41*parameters!$C$36</f>
        <v>0</v>
      </c>
      <c r="W41" s="444">
        <f>'Adjusted Consumption'!W41*parameters!$C$36</f>
        <v>0</v>
      </c>
      <c r="X41" s="444">
        <f>'Adjusted Consumption'!X41*parameters!$C$36</f>
        <v>0</v>
      </c>
      <c r="Y41" s="444">
        <f>'Adjusted Consumption'!Y41*parameters!$C$36</f>
        <v>0</v>
      </c>
      <c r="Z41" s="444">
        <f>'Adjusted Consumption'!Z41*parameters!$C$36</f>
        <v>0</v>
      </c>
      <c r="AA41" s="444">
        <f>'Adjusted Consumption'!AA41*parameters!$C$36</f>
        <v>0</v>
      </c>
      <c r="AB41" s="444">
        <f>'Adjusted Consumption'!AB41*parameters!$C$36</f>
        <v>0</v>
      </c>
      <c r="AC41" s="444">
        <f>'Adjusted Consumption'!AC41*parameters!$C$36</f>
        <v>0</v>
      </c>
      <c r="AD41" s="444">
        <f>'Adjusted Consumption'!AD41*parameters!$C$36</f>
        <v>0</v>
      </c>
      <c r="AE41" s="444">
        <f>'Adjusted Consumption'!AE41*parameters!$C$36</f>
        <v>0</v>
      </c>
      <c r="AF41" s="444">
        <f>'Adjusted Consumption'!AF41*parameters!$C$36</f>
        <v>0</v>
      </c>
      <c r="AG41" s="444">
        <f>'Adjusted Consumption'!AG41*parameters!$C$36</f>
        <v>0</v>
      </c>
      <c r="AH41" s="444">
        <f>'Adjusted Consumption'!AH41*parameters!$C$36</f>
        <v>0</v>
      </c>
      <c r="AI41" s="444">
        <f>'Adjusted Consumption'!AI41*parameters!$C$36</f>
        <v>0</v>
      </c>
      <c r="AJ41" s="444">
        <f>'Adjusted Consumption'!AJ41*parameters!$C$36</f>
        <v>0</v>
      </c>
      <c r="AK41" s="444">
        <f>'Adjusted Consumption'!AK41*parameters!$C$36</f>
        <v>0</v>
      </c>
    </row>
    <row r="42" spans="1:37">
      <c r="A42" s="57" t="s">
        <v>64</v>
      </c>
      <c r="B42" s="66"/>
      <c r="C42" s="66"/>
      <c r="D42" s="66"/>
      <c r="E42" s="66"/>
      <c r="F42" s="66"/>
      <c r="G42" s="66"/>
      <c r="H42" s="66"/>
      <c r="I42" s="66"/>
      <c r="J42" s="66"/>
      <c r="K42" s="444"/>
      <c r="L42" s="444"/>
      <c r="M42" s="444"/>
      <c r="N42" s="444">
        <f>'Adjusted Consumption'!N42*parameters!$C$36</f>
        <v>0</v>
      </c>
      <c r="O42" s="444">
        <f>'Adjusted Consumption'!O42*parameters!$C$36</f>
        <v>0</v>
      </c>
      <c r="P42" s="444">
        <f>'Adjusted Consumption'!P42*parameters!$C$36</f>
        <v>0</v>
      </c>
      <c r="Q42" s="444">
        <f>'Adjusted Consumption'!Q42*parameters!$C$36</f>
        <v>0</v>
      </c>
      <c r="R42" s="444">
        <f>'Adjusted Consumption'!R42*parameters!$C$36</f>
        <v>0</v>
      </c>
      <c r="S42" s="444">
        <f>'Adjusted Consumption'!S42*parameters!$C$36</f>
        <v>0</v>
      </c>
      <c r="T42" s="444">
        <f>'Adjusted Consumption'!T42*parameters!$C$36</f>
        <v>0</v>
      </c>
      <c r="U42" s="444">
        <f>'Adjusted Consumption'!U42*parameters!$C$36</f>
        <v>0</v>
      </c>
      <c r="V42" s="444">
        <f>'Adjusted Consumption'!V42*parameters!$C$36</f>
        <v>0</v>
      </c>
      <c r="W42" s="444">
        <f>'Adjusted Consumption'!W42*parameters!$C$36</f>
        <v>0</v>
      </c>
      <c r="X42" s="444">
        <f>'Adjusted Consumption'!X42*parameters!$C$36</f>
        <v>0</v>
      </c>
      <c r="Y42" s="444">
        <f>'Adjusted Consumption'!Y42*parameters!$C$36</f>
        <v>0</v>
      </c>
      <c r="Z42" s="444">
        <f>'Adjusted Consumption'!Z42*parameters!$C$36</f>
        <v>0</v>
      </c>
      <c r="AA42" s="444">
        <f>'Adjusted Consumption'!AA42*parameters!$C$36</f>
        <v>0</v>
      </c>
      <c r="AB42" s="444">
        <f>'Adjusted Consumption'!AB42*parameters!$C$36</f>
        <v>0</v>
      </c>
      <c r="AC42" s="444">
        <f>'Adjusted Consumption'!AC42*parameters!$C$36</f>
        <v>0</v>
      </c>
      <c r="AD42" s="444">
        <f>'Adjusted Consumption'!AD42*parameters!$C$36</f>
        <v>0</v>
      </c>
      <c r="AE42" s="444">
        <f>'Adjusted Consumption'!AE42*parameters!$C$36</f>
        <v>0</v>
      </c>
      <c r="AF42" s="444">
        <f>'Adjusted Consumption'!AF42*parameters!$C$36</f>
        <v>0</v>
      </c>
      <c r="AG42" s="444">
        <f>'Adjusted Consumption'!AG42*parameters!$C$36</f>
        <v>0</v>
      </c>
      <c r="AH42" s="444">
        <f>'Adjusted Consumption'!AH42*parameters!$C$36</f>
        <v>0</v>
      </c>
      <c r="AI42" s="444">
        <f>'Adjusted Consumption'!AI42*parameters!$C$36</f>
        <v>0</v>
      </c>
      <c r="AJ42" s="444">
        <f>'Adjusted Consumption'!AJ42*parameters!$C$36</f>
        <v>0</v>
      </c>
      <c r="AK42" s="444">
        <f>'Adjusted Consumption'!AK42*parameters!$C$36</f>
        <v>0</v>
      </c>
    </row>
    <row r="43" spans="1:37">
      <c r="A43" s="57" t="s">
        <v>65</v>
      </c>
      <c r="B43" s="66"/>
      <c r="C43" s="66"/>
      <c r="D43" s="66"/>
      <c r="E43" s="66"/>
      <c r="F43" s="66"/>
      <c r="G43" s="66"/>
      <c r="H43" s="66"/>
      <c r="I43" s="66"/>
      <c r="J43" s="66"/>
      <c r="K43" s="444"/>
      <c r="L43" s="444"/>
      <c r="M43" s="444"/>
      <c r="N43" s="444">
        <f t="shared" ref="N43:AK43" si="2">N40+N41</f>
        <v>9.0658598666102375E-2</v>
      </c>
      <c r="O43" s="444">
        <f t="shared" si="2"/>
        <v>9.3677910990193972E-2</v>
      </c>
      <c r="P43" s="444">
        <f t="shared" si="2"/>
        <v>9.8680389338176119E-2</v>
      </c>
      <c r="Q43" s="444">
        <f t="shared" si="2"/>
        <v>0.1015756761962984</v>
      </c>
      <c r="R43" s="444">
        <f t="shared" si="2"/>
        <v>0.10180052515521934</v>
      </c>
      <c r="S43" s="444">
        <f t="shared" si="2"/>
        <v>0.10163566659445837</v>
      </c>
      <c r="T43" s="444">
        <f t="shared" si="2"/>
        <v>0.10105251060484999</v>
      </c>
      <c r="U43" s="444">
        <f t="shared" si="2"/>
        <v>0.10050320099501243</v>
      </c>
      <c r="V43" s="444">
        <f t="shared" si="2"/>
        <v>9.8483971649527408E-2</v>
      </c>
      <c r="W43" s="444">
        <f t="shared" si="2"/>
        <v>9.6143139139167041E-2</v>
      </c>
      <c r="X43" s="444">
        <f t="shared" si="2"/>
        <v>9.3545395028199016E-2</v>
      </c>
      <c r="Y43" s="444">
        <f t="shared" si="2"/>
        <v>9.079307746347845E-2</v>
      </c>
      <c r="Z43" s="444">
        <f t="shared" si="2"/>
        <v>8.6997392398246803E-2</v>
      </c>
      <c r="AA43" s="444">
        <f t="shared" si="2"/>
        <v>0.10583239187958632</v>
      </c>
      <c r="AB43" s="444">
        <f t="shared" si="2"/>
        <v>0.10536128964064882</v>
      </c>
      <c r="AC43" s="444">
        <f t="shared" si="2"/>
        <v>0.10446855813383699</v>
      </c>
      <c r="AD43" s="444">
        <f t="shared" si="2"/>
        <v>0.10381196557150195</v>
      </c>
      <c r="AE43" s="444">
        <f t="shared" si="2"/>
        <v>0.10324173384438917</v>
      </c>
      <c r="AF43" s="444">
        <f t="shared" si="2"/>
        <v>0.10248677457015423</v>
      </c>
      <c r="AG43" s="444">
        <f t="shared" si="2"/>
        <v>0.10269261340087028</v>
      </c>
      <c r="AH43" s="444">
        <f t="shared" si="2"/>
        <v>0.10291235017442874</v>
      </c>
      <c r="AI43" s="444">
        <f t="shared" si="2"/>
        <v>0.10301807458314238</v>
      </c>
      <c r="AJ43" s="444">
        <f t="shared" si="2"/>
        <v>0.10301557477466097</v>
      </c>
      <c r="AK43" s="444">
        <f t="shared" si="2"/>
        <v>0.10320665792495125</v>
      </c>
    </row>
    <row r="44" spans="1:37">
      <c r="A44" s="57" t="s">
        <v>66</v>
      </c>
      <c r="B44" s="66"/>
      <c r="C44" s="66"/>
      <c r="D44" s="66"/>
      <c r="E44" s="66"/>
      <c r="F44" s="66"/>
      <c r="G44" s="66"/>
      <c r="H44" s="66"/>
      <c r="I44" s="66"/>
      <c r="J44" s="66"/>
      <c r="K44" s="444"/>
      <c r="L44" s="444"/>
      <c r="M44" s="444"/>
      <c r="N44" s="444">
        <f>'Adjusted Consumption'!N44*parameters!$C$50</f>
        <v>0</v>
      </c>
      <c r="O44" s="444">
        <f>'Adjusted Consumption'!O44*parameters!$C$50</f>
        <v>0</v>
      </c>
      <c r="P44" s="444">
        <f>'Adjusted Consumption'!P44*parameters!$C$50</f>
        <v>0</v>
      </c>
      <c r="Q44" s="444">
        <f>'Adjusted Consumption'!Q44*parameters!$C$50</f>
        <v>0</v>
      </c>
      <c r="R44" s="444">
        <f>'Adjusted Consumption'!R44*parameters!$C$50</f>
        <v>0</v>
      </c>
      <c r="S44" s="444">
        <f>'Adjusted Consumption'!S44*parameters!$C$50</f>
        <v>0</v>
      </c>
      <c r="T44" s="444">
        <f>'Adjusted Consumption'!T44*parameters!$C$50</f>
        <v>0</v>
      </c>
      <c r="U44" s="444">
        <f>'Adjusted Consumption'!U44*parameters!$C$50</f>
        <v>0</v>
      </c>
      <c r="V44" s="444">
        <f>'Adjusted Consumption'!V44*parameters!$C$50</f>
        <v>0</v>
      </c>
      <c r="W44" s="444">
        <f>'Adjusted Consumption'!W44*parameters!$C$50</f>
        <v>0</v>
      </c>
      <c r="X44" s="444">
        <f>'Adjusted Consumption'!X44*parameters!$C$50</f>
        <v>0</v>
      </c>
      <c r="Y44" s="444">
        <f>'Adjusted Consumption'!Y44*parameters!$C$50</f>
        <v>0</v>
      </c>
      <c r="Z44" s="444">
        <f>'Adjusted Consumption'!Z44*parameters!$C$50</f>
        <v>0</v>
      </c>
      <c r="AA44" s="444">
        <f>'Adjusted Consumption'!AA44*parameters!$C$50</f>
        <v>0</v>
      </c>
      <c r="AB44" s="444">
        <f>'Adjusted Consumption'!AB44*parameters!$C$50</f>
        <v>0</v>
      </c>
      <c r="AC44" s="444">
        <f>'Adjusted Consumption'!AC44*parameters!$C$50</f>
        <v>0</v>
      </c>
      <c r="AD44" s="444">
        <f>'Adjusted Consumption'!AD44*parameters!$C$50</f>
        <v>0</v>
      </c>
      <c r="AE44" s="444">
        <f>'Adjusted Consumption'!AE44*parameters!$C$50</f>
        <v>0</v>
      </c>
      <c r="AF44" s="444">
        <f>'Adjusted Consumption'!AF44*parameters!$C$50</f>
        <v>0</v>
      </c>
      <c r="AG44" s="444">
        <f>'Adjusted Consumption'!AG44*parameters!$C$50</f>
        <v>0</v>
      </c>
      <c r="AH44" s="444">
        <f>'Adjusted Consumption'!AH44*parameters!$C$50</f>
        <v>0</v>
      </c>
      <c r="AI44" s="444">
        <f>'Adjusted Consumption'!AI44*parameters!$C$50</f>
        <v>0</v>
      </c>
      <c r="AJ44" s="444">
        <f>'Adjusted Consumption'!AJ44*parameters!$C$50</f>
        <v>0</v>
      </c>
      <c r="AK44" s="444">
        <f>'Adjusted Consumption'!AK44*parameters!$C$50</f>
        <v>0</v>
      </c>
    </row>
    <row r="45" spans="1:37">
      <c r="A45" s="57" t="s">
        <v>67</v>
      </c>
      <c r="B45" s="66"/>
      <c r="C45" s="66"/>
      <c r="D45" s="66"/>
      <c r="E45" s="66"/>
      <c r="F45" s="66"/>
      <c r="G45" s="66"/>
      <c r="H45" s="66"/>
      <c r="I45" s="66"/>
      <c r="J45" s="66"/>
      <c r="K45" s="444"/>
      <c r="L45" s="444"/>
      <c r="M45" s="444"/>
      <c r="N45" s="444">
        <f>'Adjusted Consumption'!N45*parameters!$C$50</f>
        <v>0</v>
      </c>
      <c r="O45" s="444">
        <f>'Adjusted Consumption'!O45*parameters!$C$50</f>
        <v>0</v>
      </c>
      <c r="P45" s="444">
        <f>'Adjusted Consumption'!P45*parameters!$C$50</f>
        <v>0</v>
      </c>
      <c r="Q45" s="444">
        <f>'Adjusted Consumption'!Q45*parameters!$C$50</f>
        <v>0</v>
      </c>
      <c r="R45" s="444">
        <f>'Adjusted Consumption'!R45*parameters!$C$50</f>
        <v>0</v>
      </c>
      <c r="S45" s="444">
        <f>'Adjusted Consumption'!S45*parameters!$C$50</f>
        <v>0</v>
      </c>
      <c r="T45" s="444">
        <f>'Adjusted Consumption'!T45*parameters!$C$50</f>
        <v>0</v>
      </c>
      <c r="U45" s="444">
        <f>'Adjusted Consumption'!U45*parameters!$C$50</f>
        <v>0</v>
      </c>
      <c r="V45" s="444">
        <f>'Adjusted Consumption'!V45*parameters!$C$50</f>
        <v>0</v>
      </c>
      <c r="W45" s="444">
        <f>'Adjusted Consumption'!W45*parameters!$C$50</f>
        <v>0</v>
      </c>
      <c r="X45" s="444">
        <f>'Adjusted Consumption'!X45*parameters!$C$50</f>
        <v>0</v>
      </c>
      <c r="Y45" s="444">
        <f>'Adjusted Consumption'!Y45*parameters!$C$50</f>
        <v>0</v>
      </c>
      <c r="Z45" s="444">
        <f>'Adjusted Consumption'!Z45*parameters!$C$50</f>
        <v>0</v>
      </c>
      <c r="AA45" s="444">
        <f>'Adjusted Consumption'!AA45*parameters!$C$50</f>
        <v>0</v>
      </c>
      <c r="AB45" s="444">
        <f>'Adjusted Consumption'!AB45*parameters!$C$50</f>
        <v>0</v>
      </c>
      <c r="AC45" s="444">
        <f>'Adjusted Consumption'!AC45*parameters!$C$50</f>
        <v>0</v>
      </c>
      <c r="AD45" s="444">
        <f>'Adjusted Consumption'!AD45*parameters!$C$50</f>
        <v>0</v>
      </c>
      <c r="AE45" s="444">
        <f>'Adjusted Consumption'!AE45*parameters!$C$50</f>
        <v>0</v>
      </c>
      <c r="AF45" s="444">
        <f>'Adjusted Consumption'!AF45*parameters!$C$50</f>
        <v>0</v>
      </c>
      <c r="AG45" s="444">
        <f>'Adjusted Consumption'!AG45*parameters!$C$50</f>
        <v>0</v>
      </c>
      <c r="AH45" s="444">
        <f>'Adjusted Consumption'!AH45*parameters!$C$50</f>
        <v>0</v>
      </c>
      <c r="AI45" s="444">
        <f>'Adjusted Consumption'!AI45*parameters!$C$50</f>
        <v>0</v>
      </c>
      <c r="AJ45" s="444">
        <f>'Adjusted Consumption'!AJ45*parameters!$C$50</f>
        <v>0</v>
      </c>
      <c r="AK45" s="444">
        <f>'Adjusted Consumption'!AK45*parameters!$C$50</f>
        <v>0</v>
      </c>
    </row>
    <row r="46" spans="1:37">
      <c r="A46" s="57" t="s">
        <v>27</v>
      </c>
      <c r="B46" s="66"/>
      <c r="C46" s="66"/>
      <c r="D46" s="66"/>
      <c r="E46" s="66"/>
      <c r="F46" s="66"/>
      <c r="G46" s="66"/>
      <c r="H46" s="66"/>
      <c r="I46" s="66"/>
      <c r="J46" s="66"/>
      <c r="K46" s="395"/>
      <c r="L46" s="395"/>
      <c r="M46" s="395"/>
      <c r="N46" s="753">
        <f>N82*'Adjusted Consumption'!N165</f>
        <v>3.8130345288557494</v>
      </c>
      <c r="O46" s="753">
        <f>O82*'Adjusted Consumption'!O165</f>
        <v>3.8367561456767492</v>
      </c>
      <c r="P46" s="753">
        <f>P82*'Adjusted Consumption'!P165</f>
        <v>3.7624929192354668</v>
      </c>
      <c r="Q46" s="753">
        <f>Q82*'Adjusted Consumption'!Q165</f>
        <v>3.6240504571615748</v>
      </c>
      <c r="R46" s="753">
        <f>R82*'Adjusted Consumption'!R165</f>
        <v>3.2394178944157019</v>
      </c>
      <c r="S46" s="753">
        <f>S82*'Adjusted Consumption'!S165</f>
        <v>3.1979832155948515</v>
      </c>
      <c r="T46" s="753">
        <f>T82*'Adjusted Consumption'!T165</f>
        <v>2.9578870186026283</v>
      </c>
      <c r="U46" s="753">
        <f>U82*'Adjusted Consumption'!U165</f>
        <v>2.914707272419542</v>
      </c>
      <c r="V46" s="753">
        <f>V82*'Adjusted Consumption'!V165</f>
        <v>2.8877644228418751</v>
      </c>
      <c r="W46" s="753">
        <f>W82*'Adjusted Consumption'!W165</f>
        <v>2.5397968116675811</v>
      </c>
      <c r="X46" s="753">
        <f>X82*'Adjusted Consumption'!X165</f>
        <v>2.5204350615869053</v>
      </c>
      <c r="Y46" s="753">
        <f>Y82*'Adjusted Consumption'!Y165</f>
        <v>2.4998621133010319</v>
      </c>
      <c r="Z46" s="753">
        <f>Z82*'Adjusted Consumption'!Z165</f>
        <v>2.4862990161774756</v>
      </c>
      <c r="AA46" s="753">
        <f>AA82*'Adjusted Consumption'!AA165</f>
        <v>2.8995930855503813</v>
      </c>
      <c r="AB46" s="753">
        <f>AB82*'Adjusted Consumption'!AB165</f>
        <v>2.9126261153409323</v>
      </c>
      <c r="AC46" s="753">
        <f>AC82*'Adjusted Consumption'!AC165</f>
        <v>2.9635986116760455</v>
      </c>
      <c r="AD46" s="753">
        <f>AD82*'Adjusted Consumption'!AD165</f>
        <v>3.0154785841015546</v>
      </c>
      <c r="AE46" s="753">
        <f>AE82*'Adjusted Consumption'!AE165</f>
        <v>3.0684415798646314</v>
      </c>
      <c r="AF46" s="753">
        <f>AF82*'Adjusted Consumption'!AF165</f>
        <v>3.1249562732042748</v>
      </c>
      <c r="AG46" s="753">
        <f>AG82*'Adjusted Consumption'!AG165</f>
        <v>3.1759343680095227</v>
      </c>
      <c r="AH46" s="753">
        <f>AH82*'Adjusted Consumption'!AH165</f>
        <v>3.2289077712508818</v>
      </c>
      <c r="AI46" s="753">
        <f>AI82*'Adjusted Consumption'!AI165</f>
        <v>3.2818990811996378</v>
      </c>
      <c r="AJ46" s="753">
        <f>AJ82*'Adjusted Consumption'!AJ165</f>
        <v>3.3349036103549845</v>
      </c>
      <c r="AK46" s="753">
        <f>AK82*'Adjusted Consumption'!AK165</f>
        <v>3.387896447543941</v>
      </c>
    </row>
    <row r="47" spans="1:37">
      <c r="A47" s="57" t="s">
        <v>4</v>
      </c>
      <c r="B47" s="66"/>
      <c r="C47" s="66"/>
      <c r="D47" s="66"/>
      <c r="E47" s="66"/>
      <c r="F47" s="66"/>
      <c r="G47" s="66"/>
      <c r="H47" s="66"/>
      <c r="I47" s="66"/>
      <c r="J47" s="66"/>
      <c r="K47" s="424"/>
      <c r="L47" s="424"/>
      <c r="M47" s="424"/>
      <c r="N47" s="424">
        <f t="shared" ref="N47:AK47" si="3">SUM(N29:N32,N34,N38,N43:N46)</f>
        <v>14.808704142022947</v>
      </c>
      <c r="O47" s="424">
        <f t="shared" si="3"/>
        <v>15.31642533529012</v>
      </c>
      <c r="P47" s="424">
        <f t="shared" si="3"/>
        <v>15.537904404804641</v>
      </c>
      <c r="Q47" s="424">
        <f t="shared" si="3"/>
        <v>15.452032162717641</v>
      </c>
      <c r="R47" s="424">
        <f t="shared" si="3"/>
        <v>15.059741322782521</v>
      </c>
      <c r="S47" s="424">
        <f t="shared" si="3"/>
        <v>15.07594132359729</v>
      </c>
      <c r="T47" s="424">
        <f t="shared" si="3"/>
        <v>14.882767820037934</v>
      </c>
      <c r="U47" s="424">
        <f t="shared" si="3"/>
        <v>14.837427354930234</v>
      </c>
      <c r="V47" s="424">
        <f t="shared" si="3"/>
        <v>14.791925293897442</v>
      </c>
      <c r="W47" s="424">
        <f t="shared" si="3"/>
        <v>14.378919007558451</v>
      </c>
      <c r="X47" s="424">
        <f t="shared" si="3"/>
        <v>14.379943385358267</v>
      </c>
      <c r="Y47" s="424">
        <f t="shared" si="3"/>
        <v>14.362433520718788</v>
      </c>
      <c r="Z47" s="424">
        <f t="shared" si="3"/>
        <v>14.332144390141394</v>
      </c>
      <c r="AA47" s="424">
        <f t="shared" si="3"/>
        <v>15.706085415754476</v>
      </c>
      <c r="AB47" s="424">
        <f t="shared" si="3"/>
        <v>15.885632403093489</v>
      </c>
      <c r="AC47" s="424">
        <f t="shared" si="3"/>
        <v>16.033276913983496</v>
      </c>
      <c r="AD47" s="424">
        <f t="shared" si="3"/>
        <v>16.195318521455761</v>
      </c>
      <c r="AE47" s="424">
        <f t="shared" si="3"/>
        <v>16.37275954527378</v>
      </c>
      <c r="AF47" s="424">
        <f t="shared" si="3"/>
        <v>16.571059069986475</v>
      </c>
      <c r="AG47" s="424">
        <f t="shared" si="3"/>
        <v>16.729790525844546</v>
      </c>
      <c r="AH47" s="424">
        <f t="shared" si="3"/>
        <v>16.915012789169214</v>
      </c>
      <c r="AI47" s="424">
        <f t="shared" si="3"/>
        <v>17.125343917996279</v>
      </c>
      <c r="AJ47" s="424">
        <f t="shared" si="3"/>
        <v>17.307204154921948</v>
      </c>
      <c r="AK47" s="424">
        <f t="shared" si="3"/>
        <v>17.499779870955415</v>
      </c>
    </row>
    <row r="48" spans="1:37">
      <c r="A48" s="57"/>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row>
    <row r="49" spans="1:38">
      <c r="A49" s="57" t="s">
        <v>38</v>
      </c>
      <c r="B49" s="66"/>
      <c r="C49" s="66"/>
      <c r="D49" s="66"/>
      <c r="E49" s="66"/>
      <c r="F49" s="66"/>
      <c r="G49" s="66"/>
      <c r="H49" s="66"/>
      <c r="I49" s="66"/>
      <c r="J49" s="66"/>
      <c r="K49" s="331"/>
      <c r="L49" s="331"/>
      <c r="M49" s="331"/>
      <c r="N49" s="331">
        <f t="shared" ref="N49:AK49" si="4">N6</f>
        <v>2017</v>
      </c>
      <c r="O49" s="331">
        <f t="shared" si="4"/>
        <v>2018</v>
      </c>
      <c r="P49" s="331">
        <f t="shared" si="4"/>
        <v>2019</v>
      </c>
      <c r="Q49" s="331">
        <f t="shared" si="4"/>
        <v>2020</v>
      </c>
      <c r="R49" s="331">
        <f t="shared" si="4"/>
        <v>2021</v>
      </c>
      <c r="S49" s="331">
        <f t="shared" si="4"/>
        <v>2022</v>
      </c>
      <c r="T49" s="331">
        <f t="shared" si="4"/>
        <v>2023</v>
      </c>
      <c r="U49" s="331">
        <f t="shared" si="4"/>
        <v>2024</v>
      </c>
      <c r="V49" s="331">
        <f t="shared" si="4"/>
        <v>2025</v>
      </c>
      <c r="W49" s="331">
        <f t="shared" si="4"/>
        <v>2026</v>
      </c>
      <c r="X49" s="331">
        <f t="shared" si="4"/>
        <v>2027</v>
      </c>
      <c r="Y49" s="331">
        <f t="shared" si="4"/>
        <v>2028</v>
      </c>
      <c r="Z49" s="331">
        <f t="shared" si="4"/>
        <v>2029</v>
      </c>
      <c r="AA49" s="331">
        <f t="shared" si="4"/>
        <v>2030</v>
      </c>
      <c r="AB49" s="331">
        <f t="shared" si="4"/>
        <v>2031</v>
      </c>
      <c r="AC49" s="331">
        <f t="shared" si="4"/>
        <v>2032</v>
      </c>
      <c r="AD49" s="331">
        <f t="shared" si="4"/>
        <v>2033</v>
      </c>
      <c r="AE49" s="331">
        <f t="shared" si="4"/>
        <v>2034</v>
      </c>
      <c r="AF49" s="331">
        <f t="shared" si="4"/>
        <v>2035</v>
      </c>
      <c r="AG49" s="331">
        <f t="shared" si="4"/>
        <v>2036</v>
      </c>
      <c r="AH49" s="331">
        <f t="shared" si="4"/>
        <v>2037</v>
      </c>
      <c r="AI49" s="331">
        <f t="shared" si="4"/>
        <v>2038</v>
      </c>
      <c r="AJ49" s="331">
        <f t="shared" si="4"/>
        <v>2039</v>
      </c>
      <c r="AK49" s="331">
        <f t="shared" si="4"/>
        <v>2040</v>
      </c>
    </row>
    <row r="50" spans="1:38">
      <c r="A50" s="57" t="s">
        <v>24</v>
      </c>
      <c r="B50" s="66"/>
      <c r="C50" s="66"/>
      <c r="D50" s="66"/>
      <c r="E50" s="66"/>
      <c r="F50" s="66"/>
      <c r="G50" s="66"/>
      <c r="H50" s="66"/>
      <c r="I50" s="66"/>
      <c r="J50" s="66"/>
      <c r="K50" s="444"/>
      <c r="L50" s="444"/>
      <c r="M50" s="444"/>
      <c r="N50" s="444">
        <f>'Adjusted Consumption'!N50*parameters!$C$42</f>
        <v>9.7763135945689653E-3</v>
      </c>
      <c r="O50" s="444">
        <f>'Adjusted Consumption'!O50*parameters!$C$42</f>
        <v>1.0420895020731423E-2</v>
      </c>
      <c r="P50" s="444">
        <f>'Adjusted Consumption'!P50*parameters!$C$42</f>
        <v>1.093541321502535E-2</v>
      </c>
      <c r="Q50" s="444">
        <f>'Adjusted Consumption'!Q50*parameters!$C$42</f>
        <v>1.198495401651776E-2</v>
      </c>
      <c r="R50" s="444">
        <f>'Adjusted Consumption'!R50*parameters!$C$42</f>
        <v>1.2239558948413528E-2</v>
      </c>
      <c r="S50" s="444">
        <f>'Adjusted Consumption'!S50*parameters!$C$42</f>
        <v>1.1967472668547668E-2</v>
      </c>
      <c r="T50" s="444">
        <f>'Adjusted Consumption'!T50*parameters!$C$42</f>
        <v>1.1793583328863662E-2</v>
      </c>
      <c r="U50" s="444">
        <f>'Adjusted Consumption'!U50*parameters!$C$42</f>
        <v>1.1718190197093928E-2</v>
      </c>
      <c r="V50" s="444">
        <f>'Adjusted Consumption'!V50*parameters!$C$42</f>
        <v>1.1559108175887284E-2</v>
      </c>
      <c r="W50" s="444">
        <f>'Adjusted Consumption'!W50*parameters!$C$42</f>
        <v>1.1527500076976376E-2</v>
      </c>
      <c r="X50" s="444">
        <f>'Adjusted Consumption'!X50*parameters!$C$42</f>
        <v>1.1690164062553854E-2</v>
      </c>
      <c r="Y50" s="444">
        <f>'Adjusted Consumption'!Y50*parameters!$C$42</f>
        <v>1.1894280938568228E-2</v>
      </c>
      <c r="Z50" s="444">
        <f>'Adjusted Consumption'!Z50*parameters!$C$42</f>
        <v>1.2061678296083301E-2</v>
      </c>
      <c r="AA50" s="444">
        <f>'Adjusted Consumption'!AA50*parameters!$C$42</f>
        <v>1.2852247370591676E-2</v>
      </c>
      <c r="AB50" s="444">
        <f>'Adjusted Consumption'!AB50*parameters!$C$42</f>
        <v>1.308879418851489E-2</v>
      </c>
      <c r="AC50" s="444">
        <f>'Adjusted Consumption'!AC50*parameters!$C$42</f>
        <v>1.3271864200358087E-2</v>
      </c>
      <c r="AD50" s="444">
        <f>'Adjusted Consumption'!AD50*parameters!$C$42</f>
        <v>1.343925829919107E-2</v>
      </c>
      <c r="AE50" s="444">
        <f>'Adjusted Consumption'!AE50*parameters!$C$42</f>
        <v>1.3650307759236743E-2</v>
      </c>
      <c r="AF50" s="444">
        <f>'Adjusted Consumption'!AF50*parameters!$C$42</f>
        <v>1.3835450677246364E-2</v>
      </c>
      <c r="AG50" s="444">
        <f>'Adjusted Consumption'!AG50*parameters!$C$42</f>
        <v>1.403480307216249E-2</v>
      </c>
      <c r="AH50" s="444">
        <f>'Adjusted Consumption'!AH50*parameters!$C$42</f>
        <v>1.4395590197614883E-2</v>
      </c>
      <c r="AI50" s="444">
        <f>'Adjusted Consumption'!AI50*parameters!$C$42</f>
        <v>1.4596498889616061E-2</v>
      </c>
      <c r="AJ50" s="444">
        <f>'Adjusted Consumption'!AJ50*parameters!$C$42</f>
        <v>1.4904601837789461E-2</v>
      </c>
      <c r="AK50" s="444">
        <f>'Adjusted Consumption'!AK50*parameters!$C$42</f>
        <v>1.5260777946157255E-2</v>
      </c>
    </row>
    <row r="51" spans="1:38">
      <c r="A51" s="57" t="s">
        <v>68</v>
      </c>
      <c r="B51" s="66"/>
      <c r="C51" s="66"/>
      <c r="D51" s="66"/>
      <c r="E51" s="66"/>
      <c r="F51" s="66"/>
      <c r="G51" s="66"/>
      <c r="H51" s="66"/>
      <c r="I51" s="66"/>
      <c r="J51" s="66"/>
      <c r="K51" s="444"/>
      <c r="L51" s="444"/>
      <c r="M51" s="444"/>
      <c r="N51" s="444">
        <f>'Adjusted Consumption'!N51*parameters!$C$46</f>
        <v>2.9960138346091791E-3</v>
      </c>
      <c r="O51" s="444">
        <f>'Adjusted Consumption'!O51*parameters!$C$46</f>
        <v>1.1587851081593655E-2</v>
      </c>
      <c r="P51" s="444">
        <f>'Adjusted Consumption'!P51*parameters!$C$46</f>
        <v>1.5168732968086046E-2</v>
      </c>
      <c r="Q51" s="444">
        <f>'Adjusted Consumption'!Q51*parameters!$C$46</f>
        <v>1.809969283874412E-2</v>
      </c>
      <c r="R51" s="444">
        <f>'Adjusted Consumption'!R51*parameters!$C$46</f>
        <v>2.1496418987807929E-2</v>
      </c>
      <c r="S51" s="444">
        <f>'Adjusted Consumption'!S51*parameters!$C$46</f>
        <v>2.7392149352569183E-2</v>
      </c>
      <c r="T51" s="444">
        <f>'Adjusted Consumption'!T51*parameters!$C$46</f>
        <v>3.9293847947701709E-2</v>
      </c>
      <c r="U51" s="444">
        <f>'Adjusted Consumption'!U51*parameters!$C$46</f>
        <v>5.137124616654317E-2</v>
      </c>
      <c r="V51" s="444">
        <f>'Adjusted Consumption'!V51*parameters!$C$46</f>
        <v>6.5227875860273704E-2</v>
      </c>
      <c r="W51" s="444">
        <f>'Adjusted Consumption'!W51*parameters!$C$46</f>
        <v>6.8418475683158148E-2</v>
      </c>
      <c r="X51" s="444">
        <f>'Adjusted Consumption'!X51*parameters!$C$46</f>
        <v>7.547172809052638E-2</v>
      </c>
      <c r="Y51" s="444">
        <f>'Adjusted Consumption'!Y51*parameters!$C$46</f>
        <v>7.8622153888513777E-2</v>
      </c>
      <c r="Z51" s="444">
        <f>'Adjusted Consumption'!Z51*parameters!$C$46</f>
        <v>8.0831926222084072E-2</v>
      </c>
      <c r="AA51" s="444">
        <f>'Adjusted Consumption'!AA51*parameters!$C$46</f>
        <v>8.405283622784103E-2</v>
      </c>
      <c r="AB51" s="444">
        <f>'Adjusted Consumption'!AB51*parameters!$C$46</f>
        <v>8.0422287391876637E-2</v>
      </c>
      <c r="AC51" s="444">
        <f>'Adjusted Consumption'!AC51*parameters!$C$46</f>
        <v>8.0363938549383104E-2</v>
      </c>
      <c r="AD51" s="444">
        <f>'Adjusted Consumption'!AD51*parameters!$C$46</f>
        <v>8.4070184566765044E-2</v>
      </c>
      <c r="AE51" s="444">
        <f>'Adjusted Consumption'!AE51*parameters!$C$46</f>
        <v>8.8016934020722873E-2</v>
      </c>
      <c r="AF51" s="444">
        <f>'Adjusted Consumption'!AF51*parameters!$C$46</f>
        <v>9.1804136414498597E-2</v>
      </c>
      <c r="AG51" s="444">
        <f>'Adjusted Consumption'!AG51*parameters!$C$46</f>
        <v>9.3602369911170366E-2</v>
      </c>
      <c r="AH51" s="444">
        <f>'Adjusted Consumption'!AH51*parameters!$C$46</f>
        <v>9.5342859458950463E-2</v>
      </c>
      <c r="AI51" s="444">
        <f>'Adjusted Consumption'!AI51*parameters!$C$46</f>
        <v>9.6299950426402256E-2</v>
      </c>
      <c r="AJ51" s="444">
        <f>'Adjusted Consumption'!AJ51*parameters!$C$46</f>
        <v>9.5973118012372488E-2</v>
      </c>
      <c r="AK51" s="444">
        <f>'Adjusted Consumption'!AK51*parameters!$C$46</f>
        <v>9.4334481009319945E-2</v>
      </c>
    </row>
    <row r="52" spans="1:38">
      <c r="A52" s="57" t="s">
        <v>30</v>
      </c>
      <c r="B52" s="66"/>
      <c r="C52" s="66"/>
      <c r="D52" s="66"/>
      <c r="E52" s="66"/>
      <c r="F52" s="66"/>
      <c r="G52" s="66"/>
      <c r="H52" s="66"/>
      <c r="I52" s="66"/>
      <c r="J52" s="66"/>
      <c r="K52" s="444"/>
      <c r="L52" s="444"/>
      <c r="M52" s="444"/>
      <c r="N52" s="444">
        <f>'Adjusted Consumption'!N52*ramps!O94</f>
        <v>23.538362700774599</v>
      </c>
      <c r="O52" s="444">
        <f>'Adjusted Consumption'!O52*ramps!P94</f>
        <v>23.494767708056091</v>
      </c>
      <c r="P52" s="444">
        <f>'Adjusted Consumption'!P52*ramps!Q94</f>
        <v>23.448887228604132</v>
      </c>
      <c r="Q52" s="444">
        <f>'Adjusted Consumption'!Q52*ramps!R94</f>
        <v>23.125568266392246</v>
      </c>
      <c r="R52" s="444">
        <f>'Adjusted Consumption'!R52*ramps!S94</f>
        <v>22.603564272553957</v>
      </c>
      <c r="S52" s="444">
        <f>'Adjusted Consumption'!S52*ramps!T94</f>
        <v>22.032218147205441</v>
      </c>
      <c r="T52" s="444">
        <f>'Adjusted Consumption'!T52*ramps!U94</f>
        <v>21.38616789349404</v>
      </c>
      <c r="U52" s="444">
        <f>'Adjusted Consumption'!U52*ramps!V94</f>
        <v>20.725659300586059</v>
      </c>
      <c r="V52" s="444">
        <f>'Adjusted Consumption'!V52*ramps!W94</f>
        <v>20.037392365153075</v>
      </c>
      <c r="W52" s="444">
        <f>'Adjusted Consumption'!W52*ramps!X94</f>
        <v>19.480493490096503</v>
      </c>
      <c r="X52" s="444">
        <f>'Adjusted Consumption'!X52*ramps!Y94</f>
        <v>18.98118043649146</v>
      </c>
      <c r="Y52" s="444">
        <f>'Adjusted Consumption'!Y52*ramps!Z94</f>
        <v>18.536889293235703</v>
      </c>
      <c r="Z52" s="444">
        <f>'Adjusted Consumption'!Z52*ramps!AA94</f>
        <v>18.129534795665688</v>
      </c>
      <c r="AA52" s="444">
        <f>'Adjusted Consumption'!AA52*ramps!AB94</f>
        <v>18.511259292266864</v>
      </c>
      <c r="AB52" s="444">
        <f>'Adjusted Consumption'!AB52*ramps!AC94</f>
        <v>18.250771862529255</v>
      </c>
      <c r="AC52" s="444">
        <f>'Adjusted Consumption'!AC52*ramps!AD94</f>
        <v>18.018161093047162</v>
      </c>
      <c r="AD52" s="444">
        <f>'Adjusted Consumption'!AD52*ramps!AE94</f>
        <v>17.802318337748101</v>
      </c>
      <c r="AE52" s="444">
        <f>'Adjusted Consumption'!AE52*ramps!AF94</f>
        <v>17.612545871037003</v>
      </c>
      <c r="AF52" s="444">
        <f>'Adjusted Consumption'!AF52*ramps!AG94</f>
        <v>17.445687745080587</v>
      </c>
      <c r="AG52" s="444">
        <f>'Adjusted Consumption'!AG52*ramps!AH94</f>
        <v>17.334832724869621</v>
      </c>
      <c r="AH52" s="444">
        <f>'Adjusted Consumption'!AH52*ramps!AI94</f>
        <v>17.23084141338547</v>
      </c>
      <c r="AI52" s="444">
        <f>'Adjusted Consumption'!AI52*ramps!AJ94</f>
        <v>17.155456441379407</v>
      </c>
      <c r="AJ52" s="444">
        <f>'Adjusted Consumption'!AJ52*ramps!AK94</f>
        <v>17.10415470279213</v>
      </c>
      <c r="AK52" s="444">
        <f>'Adjusted Consumption'!AK52*ramps!AL94</f>
        <v>17.085644378695047</v>
      </c>
    </row>
    <row r="53" spans="1:38">
      <c r="A53" s="57" t="s">
        <v>39</v>
      </c>
      <c r="B53" s="66"/>
      <c r="C53" s="66"/>
      <c r="D53" s="66"/>
      <c r="E53" s="66"/>
      <c r="F53" s="66"/>
      <c r="G53" s="66"/>
      <c r="H53" s="66"/>
      <c r="I53" s="66"/>
      <c r="J53" s="66"/>
      <c r="K53" s="444"/>
      <c r="L53" s="444"/>
      <c r="M53" s="444"/>
      <c r="N53" s="444">
        <f>'Adjusted Consumption'!N53*parameters!$C$40</f>
        <v>6.6570118310330741</v>
      </c>
      <c r="O53" s="444">
        <f>'Adjusted Consumption'!O53*parameters!$C$40</f>
        <v>6.8330125482946675</v>
      </c>
      <c r="P53" s="444">
        <f>'Adjusted Consumption'!P53*parameters!$C$40</f>
        <v>6.988546001379552</v>
      </c>
      <c r="Q53" s="444">
        <f>'Adjusted Consumption'!Q53*parameters!$C$40</f>
        <v>7.1029250663070931</v>
      </c>
      <c r="R53" s="444">
        <f>'Adjusted Consumption'!R53*parameters!$C$40</f>
        <v>7.2333045879667699</v>
      </c>
      <c r="S53" s="444">
        <f>'Adjusted Consumption'!S53*parameters!$C$40</f>
        <v>7.3582233783614805</v>
      </c>
      <c r="T53" s="444">
        <f>'Adjusted Consumption'!T53*parameters!$C$40</f>
        <v>7.4660717345532683</v>
      </c>
      <c r="U53" s="444">
        <f>'Adjusted Consumption'!U53*parameters!$C$40</f>
        <v>7.5904340827126031</v>
      </c>
      <c r="V53" s="444">
        <f>'Adjusted Consumption'!V53*parameters!$C$40</f>
        <v>7.7194069379646582</v>
      </c>
      <c r="W53" s="444">
        <f>'Adjusted Consumption'!W53*parameters!$C$40</f>
        <v>7.8529212539218314</v>
      </c>
      <c r="X53" s="444">
        <f>'Adjusted Consumption'!X53*parameters!$C$40</f>
        <v>7.9962848658006269</v>
      </c>
      <c r="Y53" s="444">
        <f>'Adjusted Consumption'!Y53*parameters!$C$40</f>
        <v>8.1592700333232049</v>
      </c>
      <c r="Z53" s="444">
        <f>'Adjusted Consumption'!Z53*parameters!$C$40</f>
        <v>8.3227640055483292</v>
      </c>
      <c r="AA53" s="444">
        <f>'Adjusted Consumption'!AA53*parameters!$C$40</f>
        <v>8.4809106754753429</v>
      </c>
      <c r="AB53" s="444">
        <f>'Adjusted Consumption'!AB53*parameters!$C$40</f>
        <v>8.6374391368980721</v>
      </c>
      <c r="AC53" s="444">
        <f>'Adjusted Consumption'!AC53*parameters!$C$40</f>
        <v>8.7992547102694356</v>
      </c>
      <c r="AD53" s="444">
        <f>'Adjusted Consumption'!AD53*parameters!$C$40</f>
        <v>8.9556323314691877</v>
      </c>
      <c r="AE53" s="444">
        <f>'Adjusted Consumption'!AE53*parameters!$C$40</f>
        <v>9.112786068413067</v>
      </c>
      <c r="AF53" s="444">
        <f>'Adjusted Consumption'!AF53*parameters!$C$40</f>
        <v>9.2712562380002108</v>
      </c>
      <c r="AG53" s="444">
        <f>'Adjusted Consumption'!AG53*parameters!$C$40</f>
        <v>9.4305106094226083</v>
      </c>
      <c r="AH53" s="444">
        <f>'Adjusted Consumption'!AH53*parameters!$C$40</f>
        <v>9.5828563434684746</v>
      </c>
      <c r="AI53" s="444">
        <f>'Adjusted Consumption'!AI53*parameters!$C$40</f>
        <v>9.7402951068702048</v>
      </c>
      <c r="AJ53" s="444">
        <f>'Adjusted Consumption'!AJ53*parameters!$C$40</f>
        <v>9.9002829130491872</v>
      </c>
      <c r="AK53" s="444">
        <f>'Adjusted Consumption'!AK53*parameters!$C$40</f>
        <v>10.062632480446871</v>
      </c>
    </row>
    <row r="54" spans="1:38">
      <c r="A54" s="57" t="s">
        <v>40</v>
      </c>
      <c r="B54" s="66"/>
      <c r="C54" s="66"/>
      <c r="D54" s="66"/>
      <c r="E54" s="66"/>
      <c r="F54" s="66"/>
      <c r="G54" s="66"/>
      <c r="H54" s="66"/>
      <c r="I54" s="66"/>
      <c r="J54" s="66"/>
      <c r="K54" s="444"/>
      <c r="L54" s="444"/>
      <c r="M54" s="444"/>
      <c r="N54" s="444">
        <f>'Adjusted Consumption'!N54*ramps!O95</f>
        <v>9.4490570643338909</v>
      </c>
      <c r="O54" s="444">
        <f>'Adjusted Consumption'!O54*ramps!P95</f>
        <v>9.3848776161620631</v>
      </c>
      <c r="P54" s="444">
        <f>'Adjusted Consumption'!P54*ramps!Q95</f>
        <v>9.447388501609927</v>
      </c>
      <c r="Q54" s="444">
        <f>'Adjusted Consumption'!Q54*ramps!R95</f>
        <v>9.5126726144481406</v>
      </c>
      <c r="R54" s="444">
        <f>'Adjusted Consumption'!R54*ramps!S95</f>
        <v>9.272944246935932</v>
      </c>
      <c r="S54" s="444">
        <f>'Adjusted Consumption'!S54*ramps!T95</f>
        <v>9.272519813611348</v>
      </c>
      <c r="T54" s="444">
        <f>'Adjusted Consumption'!T54*ramps!U95</f>
        <v>9.250991452143067</v>
      </c>
      <c r="U54" s="444">
        <f>'Adjusted Consumption'!U54*ramps!V95</f>
        <v>9.2239447116894393</v>
      </c>
      <c r="V54" s="444">
        <f>'Adjusted Consumption'!V54*ramps!W95</f>
        <v>9.171401965579788</v>
      </c>
      <c r="W54" s="444">
        <f>'Adjusted Consumption'!W54*ramps!X95</f>
        <v>9.1260026790651096</v>
      </c>
      <c r="X54" s="444">
        <f>'Adjusted Consumption'!X54*ramps!Y95</f>
        <v>9.0611033735973709</v>
      </c>
      <c r="Y54" s="444">
        <f>'Adjusted Consumption'!Y54*ramps!Z95</f>
        <v>8.9891153940125719</v>
      </c>
      <c r="Z54" s="444">
        <f>'Adjusted Consumption'!Z54*ramps!AA95</f>
        <v>8.917856889780742</v>
      </c>
      <c r="AA54" s="444">
        <f>'Adjusted Consumption'!AA54*ramps!AB95</f>
        <v>9.1502867378016148</v>
      </c>
      <c r="AB54" s="444">
        <f>'Adjusted Consumption'!AB54*ramps!AC95</f>
        <v>9.1239096631131478</v>
      </c>
      <c r="AC54" s="444">
        <f>'Adjusted Consumption'!AC54*ramps!AD95</f>
        <v>9.098592439338411</v>
      </c>
      <c r="AD54" s="444">
        <f>'Adjusted Consumption'!AD54*ramps!AE95</f>
        <v>9.0788383361065623</v>
      </c>
      <c r="AE54" s="444">
        <f>'Adjusted Consumption'!AE54*ramps!AF95</f>
        <v>9.0802590063617927</v>
      </c>
      <c r="AF54" s="444">
        <f>'Adjusted Consumption'!AF54*ramps!AG95</f>
        <v>9.1003511030218025</v>
      </c>
      <c r="AG54" s="444">
        <f>'Adjusted Consumption'!AG54*ramps!AH95</f>
        <v>9.1339504527486497</v>
      </c>
      <c r="AH54" s="444">
        <f>'Adjusted Consumption'!AH54*ramps!AI95</f>
        <v>9.1650974800934542</v>
      </c>
      <c r="AI54" s="444">
        <f>'Adjusted Consumption'!AI54*ramps!AJ95</f>
        <v>9.2059220333932963</v>
      </c>
      <c r="AJ54" s="444">
        <f>'Adjusted Consumption'!AJ54*ramps!AK95</f>
        <v>9.243752735340367</v>
      </c>
      <c r="AK54" s="444">
        <f>'Adjusted Consumption'!AK54*ramps!AL95</f>
        <v>9.2832153853874253</v>
      </c>
    </row>
    <row r="55" spans="1:38">
      <c r="A55" s="57" t="s">
        <v>31</v>
      </c>
      <c r="B55" s="66"/>
      <c r="C55" s="66"/>
      <c r="D55" s="66"/>
      <c r="E55" s="66"/>
      <c r="F55" s="66"/>
      <c r="G55" s="66"/>
      <c r="H55" s="66"/>
      <c r="I55" s="66"/>
      <c r="J55" s="66"/>
      <c r="K55" s="444"/>
      <c r="L55" s="444"/>
      <c r="M55" s="444"/>
      <c r="N55" s="444">
        <f>'Adjusted Consumption'!N55*parameters!$C$47</f>
        <v>4.4858404312083202</v>
      </c>
      <c r="O55" s="444">
        <f>'Adjusted Consumption'!O55*parameters!$C$47</f>
        <v>4.4552523605704843</v>
      </c>
      <c r="P55" s="444">
        <f>'Adjusted Consumption'!P55*parameters!$C$47</f>
        <v>4.3680387201727608</v>
      </c>
      <c r="Q55" s="444">
        <f>'Adjusted Consumption'!Q55*parameters!$C$47</f>
        <v>3.1965694382587859</v>
      </c>
      <c r="R55" s="444">
        <f>'Adjusted Consumption'!R55*parameters!$C$47</f>
        <v>4.6763516634688962</v>
      </c>
      <c r="S55" s="444">
        <f>'Adjusted Consumption'!S55*parameters!$C$47</f>
        <v>4.3299569686961838</v>
      </c>
      <c r="T55" s="444">
        <f>'Adjusted Consumption'!T55*parameters!$C$47</f>
        <v>4.2550047442910435</v>
      </c>
      <c r="U55" s="444">
        <f>'Adjusted Consumption'!U55*parameters!$C$47</f>
        <v>4.4893753193502333</v>
      </c>
      <c r="V55" s="444">
        <f>'Adjusted Consumption'!V55*parameters!$C$47</f>
        <v>4.555501029250502</v>
      </c>
      <c r="W55" s="444">
        <f>'Adjusted Consumption'!W55*parameters!$C$47</f>
        <v>4.4090963188723009</v>
      </c>
      <c r="X55" s="444">
        <f>'Adjusted Consumption'!X55*parameters!$C$47</f>
        <v>4.4321358388365368</v>
      </c>
      <c r="Y55" s="444">
        <f>'Adjusted Consumption'!Y55*parameters!$C$47</f>
        <v>4.4357396139676561</v>
      </c>
      <c r="Z55" s="444">
        <f>'Adjusted Consumption'!Z55*parameters!$C$47</f>
        <v>4.4325894171036673</v>
      </c>
      <c r="AA55" s="444">
        <f>'Adjusted Consumption'!AA55*parameters!$C$47</f>
        <v>4.4259747035313026</v>
      </c>
      <c r="AB55" s="444">
        <f>'Adjusted Consumption'!AB55*parameters!$C$47</f>
        <v>4.4100015603419509</v>
      </c>
      <c r="AC55" s="444">
        <f>'Adjusted Consumption'!AC55*parameters!$C$47</f>
        <v>4.3884286485663271</v>
      </c>
      <c r="AD55" s="444">
        <f>'Adjusted Consumption'!AD55*parameters!$C$47</f>
        <v>4.3654378985873779</v>
      </c>
      <c r="AE55" s="444">
        <f>'Adjusted Consumption'!AE55*parameters!$C$47</f>
        <v>4.3382623550042423</v>
      </c>
      <c r="AF55" s="444">
        <f>'Adjusted Consumption'!AF55*parameters!$C$47</f>
        <v>4.3099742231498137</v>
      </c>
      <c r="AG55" s="444">
        <f>'Adjusted Consumption'!AG55*parameters!$C$47</f>
        <v>4.3024934564387696</v>
      </c>
      <c r="AH55" s="444">
        <f>'Adjusted Consumption'!AH55*parameters!$C$47</f>
        <v>4.2037565331265503</v>
      </c>
      <c r="AI55" s="444">
        <f>'Adjusted Consumption'!AI55*parameters!$C$47</f>
        <v>4.170590145847048</v>
      </c>
      <c r="AJ55" s="444">
        <f>'Adjusted Consumption'!AJ55*parameters!$C$47</f>
        <v>4.1194864217847291</v>
      </c>
      <c r="AK55" s="444">
        <f>'Adjusted Consumption'!AK55*parameters!$C$47</f>
        <v>4.0663838874052765</v>
      </c>
    </row>
    <row r="56" spans="1:38">
      <c r="A56" s="57" t="s">
        <v>69</v>
      </c>
      <c r="B56" s="66"/>
      <c r="C56" s="66"/>
      <c r="D56" s="66"/>
      <c r="E56" s="66"/>
      <c r="F56" s="66"/>
      <c r="G56" s="66"/>
      <c r="H56" s="66"/>
      <c r="I56" s="66"/>
      <c r="J56" s="66"/>
      <c r="K56" s="444"/>
      <c r="L56" s="444"/>
      <c r="M56" s="444"/>
      <c r="N56" s="444">
        <f>'Adjusted Consumption'!N56*parameters!$C$40</f>
        <v>0.25117384924259029</v>
      </c>
      <c r="O56" s="444">
        <f>'Adjusted Consumption'!O56*parameters!$C$40</f>
        <v>0.25192390599818032</v>
      </c>
      <c r="P56" s="444">
        <f>'Adjusted Consumption'!P56*parameters!$C$40</f>
        <v>0.25279921581231474</v>
      </c>
      <c r="Q56" s="444">
        <f>'Adjusted Consumption'!Q56*parameters!$C$40</f>
        <v>0.2539080552702892</v>
      </c>
      <c r="R56" s="444">
        <f>'Adjusted Consumption'!R56*parameters!$C$40</f>
        <v>0.25424890130075817</v>
      </c>
      <c r="S56" s="444">
        <f>'Adjusted Consumption'!S56*parameters!$C$40</f>
        <v>0.25456005744267929</v>
      </c>
      <c r="T56" s="444">
        <f>'Adjusted Consumption'!T56*parameters!$C$40</f>
        <v>0.2550416150674546</v>
      </c>
      <c r="U56" s="444">
        <f>'Adjusted Consumption'!U56*parameters!$C$40</f>
        <v>0.25589841303454758</v>
      </c>
      <c r="V56" s="444">
        <f>'Adjusted Consumption'!V56*parameters!$C$40</f>
        <v>0.25682446803834291</v>
      </c>
      <c r="W56" s="444">
        <f>'Adjusted Consumption'!W56*parameters!$C$40</f>
        <v>0.2578282709071108</v>
      </c>
      <c r="X56" s="444">
        <f>'Adjusted Consumption'!X56*parameters!$C$40</f>
        <v>0.25886723952267909</v>
      </c>
      <c r="Y56" s="444">
        <f>'Adjusted Consumption'!Y56*parameters!$C$40</f>
        <v>0.2599820430856859</v>
      </c>
      <c r="Z56" s="444">
        <f>'Adjusted Consumption'!Z56*parameters!$C$40</f>
        <v>0.26103555931634903</v>
      </c>
      <c r="AA56" s="444">
        <f>'Adjusted Consumption'!AA56*parameters!$C$40</f>
        <v>0.2621334626441375</v>
      </c>
      <c r="AB56" s="444">
        <f>'Adjusted Consumption'!AB56*parameters!$C$40</f>
        <v>0.2631297252145105</v>
      </c>
      <c r="AC56" s="444">
        <f>'Adjusted Consumption'!AC56*parameters!$C$40</f>
        <v>0.26403337273841532</v>
      </c>
      <c r="AD56" s="444">
        <f>'Adjusted Consumption'!AD56*parameters!$C$40</f>
        <v>0.26480167388462444</v>
      </c>
      <c r="AE56" s="444">
        <f>'Adjusted Consumption'!AE56*parameters!$C$40</f>
        <v>0.26558022297251049</v>
      </c>
      <c r="AF56" s="444">
        <f>'Adjusted Consumption'!AF56*parameters!$C$40</f>
        <v>0.26644367106774269</v>
      </c>
      <c r="AG56" s="444">
        <f>'Adjusted Consumption'!AG56*parameters!$C$40</f>
        <v>0.26741350834807809</v>
      </c>
      <c r="AH56" s="444">
        <f>'Adjusted Consumption'!AH56*parameters!$C$40</f>
        <v>0.26841049538113093</v>
      </c>
      <c r="AI56" s="444">
        <f>'Adjusted Consumption'!AI56*parameters!$C$40</f>
        <v>0.26956036665863836</v>
      </c>
      <c r="AJ56" s="444">
        <f>'Adjusted Consumption'!AJ56*parameters!$C$40</f>
        <v>0.27085358596077586</v>
      </c>
      <c r="AK56" s="444">
        <f>'Adjusted Consumption'!AK56*parameters!$C$40</f>
        <v>0.27221915229038168</v>
      </c>
    </row>
    <row r="57" spans="1:38">
      <c r="A57" s="57" t="s">
        <v>70</v>
      </c>
      <c r="B57" s="66"/>
      <c r="C57" s="66"/>
      <c r="D57" s="66"/>
      <c r="E57" s="66"/>
      <c r="F57" s="66"/>
      <c r="G57" s="66"/>
      <c r="H57" s="66"/>
      <c r="I57" s="66"/>
      <c r="J57" s="66"/>
      <c r="K57" s="444"/>
      <c r="L57" s="444"/>
      <c r="M57" s="444"/>
      <c r="N57" s="444">
        <f>'Adjusted Consumption'!N57*parameters!$C$34</f>
        <v>0.46017223077739294</v>
      </c>
      <c r="O57" s="444">
        <f>'Adjusted Consumption'!O57*parameters!$C$34</f>
        <v>0.48373576624510167</v>
      </c>
      <c r="P57" s="444">
        <f>'Adjusted Consumption'!P57*parameters!$C$34</f>
        <v>0.4971987107675353</v>
      </c>
      <c r="Q57" s="444">
        <f>'Adjusted Consumption'!Q57*parameters!$C$34</f>
        <v>0.49879288804289501</v>
      </c>
      <c r="R57" s="444">
        <f>'Adjusted Consumption'!R57*parameters!$C$34</f>
        <v>0.49549913005905682</v>
      </c>
      <c r="S57" s="444">
        <f>'Adjusted Consumption'!S57*parameters!$C$34</f>
        <v>0.49873757000724961</v>
      </c>
      <c r="T57" s="444">
        <f>'Adjusted Consumption'!T57*parameters!$C$34</f>
        <v>0.5015505281123892</v>
      </c>
      <c r="U57" s="444">
        <f>'Adjusted Consumption'!U57*parameters!$C$34</f>
        <v>0.50538611104786835</v>
      </c>
      <c r="V57" s="444">
        <f>'Adjusted Consumption'!V57*parameters!$C$34</f>
        <v>0.50669253991834429</v>
      </c>
      <c r="W57" s="444">
        <f>'Adjusted Consumption'!W57*parameters!$C$34</f>
        <v>0.50268255402391726</v>
      </c>
      <c r="X57" s="444">
        <f>'Adjusted Consumption'!X57*parameters!$C$34</f>
        <v>0.5029279339290641</v>
      </c>
      <c r="Y57" s="444">
        <f>'Adjusted Consumption'!Y57*parameters!$C$34</f>
        <v>0.50262296413885121</v>
      </c>
      <c r="Z57" s="444">
        <f>'Adjusted Consumption'!Z57*parameters!$C$34</f>
        <v>0.50174052429932203</v>
      </c>
      <c r="AA57" s="444">
        <f>'Adjusted Consumption'!AA57*parameters!$C$34</f>
        <v>0.52768173199898705</v>
      </c>
      <c r="AB57" s="444">
        <f>'Adjusted Consumption'!AB57*parameters!$C$34</f>
        <v>0.52926952076060885</v>
      </c>
      <c r="AC57" s="444">
        <f>'Adjusted Consumption'!AC57*parameters!$C$34</f>
        <v>0.53182170686811325</v>
      </c>
      <c r="AD57" s="444">
        <f>'Adjusted Consumption'!AD57*parameters!$C$34</f>
        <v>0.53275122230481653</v>
      </c>
      <c r="AE57" s="444">
        <f>'Adjusted Consumption'!AE57*parameters!$C$34</f>
        <v>0.53526441152574822</v>
      </c>
      <c r="AF57" s="444">
        <f>'Adjusted Consumption'!AF57*parameters!$C$34</f>
        <v>0.53790680255733869</v>
      </c>
      <c r="AG57" s="444">
        <f>'Adjusted Consumption'!AG57*parameters!$C$34</f>
        <v>0.54191070845245215</v>
      </c>
      <c r="AH57" s="444">
        <f>'Adjusted Consumption'!AH57*parameters!$C$34</f>
        <v>0.5444544221262515</v>
      </c>
      <c r="AI57" s="444">
        <f>'Adjusted Consumption'!AI57*parameters!$C$34</f>
        <v>0.54688377685472112</v>
      </c>
      <c r="AJ57" s="444">
        <f>'Adjusted Consumption'!AJ57*parameters!$C$34</f>
        <v>0.54948091231073204</v>
      </c>
      <c r="AK57" s="444">
        <f>'Adjusted Consumption'!AK57*parameters!$C$34</f>
        <v>0.55081369565055849</v>
      </c>
    </row>
    <row r="58" spans="1:38">
      <c r="A58" s="57" t="s">
        <v>71</v>
      </c>
      <c r="B58" s="66"/>
      <c r="C58" s="66"/>
      <c r="D58" s="66"/>
      <c r="E58" s="66"/>
      <c r="F58" s="66"/>
      <c r="G58" s="66"/>
      <c r="H58" s="66"/>
      <c r="I58" s="66"/>
      <c r="J58" s="66"/>
      <c r="K58" s="444"/>
      <c r="L58" s="444"/>
      <c r="M58" s="444"/>
      <c r="N58" s="444">
        <f>'Adjusted Consumption'!N58*parameters!$C$34</f>
        <v>6.3623994427495084E-2</v>
      </c>
      <c r="O58" s="444">
        <f>'Adjusted Consumption'!O58*parameters!$C$34</f>
        <v>7.2292674232231763E-2</v>
      </c>
      <c r="P58" s="444">
        <f>'Adjusted Consumption'!P58*parameters!$C$34</f>
        <v>8.0217689375305795E-2</v>
      </c>
      <c r="Q58" s="444">
        <f>'Adjusted Consumption'!Q58*parameters!$C$34</f>
        <v>8.4346995084809626E-2</v>
      </c>
      <c r="R58" s="444">
        <f>'Adjusted Consumption'!R58*parameters!$C$34</f>
        <v>0.11472838037380834</v>
      </c>
      <c r="S58" s="444">
        <f>'Adjusted Consumption'!S58*parameters!$C$34</f>
        <v>0.12471244881605927</v>
      </c>
      <c r="T58" s="444">
        <f>'Adjusted Consumption'!T58*parameters!$C$34</f>
        <v>0.13167402152907609</v>
      </c>
      <c r="U58" s="444">
        <f>'Adjusted Consumption'!U58*parameters!$C$34</f>
        <v>0.13368742312210333</v>
      </c>
      <c r="V58" s="444">
        <f>'Adjusted Consumption'!V58*parameters!$C$34</f>
        <v>0.14044719880270592</v>
      </c>
      <c r="W58" s="444">
        <f>'Adjusted Consumption'!W58*parameters!$C$34</f>
        <v>0.15104758207831812</v>
      </c>
      <c r="X58" s="444">
        <f>'Adjusted Consumption'!X58*parameters!$C$34</f>
        <v>0.1605498742699018</v>
      </c>
      <c r="Y58" s="444">
        <f>'Adjusted Consumption'!Y58*parameters!$C$34</f>
        <v>0.17068837866169437</v>
      </c>
      <c r="Z58" s="444">
        <f>'Adjusted Consumption'!Z58*parameters!$C$34</f>
        <v>0.18093601614247942</v>
      </c>
      <c r="AA58" s="444">
        <f>'Adjusted Consumption'!AA58*parameters!$C$34</f>
        <v>0.19411482728104218</v>
      </c>
      <c r="AB58" s="444">
        <f>'Adjusted Consumption'!AB58*parameters!$C$34</f>
        <v>0.20571505561764197</v>
      </c>
      <c r="AC58" s="444">
        <f>'Adjusted Consumption'!AC58*parameters!$C$34</f>
        <v>0.21707055256015198</v>
      </c>
      <c r="AD58" s="444">
        <f>'Adjusted Consumption'!AD58*parameters!$C$34</f>
        <v>0.22880108660113582</v>
      </c>
      <c r="AE58" s="444">
        <f>'Adjusted Consumption'!AE58*parameters!$C$34</f>
        <v>0.24150533556902307</v>
      </c>
      <c r="AF58" s="444">
        <f>'Adjusted Consumption'!AF58*parameters!$C$34</f>
        <v>0.25360127778129116</v>
      </c>
      <c r="AG58" s="444">
        <f>'Adjusted Consumption'!AG58*parameters!$C$34</f>
        <v>0.26531151803772601</v>
      </c>
      <c r="AH58" s="444">
        <f>'Adjusted Consumption'!AH58*parameters!$C$34</f>
        <v>0.28193421019662135</v>
      </c>
      <c r="AI58" s="444">
        <f>'Adjusted Consumption'!AI58*parameters!$C$34</f>
        <v>0.29527267603595225</v>
      </c>
      <c r="AJ58" s="444">
        <f>'Adjusted Consumption'!AJ58*parameters!$C$34</f>
        <v>0.30967119063516063</v>
      </c>
      <c r="AK58" s="444">
        <f>'Adjusted Consumption'!AK58*parameters!$C$34</f>
        <v>0.32565260145319025</v>
      </c>
    </row>
    <row r="59" spans="1:38">
      <c r="A59" s="57" t="s">
        <v>72</v>
      </c>
      <c r="B59" s="66"/>
      <c r="C59" s="66"/>
      <c r="D59" s="66"/>
      <c r="E59" s="66"/>
      <c r="F59" s="66"/>
      <c r="G59" s="66"/>
      <c r="H59" s="66"/>
      <c r="I59" s="66"/>
      <c r="J59" s="66"/>
      <c r="K59" s="444"/>
      <c r="L59" s="444"/>
      <c r="M59" s="444"/>
      <c r="N59" s="444">
        <f>'Adjusted Consumption'!N59*parameters!$C$49</f>
        <v>0</v>
      </c>
      <c r="O59" s="444">
        <f>'Adjusted Consumption'!O59*parameters!$C$49</f>
        <v>0</v>
      </c>
      <c r="P59" s="444">
        <f>'Adjusted Consumption'!P59*parameters!$C$49</f>
        <v>0</v>
      </c>
      <c r="Q59" s="444">
        <f>'Adjusted Consumption'!Q59*parameters!$C$49</f>
        <v>0</v>
      </c>
      <c r="R59" s="444">
        <f>'Adjusted Consumption'!R59*parameters!$C$49</f>
        <v>0</v>
      </c>
      <c r="S59" s="444">
        <f>'Adjusted Consumption'!S59*parameters!$C$49</f>
        <v>0</v>
      </c>
      <c r="T59" s="444">
        <f>'Adjusted Consumption'!T59*parameters!$C$49</f>
        <v>0</v>
      </c>
      <c r="U59" s="444">
        <f>'Adjusted Consumption'!U59*parameters!$C$49</f>
        <v>0</v>
      </c>
      <c r="V59" s="444">
        <f>'Adjusted Consumption'!V59*parameters!$C$49</f>
        <v>0</v>
      </c>
      <c r="W59" s="444">
        <f>'Adjusted Consumption'!W59*parameters!$C$49</f>
        <v>0</v>
      </c>
      <c r="X59" s="444">
        <f>'Adjusted Consumption'!X59*parameters!$C$49</f>
        <v>0</v>
      </c>
      <c r="Y59" s="444">
        <f>'Adjusted Consumption'!Y59*parameters!$C$49</f>
        <v>0</v>
      </c>
      <c r="Z59" s="444">
        <f>'Adjusted Consumption'!Z59*parameters!$C$49</f>
        <v>0</v>
      </c>
      <c r="AA59" s="444">
        <f>'Adjusted Consumption'!AA59*parameters!$C$49</f>
        <v>0</v>
      </c>
      <c r="AB59" s="444">
        <f>'Adjusted Consumption'!AB59*parameters!$C$49</f>
        <v>0</v>
      </c>
      <c r="AC59" s="444">
        <f>'Adjusted Consumption'!AC59*parameters!$C$49</f>
        <v>0</v>
      </c>
      <c r="AD59" s="444">
        <f>'Adjusted Consumption'!AD59*parameters!$C$49</f>
        <v>0</v>
      </c>
      <c r="AE59" s="444">
        <f>'Adjusted Consumption'!AE59*parameters!$C$49</f>
        <v>0</v>
      </c>
      <c r="AF59" s="444">
        <f>'Adjusted Consumption'!AF59*parameters!$C$49</f>
        <v>0</v>
      </c>
      <c r="AG59" s="444">
        <f>'Adjusted Consumption'!AG59*parameters!$C$49</f>
        <v>0</v>
      </c>
      <c r="AH59" s="444">
        <f>'Adjusted Consumption'!AH59*parameters!$C$49</f>
        <v>0</v>
      </c>
      <c r="AI59" s="444">
        <f>'Adjusted Consumption'!AI59*parameters!$C$49</f>
        <v>0</v>
      </c>
      <c r="AJ59" s="444">
        <f>'Adjusted Consumption'!AJ59*parameters!$C$49</f>
        <v>0</v>
      </c>
      <c r="AK59" s="444">
        <f>'Adjusted Consumption'!AK59*parameters!$C$49</f>
        <v>0</v>
      </c>
      <c r="AL59" t="s">
        <v>341</v>
      </c>
    </row>
    <row r="60" spans="1:38">
      <c r="A60" s="57" t="s">
        <v>27</v>
      </c>
      <c r="B60" s="66"/>
      <c r="C60" s="66"/>
      <c r="D60" s="66"/>
      <c r="E60" s="66"/>
      <c r="F60" s="66"/>
      <c r="G60" s="66"/>
      <c r="H60" s="66"/>
      <c r="I60" s="66"/>
      <c r="J60" s="66"/>
      <c r="K60" s="444"/>
      <c r="L60" s="444"/>
      <c r="M60" s="444"/>
      <c r="N60" s="444">
        <f>'Adjusted Emissions'!N82*'Adjusted Consumption'!N166</f>
        <v>3.2086657728111916E-2</v>
      </c>
      <c r="O60" s="444">
        <f>'Adjusted Emissions'!O82*'Adjusted Consumption'!O166</f>
        <v>4.3129434668649484E-2</v>
      </c>
      <c r="P60" s="444">
        <f>'Adjusted Emissions'!P82*'Adjusted Consumption'!P166</f>
        <v>5.5337080927363398E-2</v>
      </c>
      <c r="Q60" s="444">
        <f>'Adjusted Emissions'!Q82*'Adjusted Consumption'!Q166</f>
        <v>6.6967645320668359E-2</v>
      </c>
      <c r="R60" s="444">
        <f>'Adjusted Emissions'!R82*'Adjusted Consumption'!R166</f>
        <v>7.3077028091522014E-2</v>
      </c>
      <c r="S60" s="444">
        <f>'Adjusted Emissions'!S82*'Adjusted Consumption'!S166</f>
        <v>8.6019845723735777E-2</v>
      </c>
      <c r="T60" s="444">
        <f>'Adjusted Emissions'!T82*'Adjusted Consumption'!T166</f>
        <v>9.2949594936408864E-2</v>
      </c>
      <c r="U60" s="444">
        <f>'Adjusted Emissions'!U82*'Adjusted Consumption'!U166</f>
        <v>0.10518948753852306</v>
      </c>
      <c r="V60" s="444">
        <f>'Adjusted Emissions'!V82*'Adjusted Consumption'!V166</f>
        <v>0.11803244575174889</v>
      </c>
      <c r="W60" s="444">
        <f>'Adjusted Emissions'!W82*'Adjusted Consumption'!W166</f>
        <v>0.11624936267736538</v>
      </c>
      <c r="X60" s="444">
        <f>'Adjusted Emissions'!X82*'Adjusted Consumption'!X166</f>
        <v>0.12731821473461999</v>
      </c>
      <c r="Y60" s="444">
        <f>'Adjusted Emissions'!Y82*'Adjusted Consumption'!Y166</f>
        <v>0.13770209389778953</v>
      </c>
      <c r="Z60" s="444">
        <f>'Adjusted Emissions'!Z82*'Adjusted Consumption'!Z166</f>
        <v>0.14730511666591276</v>
      </c>
      <c r="AA60" s="444">
        <f>'Adjusted Emissions'!AA82*'Adjusted Consumption'!AA166</f>
        <v>0.18080167014507484</v>
      </c>
      <c r="AB60" s="444">
        <f>'Adjusted Emissions'!AB82*'Adjusted Consumption'!AB166</f>
        <v>0.19109959163020501</v>
      </c>
      <c r="AC60" s="444">
        <f>'Adjusted Emissions'!AC82*'Adjusted Consumption'!AC166</f>
        <v>0.20134969980384357</v>
      </c>
      <c r="AD60" s="444">
        <f>'Adjusted Emissions'!AD82*'Adjusted Consumption'!AD166</f>
        <v>0.21023229752858902</v>
      </c>
      <c r="AE60" s="444">
        <f>'Adjusted Emissions'!AE82*'Adjusted Consumption'!AE166</f>
        <v>0.2190474487430481</v>
      </c>
      <c r="AF60" s="444">
        <f>'Adjusted Emissions'!AF82*'Adjusted Consumption'!AF166</f>
        <v>0.2254576966488672</v>
      </c>
      <c r="AG60" s="444">
        <f>'Adjusted Emissions'!AG82*'Adjusted Consumption'!AG166</f>
        <v>0.23546250717484507</v>
      </c>
      <c r="AH60" s="444">
        <f>'Adjusted Emissions'!AH82*'Adjusted Consumption'!AH166</f>
        <v>0.24419542705437514</v>
      </c>
      <c r="AI60" s="444">
        <f>'Adjusted Emissions'!AI82*'Adjusted Consumption'!AI166</f>
        <v>0.25295243723559852</v>
      </c>
      <c r="AJ60" s="444">
        <f>'Adjusted Emissions'!AJ82*'Adjusted Consumption'!AJ166</f>
        <v>0.26173231696548072</v>
      </c>
      <c r="AK60" s="444">
        <f>'Adjusted Emissions'!AK82*'Adjusted Consumption'!AK166</f>
        <v>0.27053225076061899</v>
      </c>
    </row>
    <row r="61" spans="1:38">
      <c r="A61" s="57" t="s">
        <v>28</v>
      </c>
      <c r="B61" s="66"/>
      <c r="C61" s="66"/>
      <c r="D61" s="66"/>
      <c r="E61" s="66"/>
      <c r="F61" s="66"/>
      <c r="G61" s="66"/>
      <c r="H61" s="66"/>
      <c r="I61" s="66"/>
      <c r="J61" s="66"/>
      <c r="K61" s="445"/>
      <c r="L61" s="445"/>
      <c r="M61" s="445"/>
      <c r="N61" s="445">
        <f t="shared" ref="N61:AF61" si="5">SUM(N50:N56,N57:N60)</f>
        <v>44.95010108695466</v>
      </c>
      <c r="O61" s="445">
        <f t="shared" si="5"/>
        <v>45.041000760329801</v>
      </c>
      <c r="P61" s="445">
        <f t="shared" si="5"/>
        <v>45.164517294832009</v>
      </c>
      <c r="Q61" s="445">
        <f t="shared" si="5"/>
        <v>43.871835615980181</v>
      </c>
      <c r="R61" s="445">
        <f t="shared" si="5"/>
        <v>44.757454188686914</v>
      </c>
      <c r="S61" s="445">
        <f t="shared" si="5"/>
        <v>43.996307851885298</v>
      </c>
      <c r="T61" s="445">
        <f t="shared" si="5"/>
        <v>43.390539015403313</v>
      </c>
      <c r="U61" s="445">
        <f t="shared" si="5"/>
        <v>43.092664285445018</v>
      </c>
      <c r="V61" s="445">
        <f t="shared" si="5"/>
        <v>42.582485934495331</v>
      </c>
      <c r="W61" s="445">
        <f t="shared" si="5"/>
        <v>41.976267487402595</v>
      </c>
      <c r="X61" s="445">
        <f t="shared" si="5"/>
        <v>41.607529669335342</v>
      </c>
      <c r="Y61" s="445">
        <f t="shared" si="5"/>
        <v>41.282526249150237</v>
      </c>
      <c r="Z61" s="445">
        <f t="shared" si="5"/>
        <v>40.986655929040651</v>
      </c>
      <c r="AA61" s="445">
        <f t="shared" si="5"/>
        <v>41.830068184742792</v>
      </c>
      <c r="AB61" s="445">
        <f t="shared" si="5"/>
        <v>41.704847197685787</v>
      </c>
      <c r="AC61" s="445">
        <f t="shared" si="5"/>
        <v>41.6123480259416</v>
      </c>
      <c r="AD61" s="445">
        <f t="shared" si="5"/>
        <v>41.536322627096361</v>
      </c>
      <c r="AE61" s="445">
        <f t="shared" si="5"/>
        <v>41.506917961406387</v>
      </c>
      <c r="AF61" s="445">
        <f t="shared" si="5"/>
        <v>41.516318344399394</v>
      </c>
      <c r="AG61" s="445">
        <f>SUM(AG50:AG56,AG57:AG60)</f>
        <v>41.619522658476079</v>
      </c>
      <c r="AH61" s="445">
        <f>SUM(AH50:AH56,AH57:AH60)</f>
        <v>41.631284774488897</v>
      </c>
      <c r="AI61" s="445">
        <f>SUM(AI50:AI56,AI57:AI60)</f>
        <v>41.747829433590887</v>
      </c>
      <c r="AJ61" s="445">
        <f>SUM(AJ50:AJ56,AJ57:AJ60)</f>
        <v>41.87029249868872</v>
      </c>
      <c r="AK61" s="445">
        <f>SUM(AK50:AK56,AK57:AK60)</f>
        <v>42.026689091044851</v>
      </c>
    </row>
    <row r="62" spans="1:38" s="57" customFormat="1" ht="13.5" thickBot="1">
      <c r="B62" s="66"/>
      <c r="C62" s="66"/>
      <c r="D62" s="66"/>
      <c r="E62" s="66"/>
      <c r="F62" s="66"/>
      <c r="G62" s="66"/>
      <c r="H62" s="66"/>
      <c r="I62" s="66"/>
      <c r="J62" s="66"/>
      <c r="K62" s="606"/>
      <c r="L62" s="606"/>
      <c r="M62" s="606"/>
      <c r="N62" s="606"/>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row>
    <row r="63" spans="1:38" s="57" customFormat="1" ht="13.5" thickTop="1">
      <c r="A63" s="57" t="s">
        <v>521</v>
      </c>
      <c r="B63" s="66"/>
      <c r="C63" s="66"/>
      <c r="D63" s="66"/>
      <c r="E63" s="66"/>
      <c r="F63" s="66"/>
      <c r="G63" s="66"/>
      <c r="H63" s="66"/>
      <c r="I63" s="66"/>
      <c r="J63" s="66"/>
      <c r="K63" s="86"/>
      <c r="L63" s="86"/>
      <c r="M63" s="86"/>
      <c r="N63" s="86">
        <f t="shared" ref="N63:AK63" si="6">N14+N26+N47+N61</f>
        <v>80.866636140077134</v>
      </c>
      <c r="O63" s="86">
        <f t="shared" si="6"/>
        <v>81.621149486140069</v>
      </c>
      <c r="P63" s="86">
        <f t="shared" si="6"/>
        <v>81.281891537751278</v>
      </c>
      <c r="Q63" s="86">
        <f t="shared" si="6"/>
        <v>79.212042906678619</v>
      </c>
      <c r="R63" s="86">
        <f t="shared" si="6"/>
        <v>78.336645561774588</v>
      </c>
      <c r="S63" s="86">
        <f t="shared" si="6"/>
        <v>77.237482694568172</v>
      </c>
      <c r="T63" s="86">
        <f t="shared" si="6"/>
        <v>75.576748005358269</v>
      </c>
      <c r="U63" s="86">
        <f t="shared" si="6"/>
        <v>74.918263938186229</v>
      </c>
      <c r="V63" s="86">
        <f t="shared" si="6"/>
        <v>74.100114891994991</v>
      </c>
      <c r="W63" s="86">
        <f t="shared" si="6"/>
        <v>72.038880916063476</v>
      </c>
      <c r="X63" s="86">
        <f t="shared" si="6"/>
        <v>71.488891385959022</v>
      </c>
      <c r="Y63" s="86">
        <f t="shared" si="6"/>
        <v>70.98931842502455</v>
      </c>
      <c r="Z63" s="86">
        <f t="shared" si="6"/>
        <v>70.543868274467982</v>
      </c>
      <c r="AA63" s="86">
        <f t="shared" si="6"/>
        <v>73.830168882750996</v>
      </c>
      <c r="AB63" s="86">
        <f t="shared" si="6"/>
        <v>73.974382865246326</v>
      </c>
      <c r="AC63" s="86">
        <f t="shared" si="6"/>
        <v>74.132405597653459</v>
      </c>
      <c r="AD63" s="86">
        <f t="shared" si="6"/>
        <v>74.328415321433667</v>
      </c>
      <c r="AE63" s="86">
        <f t="shared" si="6"/>
        <v>74.591600743189034</v>
      </c>
      <c r="AF63" s="86">
        <f t="shared" si="6"/>
        <v>74.925086570210667</v>
      </c>
      <c r="AG63" s="86">
        <f t="shared" si="6"/>
        <v>75.289550374935857</v>
      </c>
      <c r="AH63" s="86">
        <f t="shared" si="6"/>
        <v>75.593497490026209</v>
      </c>
      <c r="AI63" s="86">
        <f t="shared" si="6"/>
        <v>76.029463832670416</v>
      </c>
      <c r="AJ63" s="86">
        <f t="shared" si="6"/>
        <v>76.448468458436849</v>
      </c>
      <c r="AK63" s="86">
        <f t="shared" si="6"/>
        <v>76.917361919751755</v>
      </c>
    </row>
    <row r="64" spans="1:38">
      <c r="A64" s="57"/>
      <c r="B64" s="83"/>
      <c r="C64" s="83"/>
      <c r="D64" s="83"/>
      <c r="E64" s="83"/>
      <c r="F64" s="83"/>
      <c r="G64" s="83"/>
      <c r="H64" s="66"/>
      <c r="I64" s="66"/>
      <c r="J64" s="66"/>
      <c r="K64" s="84"/>
      <c r="L64" s="84"/>
      <c r="M64" s="84"/>
      <c r="N64" s="66"/>
      <c r="O64" s="66"/>
      <c r="P64" s="66"/>
      <c r="Q64" s="66"/>
      <c r="R64" s="66"/>
      <c r="S64" s="66"/>
      <c r="T64" s="66"/>
      <c r="U64" s="66"/>
      <c r="V64" s="66"/>
      <c r="W64" s="66"/>
      <c r="X64" s="66"/>
      <c r="Y64" s="66"/>
      <c r="Z64" s="66"/>
      <c r="AA64" s="66"/>
      <c r="AB64" s="66"/>
      <c r="AC64" s="66"/>
      <c r="AD64" s="66"/>
      <c r="AE64" s="66"/>
      <c r="AF64" s="66"/>
      <c r="AG64" s="66"/>
      <c r="AH64" s="66"/>
      <c r="AI64" s="66"/>
      <c r="AJ64" s="66"/>
      <c r="AK64" s="66"/>
    </row>
    <row r="65" spans="1:38" s="6" customFormat="1">
      <c r="A65" s="57" t="s">
        <v>376</v>
      </c>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82"/>
    </row>
    <row r="66" spans="1:38" s="6" customFormat="1">
      <c r="A66" s="77" t="s">
        <v>492</v>
      </c>
      <c r="B66" s="76"/>
      <c r="C66" s="76"/>
      <c r="D66" s="76"/>
      <c r="E66" s="76"/>
      <c r="F66" s="76"/>
      <c r="G66" s="76"/>
      <c r="H66" s="76"/>
      <c r="I66" s="68"/>
      <c r="J66" s="68"/>
      <c r="K66" s="68"/>
      <c r="L66" s="68"/>
      <c r="M66" s="68"/>
      <c r="N66" s="68">
        <f>'Baseline Emissions'!N66*ramps!O80</f>
        <v>0.36194235879169528</v>
      </c>
      <c r="O66" s="68">
        <f>'Baseline Emissions'!O66*ramps!P80</f>
        <v>0.36624947286131643</v>
      </c>
      <c r="P66" s="68">
        <f>'Baseline Emissions'!P66*ramps!Q80</f>
        <v>0.37038809190464933</v>
      </c>
      <c r="Q66" s="68">
        <f>'Baseline Emissions'!Q66*ramps!R80</f>
        <v>0.37438828329721957</v>
      </c>
      <c r="R66" s="68">
        <f>'Baseline Emissions'!R66*ramps!S80</f>
        <v>0.37828192144351058</v>
      </c>
      <c r="S66" s="68">
        <f>'Baseline Emissions'!S66*ramps!T80</f>
        <v>0.38221605342652304</v>
      </c>
      <c r="T66" s="68">
        <f>'Baseline Emissions'!T66*ramps!U80</f>
        <v>0.38615287877681626</v>
      </c>
      <c r="U66" s="68">
        <f>'Baseline Emissions'!U66*ramps!V80</f>
        <v>0.39009163814033976</v>
      </c>
      <c r="V66" s="68">
        <f>'Baseline Emissions'!V66*ramps!W80</f>
        <v>0.3939925545217432</v>
      </c>
      <c r="W66" s="68">
        <f>'Baseline Emissions'!W66*ramps!X80</f>
        <v>0.39785368155605638</v>
      </c>
      <c r="X66" s="68">
        <f>'Baseline Emissions'!X66*ramps!Y80</f>
        <v>0.40171286226715003</v>
      </c>
      <c r="Y66" s="68">
        <f>'Baseline Emissions'!Y66*ramps!Z80</f>
        <v>0.40552913445868799</v>
      </c>
      <c r="Z66" s="68">
        <f>'Baseline Emissions'!Z66*ramps!AA80</f>
        <v>0.40930055540915383</v>
      </c>
      <c r="AA66" s="68">
        <f>'Baseline Emissions'!AA66*ramps!AB80</f>
        <v>0.41306612051891806</v>
      </c>
      <c r="AB66" s="68">
        <f>'Baseline Emissions'!AB66*ramps!AC80</f>
        <v>0.41674240899153642</v>
      </c>
      <c r="AC66" s="68">
        <f>'Baseline Emissions'!AC66*ramps!AD80</f>
        <v>0.42036806794976284</v>
      </c>
      <c r="AD66" s="68">
        <f>'Baseline Emissions'!AD66*ramps!AE80</f>
        <v>0.42394119652733575</v>
      </c>
      <c r="AE66" s="68">
        <f>'Baseline Emissions'!AE66*ramps!AF80</f>
        <v>0.42745990845851262</v>
      </c>
      <c r="AF66" s="68">
        <f>'Baseline Emissions'!AF66*ramps!AG80</f>
        <v>0.4309223337170266</v>
      </c>
      <c r="AG66" s="68">
        <f>'Baseline Emissions'!AG66*ramps!AH80</f>
        <v>0.43432662015339113</v>
      </c>
      <c r="AH66" s="68">
        <f>'Baseline Emissions'!AH66*ramps!AI80</f>
        <v>0.4376709351285723</v>
      </c>
      <c r="AI66" s="68">
        <f>'Baseline Emissions'!AI66*ramps!AJ80</f>
        <v>0.44099723423554954</v>
      </c>
      <c r="AJ66" s="68">
        <f>'Baseline Emissions'!AJ66*ramps!AK80</f>
        <v>0.44430471349231621</v>
      </c>
      <c r="AK66" s="68">
        <f>'Baseline Emissions'!AK66*ramps!AL80</f>
        <v>0.44754813790081011</v>
      </c>
    </row>
    <row r="67" spans="1:38" s="6" customFormat="1">
      <c r="A67" s="77" t="s">
        <v>493</v>
      </c>
      <c r="B67" s="76"/>
      <c r="C67" s="76"/>
      <c r="D67" s="76"/>
      <c r="E67" s="76"/>
      <c r="F67" s="76"/>
      <c r="G67" s="76"/>
      <c r="H67" s="76"/>
      <c r="I67" s="68"/>
      <c r="J67" s="68"/>
      <c r="K67" s="68"/>
      <c r="L67" s="68"/>
      <c r="M67" s="68"/>
      <c r="N67" s="68">
        <f>'Baseline Emissions'!N67*ramps!O81</f>
        <v>0.68130326360789695</v>
      </c>
      <c r="O67" s="68">
        <f>'Baseline Emissions'!O67*ramps!P81</f>
        <v>0.68941077244483084</v>
      </c>
      <c r="P67" s="68">
        <f>'Baseline Emissions'!P67*ramps!Q81</f>
        <v>0.69720111417345754</v>
      </c>
      <c r="Q67" s="68">
        <f>'Baseline Emissions'!Q67*ramps!R81</f>
        <v>0.7047308862065309</v>
      </c>
      <c r="R67" s="68">
        <f>'Baseline Emissions'!R67*ramps!S81</f>
        <v>0.71206008742307869</v>
      </c>
      <c r="S67" s="68">
        <f>'Baseline Emissions'!S67*ramps!T81</f>
        <v>0.71946551233227862</v>
      </c>
      <c r="T67" s="68">
        <f>'Baseline Emissions'!T67*ramps!U81</f>
        <v>0.72687600710930111</v>
      </c>
      <c r="U67" s="68">
        <f>'Baseline Emissions'!U67*ramps!V81</f>
        <v>0.734290142381816</v>
      </c>
      <c r="V67" s="68">
        <f>'Baseline Emissions'!V67*ramps!W81</f>
        <v>0.74163304380563422</v>
      </c>
      <c r="W67" s="68">
        <f>'Baseline Emissions'!W67*ramps!X81</f>
        <v>0.7489010476349296</v>
      </c>
      <c r="X67" s="68">
        <f>'Baseline Emissions'!X67*ramps!Y81</f>
        <v>0.75616538779698828</v>
      </c>
      <c r="Y67" s="68">
        <f>'Baseline Emissions'!Y67*ramps!Z81</f>
        <v>0.7633489589810597</v>
      </c>
      <c r="Z67" s="68">
        <f>'Baseline Emissions'!Z67*ramps!AA81</f>
        <v>0.77044810429958366</v>
      </c>
      <c r="AA67" s="68">
        <f>'Baseline Emissions'!AA67*ramps!AB81</f>
        <v>0.77753622685913981</v>
      </c>
      <c r="AB67" s="68">
        <f>'Baseline Emissions'!AB67*ramps!AC81</f>
        <v>0.78445629927818616</v>
      </c>
      <c r="AC67" s="68">
        <f>'Baseline Emissions'!AC67*ramps!AD81</f>
        <v>0.79128106908190643</v>
      </c>
      <c r="AD67" s="68">
        <f>'Baseline Emissions'!AD67*ramps!AE81</f>
        <v>0.7980069581691025</v>
      </c>
      <c r="AE67" s="68">
        <f>'Baseline Emissions'!AE67*ramps!AF81</f>
        <v>0.80463041592190609</v>
      </c>
      <c r="AF67" s="68">
        <f>'Baseline Emissions'!AF67*ramps!AG81</f>
        <v>0.81114792229087362</v>
      </c>
      <c r="AG67" s="68">
        <f>'Baseline Emissions'!AG67*ramps!AH81</f>
        <v>0.81755599087697151</v>
      </c>
      <c r="AH67" s="68">
        <f>'Baseline Emissions'!AH67*ramps!AI81</f>
        <v>0.82385117200672431</v>
      </c>
      <c r="AI67" s="68">
        <f>'Baseline Emissions'!AI67*ramps!AJ81</f>
        <v>0.83011244091397562</v>
      </c>
      <c r="AJ67" s="68">
        <f>'Baseline Emissions'!AJ67*ramps!AK81</f>
        <v>0.83633828422083045</v>
      </c>
      <c r="AK67" s="68">
        <f>'Baseline Emissions'!AK67*ramps!AL81</f>
        <v>0.8424435536956425</v>
      </c>
    </row>
    <row r="68" spans="1:38" s="6" customFormat="1">
      <c r="A68" s="77" t="s">
        <v>494</v>
      </c>
      <c r="B68" s="76"/>
      <c r="C68" s="76"/>
      <c r="D68" s="76"/>
      <c r="E68" s="76"/>
      <c r="F68" s="76"/>
      <c r="G68" s="76"/>
      <c r="H68" s="76"/>
      <c r="I68" s="68"/>
      <c r="J68" s="68"/>
      <c r="K68" s="68"/>
      <c r="L68" s="68"/>
      <c r="M68" s="68"/>
      <c r="N68" s="68">
        <f>'Baseline Emissions'!N68*ramps!O82</f>
        <v>0</v>
      </c>
      <c r="O68" s="68">
        <f>'Baseline Emissions'!O68*ramps!P82</f>
        <v>0</v>
      </c>
      <c r="P68" s="68">
        <f>'Baseline Emissions'!P68*ramps!Q82</f>
        <v>0</v>
      </c>
      <c r="Q68" s="68">
        <f>'Baseline Emissions'!Q68*ramps!R82</f>
        <v>0</v>
      </c>
      <c r="R68" s="68">
        <f>'Baseline Emissions'!R68*ramps!S82</f>
        <v>0</v>
      </c>
      <c r="S68" s="68">
        <f>'Baseline Emissions'!S68*ramps!T82</f>
        <v>0</v>
      </c>
      <c r="T68" s="68">
        <f>'Baseline Emissions'!T68*ramps!U82</f>
        <v>0</v>
      </c>
      <c r="U68" s="68">
        <f>'Baseline Emissions'!U68*ramps!V82</f>
        <v>0</v>
      </c>
      <c r="V68" s="68">
        <f>'Baseline Emissions'!V68*ramps!W82</f>
        <v>0</v>
      </c>
      <c r="W68" s="68">
        <f>'Baseline Emissions'!W68*ramps!X82</f>
        <v>0</v>
      </c>
      <c r="X68" s="68">
        <f>'Baseline Emissions'!X68*ramps!Y82</f>
        <v>0</v>
      </c>
      <c r="Y68" s="68">
        <f>'Baseline Emissions'!Y68*ramps!Z82</f>
        <v>0</v>
      </c>
      <c r="Z68" s="68">
        <f>'Baseline Emissions'!Z68*ramps!AA82</f>
        <v>0</v>
      </c>
      <c r="AA68" s="68">
        <f>'Baseline Emissions'!AA68*ramps!AB82</f>
        <v>0</v>
      </c>
      <c r="AB68" s="68">
        <f>'Baseline Emissions'!AB68*ramps!AC82</f>
        <v>0</v>
      </c>
      <c r="AC68" s="68">
        <f>'Baseline Emissions'!AC68*ramps!AD82</f>
        <v>0</v>
      </c>
      <c r="AD68" s="68">
        <f>'Baseline Emissions'!AD68*ramps!AE82</f>
        <v>0</v>
      </c>
      <c r="AE68" s="68">
        <f>'Baseline Emissions'!AE68*ramps!AF82</f>
        <v>0</v>
      </c>
      <c r="AF68" s="68">
        <f>'Baseline Emissions'!AF68*ramps!AG82</f>
        <v>0</v>
      </c>
      <c r="AG68" s="68">
        <f>'Baseline Emissions'!AG68*ramps!AH82</f>
        <v>0</v>
      </c>
      <c r="AH68" s="68">
        <f>'Baseline Emissions'!AH68*ramps!AI82</f>
        <v>0</v>
      </c>
      <c r="AI68" s="68">
        <f>'Baseline Emissions'!AI68*ramps!AJ82</f>
        <v>0</v>
      </c>
      <c r="AJ68" s="68">
        <f>'Baseline Emissions'!AJ68*ramps!AK82</f>
        <v>0</v>
      </c>
      <c r="AK68" s="68">
        <f>'Baseline Emissions'!AK68*ramps!AL82</f>
        <v>0</v>
      </c>
    </row>
    <row r="69" spans="1:38" s="6" customFormat="1">
      <c r="A69" s="77" t="s">
        <v>495</v>
      </c>
      <c r="B69" s="76"/>
      <c r="C69" s="76"/>
      <c r="D69" s="76"/>
      <c r="E69" s="76"/>
      <c r="F69" s="76"/>
      <c r="G69" s="76"/>
      <c r="H69" s="76"/>
      <c r="I69" s="68"/>
      <c r="J69" s="68"/>
      <c r="K69" s="68"/>
      <c r="L69" s="68"/>
      <c r="M69" s="68"/>
      <c r="N69" s="68">
        <f>'Baseline Emissions'!N69*ramps!O83</f>
        <v>0.1064536349387339</v>
      </c>
      <c r="O69" s="68">
        <f>'Baseline Emissions'!O69*ramps!P83</f>
        <v>0.10772043319450482</v>
      </c>
      <c r="P69" s="68">
        <f>'Baseline Emissions'!P69*ramps!Q83</f>
        <v>0.10893767408960274</v>
      </c>
      <c r="Q69" s="68">
        <f>'Baseline Emissions'!Q69*ramps!R83</f>
        <v>0.11011420096977045</v>
      </c>
      <c r="R69" s="68">
        <f>'Baseline Emissions'!R69*ramps!S83</f>
        <v>0.11125938865985606</v>
      </c>
      <c r="S69" s="68">
        <f>'Baseline Emissions'!S69*ramps!T83</f>
        <v>0.11241648630191854</v>
      </c>
      <c r="T69" s="68">
        <f>'Baseline Emissions'!T69*ramps!U83</f>
        <v>0.11357437611082831</v>
      </c>
      <c r="U69" s="68">
        <f>'Baseline Emissions'!U69*ramps!V83</f>
        <v>0.11473283474715874</v>
      </c>
      <c r="V69" s="68">
        <f>'Baseline Emissions'!V69*ramps!W83</f>
        <v>0.11588016309463034</v>
      </c>
      <c r="W69" s="68">
        <f>'Baseline Emissions'!W69*ramps!X83</f>
        <v>0.11701578869295776</v>
      </c>
      <c r="X69" s="68">
        <f>'Baseline Emissions'!X69*ramps!Y83</f>
        <v>0.11815084184327942</v>
      </c>
      <c r="Y69" s="68">
        <f>'Baseline Emissions'!Y69*ramps!Z83</f>
        <v>0.11927327484079059</v>
      </c>
      <c r="Z69" s="68">
        <f>'Baseline Emissions'!Z69*ramps!AA83</f>
        <v>0.12038251629680995</v>
      </c>
      <c r="AA69" s="68">
        <f>'Baseline Emissions'!AA69*ramps!AB83</f>
        <v>0.1214900354467406</v>
      </c>
      <c r="AB69" s="68">
        <f>'Baseline Emissions'!AB69*ramps!AC83</f>
        <v>0.12257129676221659</v>
      </c>
      <c r="AC69" s="68">
        <f>'Baseline Emissions'!AC69*ramps!AD83</f>
        <v>0.12363766704404788</v>
      </c>
      <c r="AD69" s="68">
        <f>'Baseline Emissions'!AD69*ramps!AE83</f>
        <v>0.12468858721392227</v>
      </c>
      <c r="AE69" s="68">
        <f>'Baseline Emissions'!AE69*ramps!AF83</f>
        <v>0.12572350248779782</v>
      </c>
      <c r="AF69" s="68">
        <f>'Baseline Emissions'!AF69*ramps!AG83</f>
        <v>0.126741862857949</v>
      </c>
      <c r="AG69" s="68">
        <f>'Baseline Emissions'!AG69*ramps!AH83</f>
        <v>0.1277431235745268</v>
      </c>
      <c r="AH69" s="68">
        <f>'Baseline Emissions'!AH69*ramps!AI83</f>
        <v>0.12872674562605066</v>
      </c>
      <c r="AI69" s="68">
        <f>'Baseline Emissions'!AI69*ramps!AJ83</f>
        <v>0.12970506889280869</v>
      </c>
      <c r="AJ69" s="68">
        <f>'Baseline Emissions'!AJ69*ramps!AK83</f>
        <v>0.13067785690950476</v>
      </c>
      <c r="AK69" s="68">
        <f>'Baseline Emissions'!AK69*ramps!AL83</f>
        <v>0.13163180526494414</v>
      </c>
    </row>
    <row r="70" spans="1:38" s="6" customFormat="1">
      <c r="A70" s="77" t="s">
        <v>496</v>
      </c>
      <c r="B70" s="76"/>
      <c r="C70" s="76"/>
      <c r="D70" s="76"/>
      <c r="E70" s="76"/>
      <c r="F70" s="76"/>
      <c r="G70" s="76"/>
      <c r="H70" s="76"/>
      <c r="I70" s="68"/>
      <c r="J70" s="68"/>
      <c r="K70" s="68"/>
      <c r="L70" s="68"/>
      <c r="M70" s="68"/>
      <c r="N70" s="68">
        <f>'Baseline Emissions'!N70*ramps!O84</f>
        <v>2.5123057845541199</v>
      </c>
      <c r="O70" s="68">
        <f>'Baseline Emissions'!O70*ramps!P84</f>
        <v>2.5422022233903134</v>
      </c>
      <c r="P70" s="68">
        <f>'Baseline Emissions'!P70*ramps!Q84</f>
        <v>2.5709291085146244</v>
      </c>
      <c r="Q70" s="68">
        <f>'Baseline Emissions'!Q70*ramps!R84</f>
        <v>2.5986951428865823</v>
      </c>
      <c r="R70" s="68">
        <f>'Baseline Emissions'!R70*ramps!S84</f>
        <v>2.6257215723726026</v>
      </c>
      <c r="S70" s="68">
        <f>'Baseline Emissions'!S70*ramps!T84</f>
        <v>2.6530290767252773</v>
      </c>
      <c r="T70" s="68">
        <f>'Baseline Emissions'!T70*ramps!U84</f>
        <v>2.6803552762155478</v>
      </c>
      <c r="U70" s="68">
        <f>'Baseline Emissions'!U70*ramps!V84</f>
        <v>2.707694900032946</v>
      </c>
      <c r="V70" s="68">
        <f>'Baseline Emissions'!V70*ramps!W84</f>
        <v>2.734771849033276</v>
      </c>
      <c r="W70" s="68">
        <f>'Baseline Emissions'!W70*ramps!X84</f>
        <v>2.7615726131538025</v>
      </c>
      <c r="X70" s="68">
        <f>'Baseline Emissions'!X70*ramps!Y84</f>
        <v>2.7883598675013941</v>
      </c>
      <c r="Y70" s="68">
        <f>'Baseline Emissions'!Y70*ramps!Z84</f>
        <v>2.8148492862426573</v>
      </c>
      <c r="Z70" s="68">
        <f>'Baseline Emissions'!Z70*ramps!AA84</f>
        <v>2.8410273846047143</v>
      </c>
      <c r="AA70" s="68">
        <f>'Baseline Emissions'!AA70*ramps!AB84</f>
        <v>2.8671648365430777</v>
      </c>
      <c r="AB70" s="68">
        <f>'Baseline Emissions'!AB70*ramps!AC84</f>
        <v>2.8926826035883111</v>
      </c>
      <c r="AC70" s="68">
        <f>'Baseline Emissions'!AC70*ramps!AD84</f>
        <v>2.9178489422395297</v>
      </c>
      <c r="AD70" s="68">
        <f>'Baseline Emissions'!AD70*ramps!AE84</f>
        <v>2.9426506582485654</v>
      </c>
      <c r="AE70" s="68">
        <f>'Baseline Emissions'!AE70*ramps!AF84</f>
        <v>2.9670746587120282</v>
      </c>
      <c r="AF70" s="68">
        <f>'Baseline Emissions'!AF70*ramps!AG84</f>
        <v>2.9911079634475963</v>
      </c>
      <c r="AG70" s="68">
        <f>'Baseline Emissions'!AG70*ramps!AH84</f>
        <v>3.014737716358832</v>
      </c>
      <c r="AH70" s="68">
        <f>'Baseline Emissions'!AH70*ramps!AI84</f>
        <v>3.0379511967747956</v>
      </c>
      <c r="AI70" s="68">
        <f>'Baseline Emissions'!AI70*ramps!AJ84</f>
        <v>3.0610396258702846</v>
      </c>
      <c r="AJ70" s="68">
        <f>'Baseline Emissions'!AJ70*ramps!AK84</f>
        <v>3.0839974230643121</v>
      </c>
      <c r="AK70" s="68">
        <f>'Baseline Emissions'!AK70*ramps!AL84</f>
        <v>3.1065106042526813</v>
      </c>
    </row>
    <row r="71" spans="1:38" s="6" customFormat="1">
      <c r="A71" s="77" t="s">
        <v>497</v>
      </c>
      <c r="B71" s="76"/>
      <c r="C71" s="76"/>
      <c r="D71" s="76"/>
      <c r="E71" s="76"/>
      <c r="F71" s="76"/>
      <c r="G71" s="76"/>
      <c r="H71" s="76"/>
      <c r="I71" s="68"/>
      <c r="J71" s="68"/>
      <c r="K71" s="68"/>
      <c r="L71" s="68"/>
      <c r="M71" s="68"/>
      <c r="N71" s="68">
        <f>'Baseline Emissions'!N71*ramps!O85</f>
        <v>0.1064536349387339</v>
      </c>
      <c r="O71" s="68">
        <f>'Baseline Emissions'!O71*ramps!P85</f>
        <v>0.10772043319450482</v>
      </c>
      <c r="P71" s="68">
        <f>'Baseline Emissions'!P71*ramps!Q85</f>
        <v>0.10893767408960274</v>
      </c>
      <c r="Q71" s="68">
        <f>'Baseline Emissions'!Q71*ramps!R85</f>
        <v>0.11011420096977045</v>
      </c>
      <c r="R71" s="68">
        <f>'Baseline Emissions'!R71*ramps!S85</f>
        <v>0.11125938865985606</v>
      </c>
      <c r="S71" s="68">
        <f>'Baseline Emissions'!S71*ramps!T85</f>
        <v>0.11241648630191854</v>
      </c>
      <c r="T71" s="68">
        <f>'Baseline Emissions'!T71*ramps!U85</f>
        <v>0.11357437611082831</v>
      </c>
      <c r="U71" s="68">
        <f>'Baseline Emissions'!U71*ramps!V85</f>
        <v>0.11473283474715874</v>
      </c>
      <c r="V71" s="68">
        <f>'Baseline Emissions'!V71*ramps!W85</f>
        <v>0.11588016309463034</v>
      </c>
      <c r="W71" s="68">
        <f>'Baseline Emissions'!W71*ramps!X85</f>
        <v>0.11701578869295776</v>
      </c>
      <c r="X71" s="68">
        <f>'Baseline Emissions'!X71*ramps!Y85</f>
        <v>0.11815084184327942</v>
      </c>
      <c r="Y71" s="68">
        <f>'Baseline Emissions'!Y71*ramps!Z85</f>
        <v>0.11927327484079059</v>
      </c>
      <c r="Z71" s="68">
        <f>'Baseline Emissions'!Z71*ramps!AA85</f>
        <v>0.12038251629680995</v>
      </c>
      <c r="AA71" s="68">
        <f>'Baseline Emissions'!AA71*ramps!AB85</f>
        <v>0.1214900354467406</v>
      </c>
      <c r="AB71" s="68">
        <f>'Baseline Emissions'!AB71*ramps!AC85</f>
        <v>0.12257129676221659</v>
      </c>
      <c r="AC71" s="68">
        <f>'Baseline Emissions'!AC71*ramps!AD85</f>
        <v>0.12363766704404788</v>
      </c>
      <c r="AD71" s="68">
        <f>'Baseline Emissions'!AD71*ramps!AE85</f>
        <v>0.12468858721392227</v>
      </c>
      <c r="AE71" s="68">
        <f>'Baseline Emissions'!AE71*ramps!AF85</f>
        <v>0.12572350248779782</v>
      </c>
      <c r="AF71" s="68">
        <f>'Baseline Emissions'!AF71*ramps!AG85</f>
        <v>0.126741862857949</v>
      </c>
      <c r="AG71" s="68">
        <f>'Baseline Emissions'!AG71*ramps!AH85</f>
        <v>0.1277431235745268</v>
      </c>
      <c r="AH71" s="68">
        <f>'Baseline Emissions'!AH71*ramps!AI85</f>
        <v>0.12872674562605066</v>
      </c>
      <c r="AI71" s="68">
        <f>'Baseline Emissions'!AI71*ramps!AJ85</f>
        <v>0.12970506889280869</v>
      </c>
      <c r="AJ71" s="68">
        <f>'Baseline Emissions'!AJ71*ramps!AK85</f>
        <v>0.13067785690950476</v>
      </c>
      <c r="AK71" s="68">
        <f>'Baseline Emissions'!AK71*ramps!AL85</f>
        <v>0.13163180526494414</v>
      </c>
    </row>
    <row r="72" spans="1:38" s="6" customFormat="1">
      <c r="A72" s="77" t="s">
        <v>498</v>
      </c>
      <c r="B72" s="57"/>
      <c r="C72" s="57"/>
      <c r="D72" s="57"/>
      <c r="E72" s="57"/>
      <c r="F72" s="57"/>
      <c r="G72" s="57"/>
      <c r="H72" s="57"/>
      <c r="I72" s="68"/>
      <c r="J72" s="68"/>
      <c r="K72" s="68"/>
      <c r="L72" s="68"/>
      <c r="M72" s="68"/>
      <c r="N72" s="68">
        <f>'Baseline Emissions'!N72*ramps!O86</f>
        <v>0.29807017782845491</v>
      </c>
      <c r="O72" s="68">
        <f>'Baseline Emissions'!O72*ramps!P86</f>
        <v>0.30161721294461347</v>
      </c>
      <c r="P72" s="68">
        <f>'Baseline Emissions'!P72*ramps!Q86</f>
        <v>0.30502548745088764</v>
      </c>
      <c r="Q72" s="68">
        <f>'Baseline Emissions'!Q72*ramps!R86</f>
        <v>0.30831976271535722</v>
      </c>
      <c r="R72" s="68">
        <f>'Baseline Emissions'!R72*ramps!S86</f>
        <v>0.31152628824759693</v>
      </c>
      <c r="S72" s="68">
        <f>'Baseline Emissions'!S72*ramps!T86</f>
        <v>0.31476616164537186</v>
      </c>
      <c r="T72" s="68">
        <f>'Baseline Emissions'!T72*ramps!U86</f>
        <v>0.31800825311031922</v>
      </c>
      <c r="U72" s="68">
        <f>'Baseline Emissions'!U72*ramps!V86</f>
        <v>0.32125193729204443</v>
      </c>
      <c r="V72" s="68">
        <f>'Baseline Emissions'!V72*ramps!W86</f>
        <v>0.32446445666496493</v>
      </c>
      <c r="W72" s="68">
        <f>'Baseline Emissions'!W72*ramps!X86</f>
        <v>0.32764420834028163</v>
      </c>
      <c r="X72" s="68">
        <f>'Baseline Emissions'!X72*ramps!Y86</f>
        <v>0.33082235716118236</v>
      </c>
      <c r="Y72" s="68">
        <f>'Baseline Emissions'!Y72*ramps!Z86</f>
        <v>0.33396516955421357</v>
      </c>
      <c r="Z72" s="68">
        <f>'Baseline Emissions'!Z72*ramps!AA86</f>
        <v>0.33707104563106777</v>
      </c>
      <c r="AA72" s="68">
        <f>'Baseline Emissions'!AA72*ramps!AB86</f>
        <v>0.34017209925087366</v>
      </c>
      <c r="AB72" s="68">
        <f>'Baseline Emissions'!AB72*ramps!AC86</f>
        <v>0.34319963093420641</v>
      </c>
      <c r="AC72" s="68">
        <f>'Baseline Emissions'!AC72*ramps!AD86</f>
        <v>0.34618546772333403</v>
      </c>
      <c r="AD72" s="68">
        <f>'Baseline Emissions'!AD72*ramps!AE86</f>
        <v>0.3491280441989823</v>
      </c>
      <c r="AE72" s="68">
        <f>'Baseline Emissions'!AE72*ramps!AF86</f>
        <v>0.35202580696583385</v>
      </c>
      <c r="AF72" s="68">
        <f>'Baseline Emissions'!AF72*ramps!AG86</f>
        <v>0.35487721600225713</v>
      </c>
      <c r="AG72" s="68">
        <f>'Baseline Emissions'!AG72*ramps!AH86</f>
        <v>0.357680746008675</v>
      </c>
      <c r="AH72" s="68">
        <f>'Baseline Emissions'!AH72*ramps!AI86</f>
        <v>0.3604348877529418</v>
      </c>
      <c r="AI72" s="68">
        <f>'Baseline Emissions'!AI72*ramps!AJ86</f>
        <v>0.3631741928998643</v>
      </c>
      <c r="AJ72" s="68">
        <f>'Baseline Emissions'!AJ72*ramps!AK86</f>
        <v>0.36589799934661327</v>
      </c>
      <c r="AK72" s="68">
        <f>'Baseline Emissions'!AK72*ramps!AL86</f>
        <v>0.36856905474184354</v>
      </c>
    </row>
    <row r="73" spans="1:38">
      <c r="A73" s="156" t="s">
        <v>520</v>
      </c>
      <c r="B73" s="76"/>
      <c r="C73" s="76"/>
      <c r="D73" s="76"/>
      <c r="E73" s="76"/>
      <c r="F73" s="76"/>
      <c r="G73" s="76"/>
      <c r="H73" s="76"/>
      <c r="I73" s="76"/>
      <c r="J73" s="76"/>
      <c r="K73" s="87"/>
      <c r="L73" s="87"/>
      <c r="M73" s="87"/>
      <c r="N73" s="87">
        <f t="shared" ref="N73:AK73" si="7">SUM(N66:N72)</f>
        <v>4.0665288546596345</v>
      </c>
      <c r="O73" s="87">
        <f t="shared" si="7"/>
        <v>4.1149205480300832</v>
      </c>
      <c r="P73" s="87">
        <f t="shared" si="7"/>
        <v>4.1614191502228239</v>
      </c>
      <c r="Q73" s="87">
        <f t="shared" si="7"/>
        <v>4.2063624770452313</v>
      </c>
      <c r="R73" s="87">
        <f t="shared" si="7"/>
        <v>4.2501086468065008</v>
      </c>
      <c r="S73" s="87">
        <f t="shared" si="7"/>
        <v>4.2943097767332876</v>
      </c>
      <c r="T73" s="87">
        <f t="shared" si="7"/>
        <v>4.3385411674336414</v>
      </c>
      <c r="U73" s="87">
        <f t="shared" si="7"/>
        <v>4.3827942873414631</v>
      </c>
      <c r="V73" s="87">
        <f t="shared" si="7"/>
        <v>4.4266222302148792</v>
      </c>
      <c r="W73" s="87">
        <f t="shared" si="7"/>
        <v>4.4700031280709851</v>
      </c>
      <c r="X73" s="87">
        <f t="shared" si="7"/>
        <v>4.5133621584132744</v>
      </c>
      <c r="Y73" s="87">
        <f t="shared" si="7"/>
        <v>4.5562390989181996</v>
      </c>
      <c r="Z73" s="87">
        <f t="shared" si="7"/>
        <v>4.5986121225381389</v>
      </c>
      <c r="AA73" s="87">
        <f t="shared" si="7"/>
        <v>4.6409193540654901</v>
      </c>
      <c r="AB73" s="87">
        <f t="shared" si="7"/>
        <v>4.6822235363166733</v>
      </c>
      <c r="AC73" s="87">
        <f t="shared" si="7"/>
        <v>4.7229588810826284</v>
      </c>
      <c r="AD73" s="87">
        <f t="shared" si="7"/>
        <v>4.7631040315718307</v>
      </c>
      <c r="AE73" s="87">
        <f t="shared" si="7"/>
        <v>4.8026377950338768</v>
      </c>
      <c r="AF73" s="87">
        <f t="shared" si="7"/>
        <v>4.8415391611736514</v>
      </c>
      <c r="AG73" s="87">
        <f t="shared" si="7"/>
        <v>4.8797873205469235</v>
      </c>
      <c r="AH73" s="87">
        <f t="shared" si="7"/>
        <v>4.9173616829151356</v>
      </c>
      <c r="AI73" s="87">
        <f t="shared" si="7"/>
        <v>4.9547336317052908</v>
      </c>
      <c r="AJ73" s="87">
        <f t="shared" si="7"/>
        <v>4.9918941339430809</v>
      </c>
      <c r="AK73" s="87">
        <f t="shared" si="7"/>
        <v>5.0283349611208665</v>
      </c>
    </row>
    <row r="74" spans="1:38" ht="13.5" thickBot="1">
      <c r="A74" s="57"/>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row>
    <row r="75" spans="1:38" s="28" customFormat="1" ht="15.75" thickTop="1">
      <c r="A75" s="50" t="s">
        <v>522</v>
      </c>
      <c r="B75" s="82"/>
      <c r="C75" s="82"/>
      <c r="D75" s="82"/>
      <c r="E75" s="82"/>
      <c r="F75" s="82"/>
      <c r="G75" s="82"/>
      <c r="H75" s="82"/>
      <c r="I75" s="82"/>
      <c r="J75" s="82"/>
      <c r="K75" s="86"/>
      <c r="L75" s="86"/>
      <c r="M75" s="86"/>
      <c r="N75" s="86">
        <f>IF(parameters!$C$25="Yes",N63+N73,N63)</f>
        <v>80.866636140077134</v>
      </c>
      <c r="O75" s="86">
        <f>IF(parameters!$C$25="Yes",O63+O73,O63)</f>
        <v>81.621149486140069</v>
      </c>
      <c r="P75" s="86">
        <f>IF(parameters!$C$25="Yes",P63+P73,P63)</f>
        <v>81.281891537751278</v>
      </c>
      <c r="Q75" s="86">
        <f>IF(parameters!$C$25="Yes",Q63+Q73,Q63)</f>
        <v>79.212042906678619</v>
      </c>
      <c r="R75" s="86">
        <f>IF(parameters!$C$25="Yes",R63+R73,R63)</f>
        <v>78.336645561774588</v>
      </c>
      <c r="S75" s="86">
        <f>IF(parameters!$C$25="Yes",S63+S73,S63)</f>
        <v>77.237482694568172</v>
      </c>
      <c r="T75" s="86">
        <f>IF(parameters!$C$25="Yes",T63+T73,T63)</f>
        <v>75.576748005358269</v>
      </c>
      <c r="U75" s="86">
        <f>IF(parameters!$C$25="Yes",U63+U73,U63)</f>
        <v>74.918263938186229</v>
      </c>
      <c r="V75" s="86">
        <f>IF(parameters!$C$25="Yes",V63+V73,V63)</f>
        <v>74.100114891994991</v>
      </c>
      <c r="W75" s="86">
        <f>IF(parameters!$C$25="Yes",W63+W73,W63)</f>
        <v>72.038880916063476</v>
      </c>
      <c r="X75" s="86">
        <f>IF(parameters!$C$25="Yes",X63+X73,X63)</f>
        <v>71.488891385959022</v>
      </c>
      <c r="Y75" s="86">
        <f>IF(parameters!$C$25="Yes",Y63+Y73,Y63)</f>
        <v>70.98931842502455</v>
      </c>
      <c r="Z75" s="86">
        <f>IF(parameters!$C$25="Yes",Z63+Z73,Z63)</f>
        <v>70.543868274467982</v>
      </c>
      <c r="AA75" s="86">
        <f>IF(parameters!$C$25="Yes",AA63+AA73,AA63)</f>
        <v>73.830168882750996</v>
      </c>
      <c r="AB75" s="86">
        <f>IF(parameters!$C$25="Yes",AB63+AB73,AB63)</f>
        <v>73.974382865246326</v>
      </c>
      <c r="AC75" s="86">
        <f>IF(parameters!$C$25="Yes",AC63+AC73,AC63)</f>
        <v>74.132405597653459</v>
      </c>
      <c r="AD75" s="86">
        <f>IF(parameters!$C$25="Yes",AD63+AD73,AD63)</f>
        <v>74.328415321433667</v>
      </c>
      <c r="AE75" s="86">
        <f>IF(parameters!$C$25="Yes",AE63+AE73,AE63)</f>
        <v>74.591600743189034</v>
      </c>
      <c r="AF75" s="86">
        <f>IF(parameters!$C$25="Yes",AF63+AF73,AF63)</f>
        <v>74.925086570210667</v>
      </c>
      <c r="AG75" s="86">
        <f>IF(parameters!$C$25="Yes",AG63+AG73,AG63)</f>
        <v>75.289550374935857</v>
      </c>
      <c r="AH75" s="86">
        <f>IF(parameters!$C$25="Yes",AH63+AH73,AH63)</f>
        <v>75.593497490026209</v>
      </c>
      <c r="AI75" s="86">
        <f>IF(parameters!$C$25="Yes",AI63+AI73,AI63)</f>
        <v>76.029463832670416</v>
      </c>
      <c r="AJ75" s="86">
        <f>IF(parameters!$C$25="Yes",AJ63+AJ73,AJ63)</f>
        <v>76.448468458436849</v>
      </c>
      <c r="AK75" s="86">
        <f>IF(parameters!$C$25="Yes",AK63+AK73,AK63)</f>
        <v>76.917361919751755</v>
      </c>
    </row>
    <row r="76" spans="1:38" s="57" customFormat="1">
      <c r="A76" s="425" t="s">
        <v>1394</v>
      </c>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row>
    <row r="77" spans="1:38">
      <c r="A77" s="57" t="s">
        <v>1393</v>
      </c>
      <c r="B77" s="66"/>
      <c r="C77" s="66"/>
      <c r="D77" s="66"/>
      <c r="E77" s="66"/>
      <c r="F77" s="66"/>
      <c r="G77" s="66"/>
      <c r="H77" s="66"/>
      <c r="I77" s="66"/>
      <c r="J77" s="66"/>
      <c r="K77" s="66"/>
      <c r="L77" s="66"/>
      <c r="M77" s="66"/>
      <c r="N77" s="66"/>
      <c r="O77" s="66"/>
      <c r="P77" s="66"/>
      <c r="Q77" s="66"/>
      <c r="R77" s="66"/>
      <c r="S77" s="66"/>
      <c r="T77" s="66"/>
      <c r="U77" s="66"/>
      <c r="V77" s="66"/>
      <c r="W77" s="444"/>
      <c r="X77" s="66"/>
      <c r="Y77" s="66"/>
      <c r="Z77" s="66"/>
      <c r="AA77" s="66"/>
      <c r="AB77" s="66"/>
      <c r="AC77" s="66"/>
      <c r="AD77" s="66"/>
      <c r="AE77" s="66"/>
      <c r="AF77" s="66"/>
      <c r="AG77" s="66"/>
      <c r="AH77" s="66"/>
      <c r="AI77" s="66"/>
      <c r="AJ77" s="66"/>
      <c r="AK77" s="66"/>
    </row>
    <row r="78" spans="1:38">
      <c r="A78" s="91" t="s">
        <v>372</v>
      </c>
      <c r="B78" s="66"/>
      <c r="C78" s="66"/>
      <c r="D78" s="66"/>
      <c r="E78" s="66"/>
      <c r="F78" s="66"/>
      <c r="G78" s="66"/>
      <c r="H78" s="66"/>
      <c r="I78" s="66"/>
      <c r="J78" s="66"/>
      <c r="K78" s="492"/>
      <c r="L78" s="492"/>
      <c r="M78" s="332"/>
      <c r="N78" s="332">
        <f>'Adjusted Consumption'!N81*parameters!$C$36</f>
        <v>11.483136082642806</v>
      </c>
      <c r="O78" s="332">
        <f>'Adjusted Consumption'!O81*parameters!$C$36</f>
        <v>11.035949574055769</v>
      </c>
      <c r="P78" s="332">
        <f>'Adjusted Consumption'!P81*parameters!$C$36</f>
        <v>10.523092793741283</v>
      </c>
      <c r="Q78" s="332">
        <f>'Adjusted Consumption'!Q81*parameters!$C$36</f>
        <v>9.8062426181871007</v>
      </c>
      <c r="R78" s="332">
        <f>'Adjusted Consumption'!R81*parameters!$C$36</f>
        <v>7.5635459441536765</v>
      </c>
      <c r="S78" s="332">
        <f>'Adjusted Consumption'!S81*parameters!$C$36</f>
        <v>7.1212267488711207</v>
      </c>
      <c r="T78" s="332">
        <f>'Adjusted Consumption'!T81*parameters!$C$36</f>
        <v>5.6905242470390247</v>
      </c>
      <c r="U78" s="332">
        <f>'Adjusted Consumption'!U81*parameters!$C$36</f>
        <v>5.2627290371870892</v>
      </c>
      <c r="V78" s="332">
        <f>'Adjusted Consumption'!V81*parameters!$C$36</f>
        <v>4.9334791124769142</v>
      </c>
      <c r="W78" s="332">
        <f>'Adjusted Consumption'!W81*parameters!$C$36</f>
        <v>3.0852749208899022</v>
      </c>
      <c r="X78" s="332">
        <f>'Adjusted Consumption'!X81*parameters!$C$36</f>
        <v>2.959073058708261</v>
      </c>
      <c r="Y78" s="332">
        <f>'Adjusted Consumption'!Y81*parameters!$C$36</f>
        <v>2.8480345609393543</v>
      </c>
      <c r="Z78" s="332">
        <f>'Adjusted Consumption'!Z81*parameters!$C$36</f>
        <v>2.7613729821379525</v>
      </c>
      <c r="AA78" s="332">
        <f>'Adjusted Consumption'!AA81*parameters!$C$36</f>
        <v>3.8889725549602638</v>
      </c>
      <c r="AB78" s="332">
        <f>'Adjusted Consumption'!AB81*parameters!$C$36</f>
        <v>3.9469579630489573</v>
      </c>
      <c r="AC78" s="332">
        <f>'Adjusted Consumption'!AC81*parameters!$C$36</f>
        <v>4.0376393613756276</v>
      </c>
      <c r="AD78" s="332">
        <f>'Adjusted Consumption'!AD81*parameters!$C$36</f>
        <v>4.1327792931723355</v>
      </c>
      <c r="AE78" s="332">
        <f>'Adjusted Consumption'!AE81*parameters!$C$36</f>
        <v>4.2325506653275351</v>
      </c>
      <c r="AF78" s="332">
        <f>'Adjusted Consumption'!AF81*parameters!$C$36</f>
        <v>4.3380636823656786</v>
      </c>
      <c r="AG78" s="332">
        <f>'Adjusted Consumption'!AG81*parameters!$C$36</f>
        <v>4.4308864654011186</v>
      </c>
      <c r="AH78" s="332">
        <f>'Adjusted Consumption'!AH81*parameters!$C$36</f>
        <v>4.528642305455433</v>
      </c>
      <c r="AI78" s="332">
        <f>'Adjusted Consumption'!AI81*parameters!$C$36</f>
        <v>4.6264657615695874</v>
      </c>
      <c r="AJ78" s="332">
        <f>'Adjusted Consumption'!AJ81*parameters!$C$36</f>
        <v>4.7243483740164276</v>
      </c>
      <c r="AK78" s="332">
        <f>'Adjusted Consumption'!AK81*parameters!$C$36</f>
        <v>4.8222139449197865</v>
      </c>
    </row>
    <row r="79" spans="1:38">
      <c r="A79" s="91" t="s">
        <v>422</v>
      </c>
      <c r="B79" s="66"/>
      <c r="C79" s="66"/>
      <c r="D79" s="66"/>
      <c r="E79" s="66"/>
      <c r="F79" s="66"/>
      <c r="G79" s="66"/>
      <c r="H79" s="66"/>
      <c r="I79" s="66"/>
      <c r="J79" s="66"/>
      <c r="K79" s="444"/>
      <c r="L79" s="332"/>
      <c r="M79" s="332"/>
      <c r="N79" s="332">
        <f>'Adjusted Consumption'!N82*parameters!$C$34</f>
        <v>3.8026443253497866</v>
      </c>
      <c r="O79" s="332">
        <f>'Adjusted Consumption'!O82*parameters!$C$34</f>
        <v>3.8222663336160401</v>
      </c>
      <c r="P79" s="332">
        <f>'Adjusted Consumption'!P82*parameters!$C$34</f>
        <v>3.8113144804938361</v>
      </c>
      <c r="Q79" s="332">
        <f>'Adjusted Consumption'!Q82*parameters!$C$34</f>
        <v>3.8144173462153308</v>
      </c>
      <c r="R79" s="332">
        <f>'Adjusted Consumption'!R82*parameters!$C$34</f>
        <v>4.3930950118960359</v>
      </c>
      <c r="S79" s="332">
        <f>'Adjusted Consumption'!S82*parameters!$C$34</f>
        <v>4.5107692172296012</v>
      </c>
      <c r="T79" s="332">
        <f>'Adjusted Consumption'!T82*parameters!$C$34</f>
        <v>4.8769758523582647</v>
      </c>
      <c r="U79" s="332">
        <f>'Adjusted Consumption'!U82*parameters!$C$34</f>
        <v>4.983098173207746</v>
      </c>
      <c r="V79" s="332">
        <f>'Adjusted Consumption'!V82*parameters!$C$34</f>
        <v>5.0554688275361697</v>
      </c>
      <c r="W79" s="332">
        <f>'Adjusted Consumption'!W82*parameters!$C$34</f>
        <v>5.5167419315890447</v>
      </c>
      <c r="X79" s="332">
        <f>'Adjusted Consumption'!X82*parameters!$C$34</f>
        <v>5.4501135419058562</v>
      </c>
      <c r="Y79" s="332">
        <f>'Adjusted Consumption'!Y82*parameters!$C$34</f>
        <v>5.3878809920582178</v>
      </c>
      <c r="Z79" s="332">
        <f>'Adjusted Consumption'!Z82*parameters!$C$34</f>
        <v>5.3497041013854805</v>
      </c>
      <c r="AA79" s="332">
        <f>'Adjusted Consumption'!AA82*parameters!$C$34</f>
        <v>5.5028233461426961</v>
      </c>
      <c r="AB79" s="332">
        <f>'Adjusted Consumption'!AB82*parameters!$C$34</f>
        <v>5.5206966647085736</v>
      </c>
      <c r="AC79" s="332">
        <f>'Adjusted Consumption'!AC82*parameters!$C$34</f>
        <v>5.5549749643111435</v>
      </c>
      <c r="AD79" s="332">
        <f>'Adjusted Consumption'!AD82*parameters!$C$34</f>
        <v>5.5914107428322479</v>
      </c>
      <c r="AE79" s="332">
        <f>'Adjusted Consumption'!AE82*parameters!$C$34</f>
        <v>5.6299097680122063</v>
      </c>
      <c r="AF79" s="332">
        <f>'Adjusted Consumption'!AF82*parameters!$C$34</f>
        <v>5.671062428216965</v>
      </c>
      <c r="AG79" s="332">
        <f>'Adjusted Consumption'!AG82*parameters!$C$34</f>
        <v>5.7057175685745323</v>
      </c>
      <c r="AH79" s="332">
        <f>'Adjusted Consumption'!AH82*parameters!$C$34</f>
        <v>5.7426856584361863</v>
      </c>
      <c r="AI79" s="332">
        <f>'Adjusted Consumption'!AI82*parameters!$C$34</f>
        <v>5.779483053068124</v>
      </c>
      <c r="AJ79" s="332">
        <f>'Adjusted Consumption'!AJ82*parameters!$C$34</f>
        <v>5.8161102873789021</v>
      </c>
      <c r="AK79" s="332">
        <f>'Adjusted Consumption'!AK82*parameters!$C$34</f>
        <v>5.8525678948202273</v>
      </c>
    </row>
    <row r="80" spans="1:38">
      <c r="A80" s="91" t="s">
        <v>423</v>
      </c>
      <c r="B80" s="66"/>
      <c r="C80" s="66"/>
      <c r="D80" s="66"/>
      <c r="E80" s="66"/>
      <c r="F80" s="66"/>
      <c r="G80" s="66"/>
      <c r="H80" s="66"/>
      <c r="I80" s="66"/>
      <c r="J80" s="66"/>
      <c r="K80" s="332"/>
      <c r="L80" s="332"/>
      <c r="M80" s="332"/>
      <c r="N80" s="332">
        <f>'Adjusted Consumption'!N83*parameters!$C$34</f>
        <v>0.44453719343516551</v>
      </c>
      <c r="O80" s="444">
        <f>'Adjusted Consumption'!O83*parameters!$C$34</f>
        <v>0.44449628038507655</v>
      </c>
      <c r="P80" s="444">
        <f>'Adjusted Consumption'!P83*parameters!$C$34</f>
        <v>0.44091880028555247</v>
      </c>
      <c r="Q80" s="444">
        <f>'Adjusted Consumption'!Q83*parameters!$C$34</f>
        <v>0.43486882090257839</v>
      </c>
      <c r="R80" s="444">
        <f>'Adjusted Consumption'!R83*parameters!$C$34</f>
        <v>0.42875921043360449</v>
      </c>
      <c r="S80" s="444">
        <f>'Adjusted Consumption'!S83*parameters!$C$34</f>
        <v>0.42229306885941914</v>
      </c>
      <c r="T80" s="444">
        <f>'Adjusted Consumption'!T83*parameters!$C$34</f>
        <v>0.41586584472108751</v>
      </c>
      <c r="U80" s="444">
        <f>'Adjusted Consumption'!U83*parameters!$C$34</f>
        <v>0.40928540680853348</v>
      </c>
      <c r="V80" s="444">
        <f>'Adjusted Consumption'!V83*parameters!$C$34</f>
        <v>0.40331391624654961</v>
      </c>
      <c r="W80" s="444">
        <f>'Adjusted Consumption'!W83*parameters!$C$34</f>
        <v>0.39755597897489392</v>
      </c>
      <c r="X80" s="444">
        <f>'Adjusted Consumption'!X83*parameters!$C$34</f>
        <v>0.39190898283229991</v>
      </c>
      <c r="Y80" s="444">
        <f>'Adjusted Consumption'!Y83*parameters!$C$34</f>
        <v>0.3868248154247565</v>
      </c>
      <c r="Z80" s="444">
        <f>'Adjusted Consumption'!Z83*parameters!$C$34</f>
        <v>0.38373386798504627</v>
      </c>
      <c r="AA80" s="444">
        <f>'Adjusted Consumption'!AA83*parameters!$C$34</f>
        <v>0.40876078300578245</v>
      </c>
      <c r="AB80" s="444">
        <f>'Adjusted Consumption'!AB83*parameters!$C$34</f>
        <v>0.41066122623804419</v>
      </c>
      <c r="AC80" s="444">
        <f>'Adjusted Consumption'!AC83*parameters!$C$34</f>
        <v>0.41410519961443709</v>
      </c>
      <c r="AD80" s="444">
        <f>'Adjusted Consumption'!AD83*parameters!$C$34</f>
        <v>0.41775178999423157</v>
      </c>
      <c r="AE80" s="444">
        <f>'Adjusted Consumption'!AE83*parameters!$C$34</f>
        <v>0.42159212951122538</v>
      </c>
      <c r="AF80" s="444">
        <f>'Adjusted Consumption'!AF83*parameters!$C$34</f>
        <v>0.42568178386508909</v>
      </c>
      <c r="AG80" s="444">
        <f>'Adjusted Consumption'!AG83*parameters!$C$34</f>
        <v>0.42915948633386286</v>
      </c>
      <c r="AH80" s="444">
        <f>'Adjusted Consumption'!AH83*parameters!$C$34</f>
        <v>0.43285444150825841</v>
      </c>
      <c r="AI80" s="444">
        <f>'Adjusted Consumption'!AI83*parameters!$C$34</f>
        <v>0.43653290022401159</v>
      </c>
      <c r="AJ80" s="444">
        <f>'Adjusted Consumption'!AJ83*parameters!$C$34</f>
        <v>0.44019491368713559</v>
      </c>
      <c r="AK80" s="444">
        <f>'Adjusted Consumption'!AK83*parameters!$C$34</f>
        <v>0.44384053296480647</v>
      </c>
      <c r="AL80" t="s">
        <v>1388</v>
      </c>
    </row>
    <row r="81" spans="1:37">
      <c r="A81" s="91" t="s">
        <v>424</v>
      </c>
      <c r="B81" s="66"/>
      <c r="C81" s="66"/>
      <c r="D81" s="66"/>
      <c r="E81" s="66"/>
      <c r="F81" s="66"/>
      <c r="G81" s="66"/>
      <c r="H81" s="66"/>
      <c r="I81" s="66"/>
      <c r="J81" s="66"/>
      <c r="K81" s="332"/>
      <c r="L81" s="332"/>
      <c r="M81" s="332"/>
      <c r="N81" s="332">
        <f>'Adjusted Consumption'!N84*parameters!$C$37</f>
        <v>3.761262540442184E-2</v>
      </c>
      <c r="O81" s="332">
        <f>'Adjusted Consumption'!O84*parameters!$C$37</f>
        <v>3.4811962213959817E-2</v>
      </c>
      <c r="P81" s="332">
        <f>'Adjusted Consumption'!P84*parameters!$C$37</f>
        <v>3.1995518626346857E-2</v>
      </c>
      <c r="Q81" s="332">
        <f>'Adjusted Consumption'!Q84*parameters!$C$37</f>
        <v>2.8833352760948443E-2</v>
      </c>
      <c r="R81" s="332">
        <f>'Adjusted Consumption'!R84*parameters!$C$37</f>
        <v>2.5852573420086761E-2</v>
      </c>
      <c r="S81" s="332">
        <f>'Adjusted Consumption'!S84*parameters!$C$37</f>
        <v>2.2930549397424914E-2</v>
      </c>
      <c r="T81" s="332">
        <f>'Adjusted Consumption'!T84*parameters!$C$37</f>
        <v>2.0081725393379206E-2</v>
      </c>
      <c r="U81" s="332">
        <f>'Adjusted Consumption'!U84*parameters!$C$37</f>
        <v>1.731759184984677E-2</v>
      </c>
      <c r="V81" s="332">
        <f>'Adjusted Consumption'!V84*parameters!$C$37</f>
        <v>1.4638099467243013E-2</v>
      </c>
      <c r="W81" s="332">
        <f>'Adjusted Consumption'!W84*parameters!$C$37</f>
        <v>1.207620165062559E-2</v>
      </c>
      <c r="X81" s="332">
        <f>'Adjusted Consumption'!X84*parameters!$C$37</f>
        <v>1.1867698617226915E-2</v>
      </c>
      <c r="Y81" s="332">
        <f>'Adjusted Consumption'!Y84*parameters!$C$37</f>
        <v>1.1683190499157284E-2</v>
      </c>
      <c r="Z81" s="332">
        <f>'Adjusted Consumption'!Z84*parameters!$C$37</f>
        <v>1.1555270366796025E-2</v>
      </c>
      <c r="AA81" s="332">
        <f>'Adjusted Consumption'!AA84*parameters!$C$37</f>
        <v>1.2409082840121986E-2</v>
      </c>
      <c r="AB81" s="332">
        <f>'Adjusted Consumption'!AB84*parameters!$C$37</f>
        <v>1.2446257887081532E-2</v>
      </c>
      <c r="AC81" s="332">
        <f>'Adjusted Consumption'!AC84*parameters!$C$37</f>
        <v>1.2526952917668539E-2</v>
      </c>
      <c r="AD81" s="332">
        <f>'Adjusted Consumption'!AD84*parameters!$C$37</f>
        <v>1.2614655134520293E-2</v>
      </c>
      <c r="AE81" s="332">
        <f>'Adjusted Consumption'!AE84*parameters!$C$37</f>
        <v>1.2707666873990565E-2</v>
      </c>
      <c r="AF81" s="332">
        <f>'Adjusted Consumption'!AF84*parameters!$C$37</f>
        <v>1.2807475578768003E-2</v>
      </c>
      <c r="AG81" s="332">
        <f>'Adjusted Consumption'!AG84*parameters!$C$37</f>
        <v>1.28883048674248E-2</v>
      </c>
      <c r="AH81" s="332">
        <f>'Adjusted Consumption'!AH84*parameters!$C$37</f>
        <v>1.2974787316746693E-2</v>
      </c>
      <c r="AI81" s="332">
        <f>'Adjusted Consumption'!AI84*parameters!$C$37</f>
        <v>1.3060763549111445E-2</v>
      </c>
      <c r="AJ81" s="332">
        <f>'Adjusted Consumption'!AJ84*parameters!$C$37</f>
        <v>1.3145388370184434E-2</v>
      </c>
      <c r="AK81" s="332">
        <f>'Adjusted Consumption'!AK84*parameters!$C$37</f>
        <v>1.3228946628675761E-2</v>
      </c>
    </row>
    <row r="82" spans="1:37">
      <c r="A82" s="57" t="s">
        <v>42</v>
      </c>
      <c r="B82" s="66"/>
      <c r="C82" s="66"/>
      <c r="D82" s="66"/>
      <c r="E82" s="66"/>
      <c r="F82" s="66"/>
      <c r="G82" s="66"/>
      <c r="H82" s="66"/>
      <c r="I82" s="66"/>
      <c r="J82" s="66"/>
      <c r="K82" s="87"/>
      <c r="L82" s="87"/>
      <c r="M82" s="87"/>
      <c r="N82" s="87">
        <f t="shared" ref="N82:AK82" si="8">SUM(N78:N81)</f>
        <v>15.767930226832181</v>
      </c>
      <c r="O82" s="87">
        <f t="shared" si="8"/>
        <v>15.337524150270845</v>
      </c>
      <c r="P82" s="87">
        <f t="shared" si="8"/>
        <v>14.807321593147019</v>
      </c>
      <c r="Q82" s="87">
        <f t="shared" si="8"/>
        <v>14.084362138065957</v>
      </c>
      <c r="R82" s="87">
        <f t="shared" si="8"/>
        <v>12.411252739903404</v>
      </c>
      <c r="S82" s="87">
        <f t="shared" si="8"/>
        <v>12.077219584357564</v>
      </c>
      <c r="T82" s="87">
        <f t="shared" si="8"/>
        <v>11.003447669511756</v>
      </c>
      <c r="U82" s="87">
        <f t="shared" si="8"/>
        <v>10.672430209053218</v>
      </c>
      <c r="V82" s="87">
        <f t="shared" si="8"/>
        <v>10.406899955726876</v>
      </c>
      <c r="W82" s="87">
        <f t="shared" si="8"/>
        <v>9.011649033104467</v>
      </c>
      <c r="X82" s="87">
        <f t="shared" si="8"/>
        <v>8.8129632820636434</v>
      </c>
      <c r="Y82" s="87">
        <f t="shared" si="8"/>
        <v>8.6344235589214851</v>
      </c>
      <c r="Z82" s="87">
        <f t="shared" si="8"/>
        <v>8.5063662218752754</v>
      </c>
      <c r="AA82" s="87">
        <f t="shared" si="8"/>
        <v>9.8129657669488637</v>
      </c>
      <c r="AB82" s="87">
        <f t="shared" si="8"/>
        <v>9.8907621118826565</v>
      </c>
      <c r="AC82" s="87">
        <f t="shared" si="8"/>
        <v>10.019246478218875</v>
      </c>
      <c r="AD82" s="87">
        <f t="shared" si="8"/>
        <v>10.154556481133334</v>
      </c>
      <c r="AE82" s="87">
        <f t="shared" si="8"/>
        <v>10.296760229724958</v>
      </c>
      <c r="AF82" s="87">
        <f t="shared" si="8"/>
        <v>10.447615370026501</v>
      </c>
      <c r="AG82" s="87">
        <f t="shared" si="8"/>
        <v>10.578651825176937</v>
      </c>
      <c r="AH82" s="87">
        <f t="shared" si="8"/>
        <v>10.717157192716623</v>
      </c>
      <c r="AI82" s="87">
        <f t="shared" si="8"/>
        <v>10.855542478410834</v>
      </c>
      <c r="AJ82" s="87">
        <f t="shared" si="8"/>
        <v>10.993798963452649</v>
      </c>
      <c r="AK82" s="87">
        <f t="shared" si="8"/>
        <v>11.131851319333496</v>
      </c>
    </row>
    <row r="83" spans="1:37">
      <c r="W83" s="50"/>
    </row>
    <row r="84" spans="1:37">
      <c r="A84" s="134" t="s">
        <v>1306</v>
      </c>
      <c r="W84" s="742"/>
    </row>
    <row r="85" spans="1:37">
      <c r="A85" s="91" t="str">
        <f>A78</f>
        <v xml:space="preserve">Coal </v>
      </c>
      <c r="K85" t="s">
        <v>1340</v>
      </c>
      <c r="N85" s="50">
        <f>'Baseline Emissions'!N78-N78</f>
        <v>0</v>
      </c>
      <c r="O85" s="50">
        <f>'Baseline Emissions'!O78-O78</f>
        <v>0</v>
      </c>
      <c r="P85" s="50">
        <f>'Baseline Emissions'!P78-P78</f>
        <v>0</v>
      </c>
      <c r="Q85" s="50">
        <f>'Baseline Emissions'!Q78-Q78</f>
        <v>0.18389834007485462</v>
      </c>
      <c r="R85" s="50">
        <f>'Baseline Emissions'!R78-R78</f>
        <v>0.34919784134418386</v>
      </c>
      <c r="S85" s="50">
        <f>'Baseline Emissions'!S78-S78</f>
        <v>0.55333812266614935</v>
      </c>
      <c r="T85" s="50">
        <f>'Baseline Emissions'!T78-T78</f>
        <v>0.69797203047779721</v>
      </c>
      <c r="U85" s="50">
        <f>'Baseline Emissions'!U78-U78</f>
        <v>0.8939145141269762</v>
      </c>
      <c r="V85" s="50">
        <f>'Baseline Emissions'!V78-V78</f>
        <v>1.0001239234696166</v>
      </c>
      <c r="W85" s="50">
        <f>'Baseline Emissions'!W78-W78</f>
        <v>0.80025542991697796</v>
      </c>
      <c r="X85" s="50">
        <f>'Baseline Emissions'!X78-X78</f>
        <v>0.87991692221064133</v>
      </c>
      <c r="Y85" s="50">
        <f>'Baseline Emissions'!Y78-Y78</f>
        <v>0.95964183049095375</v>
      </c>
      <c r="Z85" s="50">
        <f>'Baseline Emissions'!Z78-Z78</f>
        <v>1.060138668267927</v>
      </c>
      <c r="AA85" s="50">
        <f>'Baseline Emissions'!AA78-AA78</f>
        <v>0</v>
      </c>
      <c r="AB85" s="50">
        <f>'Baseline Emissions'!AB78-AB78</f>
        <v>0</v>
      </c>
      <c r="AC85" s="50">
        <f>'Baseline Emissions'!AC78-AC78</f>
        <v>0</v>
      </c>
      <c r="AD85" s="50">
        <f>'Baseline Emissions'!AD78-AD78</f>
        <v>0</v>
      </c>
      <c r="AE85" s="50">
        <f>'Baseline Emissions'!AE78-AE78</f>
        <v>0</v>
      </c>
      <c r="AF85" s="50">
        <f>'Baseline Emissions'!AF78-AF78</f>
        <v>0</v>
      </c>
      <c r="AG85" s="50">
        <f>'Baseline Emissions'!AG78-AG78</f>
        <v>0</v>
      </c>
      <c r="AH85" s="50">
        <f>'Baseline Emissions'!AH78-AH78</f>
        <v>0</v>
      </c>
      <c r="AI85" s="50">
        <f>'Baseline Emissions'!AI78-AI78</f>
        <v>0</v>
      </c>
      <c r="AJ85" s="50">
        <f>'Baseline Emissions'!AJ78-AJ78</f>
        <v>0</v>
      </c>
      <c r="AK85" s="50">
        <f>'Baseline Emissions'!AK78-AK78</f>
        <v>0</v>
      </c>
    </row>
    <row r="86" spans="1:37">
      <c r="A86" s="91" t="str">
        <f>A79</f>
        <v xml:space="preserve">Natural Gas </v>
      </c>
      <c r="K86" t="s">
        <v>1307</v>
      </c>
      <c r="N86" s="50">
        <f>'Baseline Emissions'!N79-N79</f>
        <v>0</v>
      </c>
      <c r="O86" s="50">
        <f>'Baseline Emissions'!O79-O79</f>
        <v>0</v>
      </c>
      <c r="P86" s="50">
        <f>'Baseline Emissions'!P79-P79</f>
        <v>0</v>
      </c>
      <c r="Q86" s="50">
        <f>'Baseline Emissions'!Q79-Q79</f>
        <v>-2.1908946410039043E-2</v>
      </c>
      <c r="R86" s="50">
        <f>'Baseline Emissions'!R79-R79</f>
        <v>-3.9170345044037269E-2</v>
      </c>
      <c r="S86" s="50">
        <f>'Baseline Emissions'!S79-S79</f>
        <v>-5.8408008535363543E-2</v>
      </c>
      <c r="T86" s="50">
        <f>'Baseline Emissions'!T79-T79</f>
        <v>-6.6301529333459008E-2</v>
      </c>
      <c r="U86" s="50">
        <f>'Baseline Emissions'!U79-U79</f>
        <v>-7.9538585258880801E-2</v>
      </c>
      <c r="V86" s="50">
        <f>'Baseline Emissions'!V79-V79</f>
        <v>-5.7429387737639281E-2</v>
      </c>
      <c r="W86" s="50">
        <f>'Baseline Emissions'!W79-W79</f>
        <v>2.9592590779479622E-2</v>
      </c>
      <c r="X86" s="50">
        <f>'Baseline Emissions'!X79-X79</f>
        <v>6.0958573903443281E-2</v>
      </c>
      <c r="Y86" s="50">
        <f>'Baseline Emissions'!Y79-Y79</f>
        <v>9.6100788546024773E-2</v>
      </c>
      <c r="Z86" s="50">
        <f>'Baseline Emissions'!Z79-Z79</f>
        <v>0.13020719041736317</v>
      </c>
      <c r="AA86" s="50">
        <f>'Baseline Emissions'!AA79-AA79</f>
        <v>0</v>
      </c>
      <c r="AB86" s="50">
        <f>'Baseline Emissions'!AB79-AB79</f>
        <v>0</v>
      </c>
      <c r="AC86" s="50">
        <f>'Baseline Emissions'!AC79-AC79</f>
        <v>0</v>
      </c>
      <c r="AD86" s="50">
        <f>'Baseline Emissions'!AD79-AD79</f>
        <v>0</v>
      </c>
      <c r="AE86" s="50">
        <f>'Baseline Emissions'!AE79-AE79</f>
        <v>0</v>
      </c>
      <c r="AF86" s="50">
        <f>'Baseline Emissions'!AF79-AF79</f>
        <v>0</v>
      </c>
      <c r="AG86" s="50">
        <f>'Baseline Emissions'!AG79-AG79</f>
        <v>0</v>
      </c>
      <c r="AH86" s="50">
        <f>'Baseline Emissions'!AH79-AH79</f>
        <v>0</v>
      </c>
      <c r="AI86" s="50">
        <f>'Baseline Emissions'!AI79-AI79</f>
        <v>0</v>
      </c>
      <c r="AJ86" s="50">
        <f>'Baseline Emissions'!AJ79-AJ79</f>
        <v>0</v>
      </c>
      <c r="AK86" s="50">
        <f>'Baseline Emissions'!AK79-AK79</f>
        <v>0</v>
      </c>
    </row>
    <row r="87" spans="1:37">
      <c r="A87" s="91" t="str">
        <f>A80</f>
        <v xml:space="preserve">Cogeneration </v>
      </c>
      <c r="N87" s="50">
        <f>'Baseline Emissions'!N80-N80</f>
        <v>0</v>
      </c>
      <c r="O87" s="50">
        <f>'Baseline Emissions'!O80-O80</f>
        <v>0</v>
      </c>
      <c r="P87" s="50">
        <f>'Baseline Emissions'!P80-P80</f>
        <v>0</v>
      </c>
      <c r="Q87" s="50">
        <f>'Baseline Emissions'!Q80-Q80</f>
        <v>1.6055666424258375E-3</v>
      </c>
      <c r="R87" s="50">
        <f>'Baseline Emissions'!R80-R80</f>
        <v>3.4903957352463988E-3</v>
      </c>
      <c r="S87" s="50">
        <f>'Baseline Emissions'!S80-S80</f>
        <v>5.6565997576234484E-3</v>
      </c>
      <c r="T87" s="50">
        <f>'Baseline Emissions'!T80-T80</f>
        <v>7.8082974410268458E-3</v>
      </c>
      <c r="U87" s="50">
        <f>'Baseline Emissions'!U80-U80</f>
        <v>1.0140154690340075E-2</v>
      </c>
      <c r="V87" s="50">
        <f>'Baseline Emissions'!V80-V80</f>
        <v>1.2283721876963083E-2</v>
      </c>
      <c r="W87" s="50">
        <f>'Baseline Emissions'!W80-W80</f>
        <v>1.4422375338743798E-2</v>
      </c>
      <c r="X87" s="50">
        <f>'Baseline Emissions'!X80-X80</f>
        <v>1.6970662365184019E-2</v>
      </c>
      <c r="Y87" s="50">
        <f>'Baseline Emissions'!Y80-Y80</f>
        <v>1.9724801013972837E-2</v>
      </c>
      <c r="Z87" s="50">
        <f>'Baseline Emissions'!Z80-Z80</f>
        <v>2.2651810069421685E-2</v>
      </c>
      <c r="AA87" s="50">
        <f>'Baseline Emissions'!AA80-AA80</f>
        <v>0</v>
      </c>
      <c r="AB87" s="50">
        <f>'Baseline Emissions'!AB80-AB80</f>
        <v>0</v>
      </c>
      <c r="AC87" s="50">
        <f>'Baseline Emissions'!AC80-AC80</f>
        <v>0</v>
      </c>
      <c r="AD87" s="50">
        <f>'Baseline Emissions'!AD80-AD80</f>
        <v>0</v>
      </c>
      <c r="AE87" s="50">
        <f>'Baseline Emissions'!AE80-AE80</f>
        <v>0</v>
      </c>
      <c r="AF87" s="50">
        <f>'Baseline Emissions'!AF80-AF80</f>
        <v>0</v>
      </c>
      <c r="AG87" s="50">
        <f>'Baseline Emissions'!AG80-AG80</f>
        <v>0</v>
      </c>
      <c r="AH87" s="50">
        <f>'Baseline Emissions'!AH80-AH80</f>
        <v>0</v>
      </c>
      <c r="AI87" s="50">
        <f>'Baseline Emissions'!AI80-AI80</f>
        <v>0</v>
      </c>
      <c r="AJ87" s="50">
        <f>'Baseline Emissions'!AJ80-AJ80</f>
        <v>0</v>
      </c>
      <c r="AK87" s="50">
        <f>'Baseline Emissions'!AK80-AK80</f>
        <v>0</v>
      </c>
    </row>
    <row r="88" spans="1:37">
      <c r="A88" s="91" t="str">
        <f>A81</f>
        <v xml:space="preserve">Petroleum </v>
      </c>
      <c r="N88" s="50">
        <f>'Baseline Emissions'!N81-N81</f>
        <v>0</v>
      </c>
      <c r="O88" s="50">
        <f>'Baseline Emissions'!O81-O81</f>
        <v>0</v>
      </c>
      <c r="P88" s="50">
        <f>'Baseline Emissions'!P81-P81</f>
        <v>0</v>
      </c>
      <c r="Q88" s="50">
        <f>'Baseline Emissions'!Q81-Q81</f>
        <v>1.2689934097350614E-4</v>
      </c>
      <c r="R88" s="50">
        <f>'Baseline Emissions'!R81-R81</f>
        <v>2.3718202460740884E-4</v>
      </c>
      <c r="S88" s="50">
        <f>'Baseline Emissions'!S81-S81</f>
        <v>3.3982231797953164E-4</v>
      </c>
      <c r="T88" s="50">
        <f>'Baseline Emissions'!T81-T81</f>
        <v>4.2045300329841481E-4</v>
      </c>
      <c r="U88" s="50">
        <f>'Baseline Emissions'!U81-U81</f>
        <v>4.8602113474942657E-4</v>
      </c>
      <c r="V88" s="50">
        <f>'Baseline Emissions'!V81-V81</f>
        <v>5.2235048001149191E-4</v>
      </c>
      <c r="W88" s="50">
        <f>'Baseline Emissions'!W81-W81</f>
        <v>5.2003883931933323E-4</v>
      </c>
      <c r="X88" s="50">
        <f>'Baseline Emissions'!X81-X81</f>
        <v>6.1148391192210674E-4</v>
      </c>
      <c r="Y88" s="50">
        <f>'Baseline Emissions'!Y81-Y81</f>
        <v>7.0265935010093566E-4</v>
      </c>
      <c r="Z88" s="50">
        <f>'Baseline Emissions'!Z81-Z81</f>
        <v>8.0398743600531251E-4</v>
      </c>
      <c r="AA88" s="50">
        <f>'Baseline Emissions'!AA81-AA81</f>
        <v>0</v>
      </c>
      <c r="AB88" s="50">
        <f>'Baseline Emissions'!AB81-AB81</f>
        <v>0</v>
      </c>
      <c r="AC88" s="50">
        <f>'Baseline Emissions'!AC81-AC81</f>
        <v>0</v>
      </c>
      <c r="AD88" s="50">
        <f>'Baseline Emissions'!AD81-AD81</f>
        <v>0</v>
      </c>
      <c r="AE88" s="50">
        <f>'Baseline Emissions'!AE81-AE81</f>
        <v>0</v>
      </c>
      <c r="AF88" s="50">
        <f>'Baseline Emissions'!AF81-AF81</f>
        <v>0</v>
      </c>
      <c r="AG88" s="50">
        <f>'Baseline Emissions'!AG81-AG81</f>
        <v>0</v>
      </c>
      <c r="AH88" s="50">
        <f>'Baseline Emissions'!AH81-AH81</f>
        <v>0</v>
      </c>
      <c r="AI88" s="50">
        <f>'Baseline Emissions'!AI81-AI81</f>
        <v>0</v>
      </c>
      <c r="AJ88" s="50">
        <f>'Baseline Emissions'!AJ81-AJ81</f>
        <v>0</v>
      </c>
      <c r="AK88" s="50">
        <f>'Baseline Emissions'!AK81-AK81</f>
        <v>0</v>
      </c>
    </row>
    <row r="89" spans="1:37">
      <c r="A89" s="91" t="str">
        <f>A82</f>
        <v xml:space="preserve">     Total 16/</v>
      </c>
      <c r="N89" s="50">
        <f>SUM(N85:N88)</f>
        <v>0</v>
      </c>
      <c r="O89" s="50">
        <f t="shared" ref="O89:AK89" si="9">SUM(O85:O88)</f>
        <v>0</v>
      </c>
      <c r="P89" s="50">
        <f t="shared" si="9"/>
        <v>0</v>
      </c>
      <c r="Q89" s="50">
        <f t="shared" si="9"/>
        <v>0.16372185964821492</v>
      </c>
      <c r="R89" s="50">
        <f t="shared" si="9"/>
        <v>0.31375507406000042</v>
      </c>
      <c r="S89" s="50">
        <f t="shared" si="9"/>
        <v>0.50092653620638883</v>
      </c>
      <c r="T89" s="50">
        <f t="shared" si="9"/>
        <v>0.63989925158866345</v>
      </c>
      <c r="U89" s="50">
        <f t="shared" si="9"/>
        <v>0.82500210469318491</v>
      </c>
      <c r="V89" s="50">
        <f t="shared" si="9"/>
        <v>0.95550060808895199</v>
      </c>
      <c r="W89" s="50">
        <f t="shared" si="9"/>
        <v>0.84479043487452066</v>
      </c>
      <c r="X89" s="50">
        <f t="shared" si="9"/>
        <v>0.95845764239119069</v>
      </c>
      <c r="Y89" s="50">
        <f t="shared" si="9"/>
        <v>1.0761700794010522</v>
      </c>
      <c r="Z89" s="50">
        <f t="shared" si="9"/>
        <v>1.2138016561907172</v>
      </c>
      <c r="AA89" s="50">
        <f t="shared" si="9"/>
        <v>0</v>
      </c>
      <c r="AB89" s="50">
        <f t="shared" si="9"/>
        <v>0</v>
      </c>
      <c r="AC89" s="50">
        <f t="shared" si="9"/>
        <v>0</v>
      </c>
      <c r="AD89" s="50">
        <f t="shared" si="9"/>
        <v>0</v>
      </c>
      <c r="AE89" s="50">
        <f t="shared" si="9"/>
        <v>0</v>
      </c>
      <c r="AF89" s="50">
        <f t="shared" si="9"/>
        <v>0</v>
      </c>
      <c r="AG89" s="50">
        <f t="shared" si="9"/>
        <v>0</v>
      </c>
      <c r="AH89" s="50">
        <f t="shared" si="9"/>
        <v>0</v>
      </c>
      <c r="AI89" s="50">
        <f t="shared" si="9"/>
        <v>0</v>
      </c>
      <c r="AJ89" s="50">
        <f t="shared" si="9"/>
        <v>0</v>
      </c>
      <c r="AK89" s="50">
        <f t="shared" si="9"/>
        <v>0</v>
      </c>
    </row>
  </sheetData>
  <phoneticPr fontId="22"/>
  <pageMargins left="0.7" right="0.7" top="0.75" bottom="0.75" header="0.3" footer="0.3"/>
  <pageSetup scale="90"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Z93"/>
  <sheetViews>
    <sheetView topLeftCell="A43" zoomScale="90" zoomScaleNormal="90" workbookViewId="0">
      <selection activeCell="B27" sqref="B27"/>
    </sheetView>
  </sheetViews>
  <sheetFormatPr defaultColWidth="9.140625" defaultRowHeight="12.75"/>
  <cols>
    <col min="1" max="1" width="1.5703125" style="57" customWidth="1"/>
    <col min="2" max="2" width="29.42578125" style="57" customWidth="1"/>
    <col min="3" max="3" width="11.28515625" style="57" customWidth="1"/>
    <col min="4" max="4" width="11.7109375" style="57" customWidth="1"/>
    <col min="5" max="6" width="10.7109375" style="57" customWidth="1"/>
    <col min="7" max="7" width="4.7109375" style="57" customWidth="1"/>
    <col min="8" max="8" width="16" style="57" customWidth="1"/>
    <col min="9" max="12" width="8.7109375" style="57" customWidth="1"/>
    <col min="13" max="13" width="10.28515625" style="57" customWidth="1"/>
    <col min="14" max="15" width="8.7109375" style="57" customWidth="1"/>
    <col min="16" max="16" width="5.140625" style="57" customWidth="1"/>
    <col min="17" max="17" width="8.7109375" style="57" customWidth="1"/>
    <col min="18" max="18" width="8.5703125" style="57" customWidth="1"/>
    <col min="19" max="19" width="8.28515625" style="57" customWidth="1"/>
    <col min="20" max="20" width="11" style="57" customWidth="1"/>
    <col min="21" max="21" width="11.7109375" style="57" customWidth="1"/>
    <col min="22" max="16384" width="9.140625" style="57"/>
  </cols>
  <sheetData>
    <row r="1" spans="1:18" ht="29.45" customHeight="1">
      <c r="A1" s="744" t="s">
        <v>1353</v>
      </c>
      <c r="B1" s="54"/>
      <c r="C1" s="54"/>
      <c r="D1" s="54"/>
      <c r="E1" s="54"/>
      <c r="F1" s="54"/>
      <c r="G1" s="54"/>
    </row>
    <row r="2" spans="1:18" ht="14.1" customHeight="1"/>
    <row r="3" spans="1:18" ht="14.1" customHeight="1">
      <c r="B3" s="350" t="s">
        <v>555</v>
      </c>
      <c r="C3" s="121"/>
      <c r="D3" s="121"/>
      <c r="F3" s="795"/>
      <c r="G3" s="131"/>
      <c r="I3" s="50"/>
      <c r="J3" s="50"/>
      <c r="K3" s="50"/>
      <c r="L3" s="50"/>
      <c r="M3" s="50"/>
      <c r="N3" s="50"/>
      <c r="O3" s="50"/>
      <c r="P3" s="50"/>
      <c r="Q3" s="50"/>
      <c r="R3" s="50"/>
    </row>
    <row r="4" spans="1:18" ht="14.1" customHeight="1">
      <c r="B4" s="59" t="s">
        <v>554</v>
      </c>
      <c r="C4" s="59" t="s">
        <v>285</v>
      </c>
      <c r="D4" s="59" t="s">
        <v>286</v>
      </c>
      <c r="F4" s="795"/>
      <c r="G4" s="131"/>
    </row>
    <row r="5" spans="1:18" ht="14.1" customHeight="1">
      <c r="B5" s="54" t="s">
        <v>556</v>
      </c>
      <c r="C5" s="185">
        <v>2018</v>
      </c>
      <c r="D5" s="203">
        <v>2020</v>
      </c>
    </row>
    <row r="6" spans="1:18" ht="14.1" customHeight="1">
      <c r="B6" s="54" t="s">
        <v>557</v>
      </c>
      <c r="C6" s="212">
        <v>10</v>
      </c>
      <c r="D6" s="211"/>
    </row>
    <row r="7" spans="1:18" ht="14.1" customHeight="1">
      <c r="B7" s="54" t="s">
        <v>558</v>
      </c>
      <c r="C7" s="212">
        <v>5</v>
      </c>
      <c r="D7" s="211"/>
    </row>
    <row r="8" spans="1:18" ht="14.1" customHeight="1">
      <c r="B8" s="54" t="s">
        <v>559</v>
      </c>
      <c r="C8" s="212">
        <v>30</v>
      </c>
      <c r="D8" s="456"/>
    </row>
    <row r="9" spans="1:18" ht="14.1" customHeight="1">
      <c r="B9" s="458" t="s">
        <v>1169</v>
      </c>
      <c r="C9" s="515">
        <v>0</v>
      </c>
      <c r="D9" s="459"/>
    </row>
    <row r="10" spans="1:18" ht="14.1" customHeight="1">
      <c r="B10" s="350" t="s">
        <v>1104</v>
      </c>
      <c r="C10" s="121"/>
      <c r="D10" s="457"/>
    </row>
    <row r="11" spans="1:18" ht="14.1" customHeight="1">
      <c r="B11" s="59" t="s">
        <v>554</v>
      </c>
      <c r="C11" s="59" t="s">
        <v>285</v>
      </c>
      <c r="D11" s="59" t="s">
        <v>286</v>
      </c>
    </row>
    <row r="12" spans="1:18" ht="14.1" customHeight="1">
      <c r="B12" s="54" t="s">
        <v>560</v>
      </c>
      <c r="C12" s="189">
        <v>0</v>
      </c>
      <c r="D12" s="198"/>
    </row>
    <row r="13" spans="1:18" ht="14.1" customHeight="1">
      <c r="B13" s="54" t="s">
        <v>561</v>
      </c>
      <c r="C13" s="197">
        <v>0.45</v>
      </c>
      <c r="D13" s="198"/>
    </row>
    <row r="14" spans="1:18" ht="14.1" customHeight="1">
      <c r="B14" s="54" t="s">
        <v>562</v>
      </c>
      <c r="C14" s="197">
        <v>0.45</v>
      </c>
      <c r="D14" s="198"/>
    </row>
    <row r="15" spans="1:18" ht="14.1" customHeight="1">
      <c r="B15" s="54" t="s">
        <v>563</v>
      </c>
      <c r="C15" s="189">
        <v>0.1</v>
      </c>
      <c r="D15" s="198"/>
    </row>
    <row r="16" spans="1:18" ht="14.1" customHeight="1">
      <c r="B16" s="54" t="s">
        <v>564</v>
      </c>
      <c r="C16" s="189">
        <v>0</v>
      </c>
      <c r="D16" s="198"/>
    </row>
    <row r="17" spans="2:15" ht="14.1" customHeight="1">
      <c r="B17" s="54" t="s">
        <v>309</v>
      </c>
      <c r="C17" s="189">
        <v>0</v>
      </c>
      <c r="D17" s="198"/>
    </row>
    <row r="18" spans="2:15" ht="14.1" customHeight="1">
      <c r="B18" s="125" t="s">
        <v>565</v>
      </c>
      <c r="C18" s="189">
        <f>SUM(C12:C17)</f>
        <v>1</v>
      </c>
      <c r="D18" s="199">
        <f>IF(SUM(D12:D17)=1,"valid", SUM(D12:D17))</f>
        <v>0</v>
      </c>
    </row>
    <row r="19" spans="2:15" ht="14.1" customHeight="1">
      <c r="B19" s="125"/>
      <c r="C19" s="186"/>
      <c r="D19" s="186"/>
    </row>
    <row r="20" spans="2:15" ht="14.1" customHeight="1">
      <c r="B20" s="350" t="s">
        <v>566</v>
      </c>
      <c r="C20" s="121"/>
      <c r="D20" s="121"/>
    </row>
    <row r="21" spans="2:15" ht="14.1" customHeight="1">
      <c r="B21" s="59" t="s">
        <v>554</v>
      </c>
      <c r="C21" s="59" t="s">
        <v>285</v>
      </c>
      <c r="D21" s="59" t="s">
        <v>286</v>
      </c>
    </row>
    <row r="22" spans="2:15" ht="14.1" customHeight="1">
      <c r="B22" s="201" t="s">
        <v>569</v>
      </c>
      <c r="C22" s="192" t="s">
        <v>327</v>
      </c>
      <c r="D22" s="202" t="s">
        <v>327</v>
      </c>
    </row>
    <row r="23" spans="2:15" ht="14.1" customHeight="1">
      <c r="B23" s="204" t="s">
        <v>570</v>
      </c>
      <c r="D23" s="159" t="str">
        <f>'Baseline Consumption'!C2</f>
        <v>reference case: AEO 2018</v>
      </c>
    </row>
    <row r="24" spans="2:15" ht="14.1" customHeight="1">
      <c r="B24" s="200" t="s">
        <v>1026</v>
      </c>
      <c r="C24" s="191" t="s">
        <v>370</v>
      </c>
      <c r="D24" s="202" t="s">
        <v>370</v>
      </c>
    </row>
    <row r="25" spans="2:15" ht="14.1" customHeight="1">
      <c r="B25" s="54" t="s">
        <v>567</v>
      </c>
      <c r="C25" s="187" t="s">
        <v>553</v>
      </c>
      <c r="D25" s="202" t="s">
        <v>320</v>
      </c>
    </row>
    <row r="26" spans="2:15" ht="14.1" customHeight="1">
      <c r="B26" s="54" t="s">
        <v>568</v>
      </c>
      <c r="C26" s="187" t="s">
        <v>553</v>
      </c>
      <c r="D26" s="202" t="s">
        <v>320</v>
      </c>
    </row>
    <row r="27" spans="2:15" ht="14.1" customHeight="1">
      <c r="B27" s="54" t="s">
        <v>1029</v>
      </c>
      <c r="C27" s="187" t="s">
        <v>553</v>
      </c>
      <c r="D27" s="202" t="s">
        <v>320</v>
      </c>
    </row>
    <row r="28" spans="2:15" ht="14.1" customHeight="1">
      <c r="B28" s="54" t="s">
        <v>1405</v>
      </c>
      <c r="C28" s="187" t="s">
        <v>553</v>
      </c>
      <c r="D28" s="202" t="s">
        <v>320</v>
      </c>
      <c r="E28" s="291"/>
      <c r="F28" s="795"/>
      <c r="G28" s="131"/>
    </row>
    <row r="29" spans="2:15" ht="14.1" customHeight="1">
      <c r="E29" s="291"/>
      <c r="F29" s="795"/>
      <c r="G29" s="131"/>
    </row>
    <row r="30" spans="2:15" ht="14.1" customHeight="1">
      <c r="B30" s="291"/>
      <c r="C30" s="291"/>
      <c r="D30" s="291"/>
      <c r="E30" s="291"/>
      <c r="F30" s="291"/>
    </row>
    <row r="31" spans="2:15" ht="14.1" customHeight="1">
      <c r="B31" s="350" t="s">
        <v>1102</v>
      </c>
      <c r="C31" s="121"/>
      <c r="D31" s="121"/>
      <c r="E31" s="121"/>
      <c r="F31" s="121"/>
      <c r="H31" s="350" t="s">
        <v>600</v>
      </c>
      <c r="I31" s="121"/>
      <c r="J31" s="121"/>
      <c r="K31" s="121"/>
      <c r="L31" s="121"/>
      <c r="M31" s="121"/>
      <c r="N31" s="121"/>
    </row>
    <row r="32" spans="2:15" ht="14.1" customHeight="1">
      <c r="B32" s="207"/>
      <c r="C32" s="207" t="s">
        <v>582</v>
      </c>
      <c r="D32" s="207"/>
      <c r="E32" s="207" t="s">
        <v>584</v>
      </c>
      <c r="F32" s="207" t="s">
        <v>586</v>
      </c>
      <c r="H32" s="796" t="s">
        <v>596</v>
      </c>
      <c r="I32" s="167">
        <v>2020</v>
      </c>
      <c r="J32" s="167"/>
      <c r="K32" s="167"/>
      <c r="L32" s="167">
        <v>2035</v>
      </c>
      <c r="M32" s="167"/>
      <c r="N32" s="167"/>
      <c r="O32" s="54"/>
    </row>
    <row r="33" spans="2:22" ht="14.1" customHeight="1">
      <c r="B33" s="208" t="s">
        <v>571</v>
      </c>
      <c r="C33" s="208" t="s">
        <v>583</v>
      </c>
      <c r="D33" s="208" t="s">
        <v>572</v>
      </c>
      <c r="E33" s="208" t="s">
        <v>585</v>
      </c>
      <c r="F33" s="208" t="s">
        <v>587</v>
      </c>
      <c r="H33" s="797"/>
      <c r="I33" s="59" t="s">
        <v>594</v>
      </c>
      <c r="J33" s="59" t="s">
        <v>595</v>
      </c>
      <c r="K33" s="59" t="s">
        <v>302</v>
      </c>
      <c r="L33" s="59" t="s">
        <v>594</v>
      </c>
      <c r="M33" s="59" t="s">
        <v>595</v>
      </c>
      <c r="N33" s="59" t="s">
        <v>302</v>
      </c>
    </row>
    <row r="34" spans="2:22" ht="14.1" customHeight="1">
      <c r="B34" s="291" t="s">
        <v>579</v>
      </c>
      <c r="C34" s="291"/>
      <c r="D34" s="291"/>
      <c r="E34" s="291"/>
      <c r="F34" s="205"/>
      <c r="H34" s="57" t="s">
        <v>348</v>
      </c>
      <c r="I34" s="213">
        <f>'Baseline Emissions'!Q14</f>
        <v>10.702764004076922</v>
      </c>
      <c r="J34" s="213">
        <f>'Adjusted Emissions'!Q14</f>
        <v>10.633914391953667</v>
      </c>
      <c r="K34" s="528">
        <f>(J34-I34)/I34</f>
        <v>-6.4328814591285951E-3</v>
      </c>
      <c r="L34" s="213">
        <f>'Baseline Emissions'!AF14</f>
        <v>8.7154442931442482</v>
      </c>
      <c r="M34" s="213">
        <f>'Adjusted Emissions'!AF14</f>
        <v>8.7154442931442482</v>
      </c>
      <c r="N34" s="214">
        <f>(M34-L34)/L34</f>
        <v>0</v>
      </c>
    </row>
    <row r="35" spans="2:22" ht="14.1" customHeight="1">
      <c r="B35" s="77" t="s">
        <v>513</v>
      </c>
      <c r="C35" s="202"/>
      <c r="D35" s="202"/>
      <c r="E35" s="198"/>
      <c r="F35" s="205" t="str">
        <f>IF(AND(C35&gt;0,D35-C35&gt;=parameters!$C$111,D35&lt;=parameters!$C$112,E35&gt;0,E35&lt;=1),"o.k.","no")</f>
        <v>no</v>
      </c>
      <c r="H35" s="57" t="s">
        <v>349</v>
      </c>
      <c r="I35" s="213">
        <f>'Baseline Emissions'!Q26</f>
        <v>9.3157585076743921</v>
      </c>
      <c r="J35" s="213">
        <f>'Adjusted Emissions'!Q26</f>
        <v>9.2542607360271383</v>
      </c>
      <c r="K35" s="526">
        <f>(J35-I35)/I35</f>
        <v>-6.6014776570894849E-3</v>
      </c>
      <c r="L35" s="213">
        <f>'Baseline Emissions'!AF26</f>
        <v>8.1222648626805487</v>
      </c>
      <c r="M35" s="213">
        <f>'Adjusted Emissions'!AF26</f>
        <v>8.1222648626805487</v>
      </c>
      <c r="N35" s="214">
        <f>(M35-L35)/L35</f>
        <v>0</v>
      </c>
    </row>
    <row r="36" spans="2:22" ht="14.1" customHeight="1">
      <c r="B36" s="77" t="s">
        <v>463</v>
      </c>
      <c r="C36" s="202"/>
      <c r="D36" s="202"/>
      <c r="E36" s="198"/>
      <c r="F36" s="205" t="str">
        <f>IF(AND(C36&gt;0,D36-C36&gt;=parameters!$C$111,D36&lt;=parameters!$C$112,E36&gt;0,E36&lt;=1),"o.k.","no")</f>
        <v>no</v>
      </c>
      <c r="H36" s="57" t="s">
        <v>350</v>
      </c>
      <c r="I36" s="213">
        <f>'Baseline Emissions'!Q47</f>
        <v>15.541081524713093</v>
      </c>
      <c r="J36" s="213">
        <f>'Adjusted Emissions'!Q47</f>
        <v>15.452032162717641</v>
      </c>
      <c r="K36" s="526">
        <f>(J36-I36)/I36</f>
        <v>-5.7299333932356753E-3</v>
      </c>
      <c r="L36" s="213">
        <f>'Baseline Emissions'!AF47</f>
        <v>16.571059069986475</v>
      </c>
      <c r="M36" s="213">
        <f>'Adjusted Emissions'!AF47</f>
        <v>16.571059069986475</v>
      </c>
      <c r="N36" s="214">
        <f>(M36-L36)/L36</f>
        <v>0</v>
      </c>
    </row>
    <row r="37" spans="2:22" ht="14.1" customHeight="1">
      <c r="B37" s="291" t="s">
        <v>580</v>
      </c>
      <c r="C37" s="291"/>
      <c r="D37" s="291"/>
      <c r="E37" s="195"/>
      <c r="F37" s="205"/>
      <c r="H37" s="57" t="s">
        <v>581</v>
      </c>
      <c r="I37" s="213">
        <f>'Baseline Emissions'!Q61</f>
        <v>43.947423086494965</v>
      </c>
      <c r="J37" s="213">
        <f>'Adjusted Emissions'!Q61</f>
        <v>43.871835615980181</v>
      </c>
      <c r="K37" s="527">
        <f>(J37-I37)/I37</f>
        <v>-1.7199522794775928E-3</v>
      </c>
      <c r="L37" s="213">
        <f>'Baseline Emissions'!AF61</f>
        <v>41.516318344399394</v>
      </c>
      <c r="M37" s="213">
        <f>'Adjusted Emissions'!AF61</f>
        <v>41.516318344399394</v>
      </c>
      <c r="N37" s="525">
        <f>(M37-L37)/L37</f>
        <v>0</v>
      </c>
      <c r="Q37"/>
      <c r="R37"/>
      <c r="S37"/>
      <c r="T37"/>
      <c r="U37"/>
    </row>
    <row r="38" spans="2:22" ht="16.350000000000001" customHeight="1">
      <c r="B38" s="77" t="s">
        <v>513</v>
      </c>
      <c r="C38" s="202"/>
      <c r="D38" s="202"/>
      <c r="E38" s="198"/>
      <c r="F38" s="205" t="str">
        <f>IF(AND(C38&gt;0,D38-C38&gt;=parameters!$C$111,D38&lt;=parameters!$C$112,E38&gt;0,E38&lt;=1),"o.k.","no")</f>
        <v>no</v>
      </c>
      <c r="H38" s="201" t="s">
        <v>597</v>
      </c>
      <c r="I38" s="543">
        <f>'Baseline Emissions'!Q75</f>
        <v>79.507027122959371</v>
      </c>
      <c r="J38" s="543">
        <f>'Adjusted Emissions'!Q75</f>
        <v>79.212042906678619</v>
      </c>
      <c r="K38" s="544">
        <f>(J38-I38)/I38</f>
        <v>-3.7101653395309724E-3</v>
      </c>
      <c r="L38" s="543">
        <f>'Baseline Emissions'!AF75</f>
        <v>74.925086570210667</v>
      </c>
      <c r="M38" s="543">
        <f>'Adjusted Emissions'!AF75</f>
        <v>74.925086570210667</v>
      </c>
      <c r="N38" s="545">
        <f>(M38-L38)/L38</f>
        <v>0</v>
      </c>
      <c r="Q38"/>
      <c r="R38"/>
      <c r="S38"/>
      <c r="T38"/>
      <c r="U38"/>
      <c r="V38" s="193"/>
    </row>
    <row r="39" spans="2:22" ht="14.1" customHeight="1">
      <c r="B39" s="77" t="s">
        <v>463</v>
      </c>
      <c r="C39" s="202"/>
      <c r="D39" s="202"/>
      <c r="E39" s="198"/>
      <c r="F39" s="205" t="str">
        <f>IF(AND(C39&gt;0,D39-C39&gt;=parameters!$C$111,D39&lt;=parameters!$C$112,E39&gt;0,E39&lt;=1),"o.k.","no")</f>
        <v>no</v>
      </c>
      <c r="H39" s="125" t="s">
        <v>598</v>
      </c>
      <c r="I39" s="215">
        <f>'Baseline Emissions'!Q94</f>
        <v>73</v>
      </c>
      <c r="J39" s="217">
        <f>I39</f>
        <v>73</v>
      </c>
      <c r="K39" s="526"/>
      <c r="L39" s="215">
        <f>'Baseline Emissions'!AF95</f>
        <v>54.75</v>
      </c>
      <c r="M39" s="217">
        <f>L39</f>
        <v>54.75</v>
      </c>
      <c r="N39" s="214"/>
      <c r="Q39"/>
      <c r="R39"/>
      <c r="S39"/>
      <c r="T39"/>
      <c r="U39"/>
    </row>
    <row r="40" spans="2:22" ht="14.1" customHeight="1">
      <c r="B40" s="291" t="s">
        <v>264</v>
      </c>
      <c r="C40" s="291"/>
      <c r="D40" s="291"/>
      <c r="E40" s="195"/>
      <c r="F40" s="205"/>
      <c r="H40" s="2" t="s">
        <v>599</v>
      </c>
      <c r="I40" s="627">
        <f>'Baseline Emissions'!Q91</f>
        <v>14.248083997714172</v>
      </c>
      <c r="J40" s="627">
        <f>'Adjusted Emissions'!Q82</f>
        <v>14.084362138065957</v>
      </c>
      <c r="K40" s="628">
        <f>(J40-I40)/I40</f>
        <v>-1.1490798318881374E-2</v>
      </c>
      <c r="L40" s="627">
        <f>'Baseline Emissions'!AF91</f>
        <v>10.447615370026501</v>
      </c>
      <c r="M40" s="627">
        <f>'Adjusted Emissions'!AF82</f>
        <v>10.447615370026501</v>
      </c>
      <c r="N40" s="629">
        <f>(M40-L40)/L40</f>
        <v>0</v>
      </c>
      <c r="Q40"/>
      <c r="R40"/>
      <c r="S40"/>
      <c r="T40"/>
      <c r="U40"/>
    </row>
    <row r="41" spans="2:22" ht="14.1" customHeight="1">
      <c r="B41" s="77" t="s">
        <v>513</v>
      </c>
      <c r="C41" s="202"/>
      <c r="D41" s="202"/>
      <c r="E41" s="198"/>
      <c r="F41" s="205" t="str">
        <f>IF(AND(C41&gt;0,D41-C41&gt;=parameters!$C$111,D41&lt;=parameters!$C$112,E41&gt;0,E41&lt;=1),"o.k.","no")</f>
        <v>no</v>
      </c>
      <c r="H41" s="2" t="s">
        <v>1247</v>
      </c>
      <c r="I41" s="213">
        <f>I38*10^6/ramps!$R119</f>
        <v>10.524987191084396</v>
      </c>
      <c r="J41" s="213">
        <f>J38*10^6/ramps!$R119</f>
        <v>10.485937748409025</v>
      </c>
      <c r="K41" s="214">
        <f>(J41-I41)/I41</f>
        <v>-3.7101653395311338E-3</v>
      </c>
      <c r="L41" s="217">
        <f>L38*10^6/ramps!$AG119</f>
        <v>8.6172076853744173</v>
      </c>
      <c r="M41" s="217">
        <f>M38*10^6/ramps!$AG119</f>
        <v>8.6172076853744173</v>
      </c>
      <c r="N41" s="214">
        <f>(M41-L41)/L41</f>
        <v>0</v>
      </c>
      <c r="O41" s="623"/>
      <c r="Q41"/>
      <c r="R41"/>
      <c r="S41"/>
      <c r="T41"/>
      <c r="U41"/>
    </row>
    <row r="42" spans="2:22" ht="14.1" customHeight="1">
      <c r="B42" s="77" t="s">
        <v>465</v>
      </c>
      <c r="C42" s="309"/>
      <c r="D42" s="309"/>
      <c r="E42" s="198"/>
      <c r="F42" s="205" t="str">
        <f>IF(AND(C42&gt;0,D42-C42&gt;=parameters!$C$111,D42&lt;=parameters!$C$112,E42&gt;0,E42&lt;=1),"o.k.","no")</f>
        <v>no</v>
      </c>
      <c r="H42" s="57" t="s">
        <v>1028</v>
      </c>
      <c r="Q42"/>
      <c r="R42"/>
      <c r="S42"/>
      <c r="T42"/>
      <c r="U42"/>
    </row>
    <row r="43" spans="2:22" ht="14.1" customHeight="1">
      <c r="B43" s="77" t="s">
        <v>466</v>
      </c>
      <c r="C43" s="309"/>
      <c r="D43" s="309"/>
      <c r="E43" s="198"/>
      <c r="F43" s="205" t="str">
        <f>IF(AND(C43&gt;0,D43-C43&gt;=parameters!$C$111,D43&lt;=parameters!$C$112,E43&gt;0,E43&lt;=1),"o.k.","no")</f>
        <v>no</v>
      </c>
      <c r="H43" s="292"/>
      <c r="I43" s="440"/>
      <c r="J43" s="292"/>
      <c r="K43" s="292"/>
      <c r="L43" s="292"/>
      <c r="M43" s="292"/>
      <c r="N43" s="292"/>
      <c r="O43" s="292"/>
      <c r="Q43"/>
      <c r="R43"/>
      <c r="S43"/>
      <c r="T43"/>
      <c r="U43"/>
    </row>
    <row r="44" spans="2:22" ht="14.1" customHeight="1">
      <c r="B44" s="77" t="s">
        <v>463</v>
      </c>
      <c r="C44" s="309"/>
      <c r="D44" s="309"/>
      <c r="E44" s="198"/>
      <c r="F44" s="205" t="str">
        <f>IF(AND(C44&gt;0,D44-C44&gt;=parameters!$C$111,D44&lt;=parameters!$C$112,E44&gt;0,E44&lt;=1),"o.k.","no")</f>
        <v>no</v>
      </c>
      <c r="H44" s="350" t="s">
        <v>612</v>
      </c>
      <c r="I44" s="121"/>
      <c r="J44" s="121"/>
      <c r="K44" s="292"/>
      <c r="L44" s="350" t="s">
        <v>936</v>
      </c>
      <c r="M44" s="121"/>
      <c r="N44" s="121"/>
      <c r="O44" s="121"/>
      <c r="Q44"/>
      <c r="R44"/>
      <c r="S44"/>
      <c r="T44"/>
      <c r="U44"/>
    </row>
    <row r="45" spans="2:22" ht="14.1" customHeight="1">
      <c r="B45" s="194" t="s">
        <v>581</v>
      </c>
      <c r="C45" s="291"/>
      <c r="D45" s="291"/>
      <c r="E45" s="195"/>
      <c r="F45" s="205"/>
      <c r="H45" s="59" t="s">
        <v>603</v>
      </c>
      <c r="I45" s="59">
        <v>2020</v>
      </c>
      <c r="J45" s="59">
        <v>2035</v>
      </c>
      <c r="K45" s="292"/>
      <c r="L45" s="792" t="s">
        <v>604</v>
      </c>
      <c r="M45" s="793"/>
      <c r="N45" s="59">
        <v>2020</v>
      </c>
      <c r="O45" s="59">
        <v>2035</v>
      </c>
      <c r="Q45"/>
      <c r="R45"/>
      <c r="S45"/>
      <c r="T45"/>
      <c r="U45"/>
    </row>
    <row r="46" spans="2:22" ht="14.1" customHeight="1">
      <c r="B46" s="77" t="s">
        <v>351</v>
      </c>
      <c r="C46" s="202"/>
      <c r="D46" s="202"/>
      <c r="E46" s="198"/>
      <c r="F46" s="205" t="str">
        <f>IF(AND(C46&gt;0,D46-C46&gt;=parameters!$C$111,D46&lt;=parameters!$C$112,E46&gt;0,E46&lt;=1),"o.k.","no")</f>
        <v>no</v>
      </c>
      <c r="H46" s="292" t="s">
        <v>348</v>
      </c>
      <c r="I46" s="218">
        <f>Revenue!Q15</f>
        <v>116.11581469869682</v>
      </c>
      <c r="J46" s="218">
        <f>Revenue!AF15</f>
        <v>0</v>
      </c>
      <c r="K46" s="292"/>
      <c r="L46" s="54" t="s">
        <v>609</v>
      </c>
      <c r="M46" s="292"/>
      <c r="N46" s="219">
        <f>($I$50*parameters!$C$15)/ramps!R113</f>
        <v>0</v>
      </c>
      <c r="O46" s="219">
        <f>($J$50*parameters!$C$15)/ramps!AG113</f>
        <v>0</v>
      </c>
      <c r="Q46"/>
      <c r="R46"/>
      <c r="S46"/>
      <c r="T46"/>
      <c r="U46"/>
    </row>
    <row r="47" spans="2:22" ht="14.1" customHeight="1">
      <c r="B47" s="77" t="s">
        <v>352</v>
      </c>
      <c r="C47" s="202"/>
      <c r="D47" s="309"/>
      <c r="E47" s="310"/>
      <c r="F47" s="205" t="str">
        <f>IF(AND(C47&gt;0,D47-C47&gt;=parameters!$C$111,D47&lt;=parameters!$C$112,E47&gt;0,E47&lt;=1),"o.k.","no")</f>
        <v>no</v>
      </c>
      <c r="H47" s="292" t="s">
        <v>349</v>
      </c>
      <c r="I47" s="218">
        <f>Revenue!Q27</f>
        <v>100.35078717038995</v>
      </c>
      <c r="J47" s="218">
        <f>Revenue!AF27</f>
        <v>0</v>
      </c>
      <c r="K47" s="292"/>
      <c r="L47" s="54" t="s">
        <v>610</v>
      </c>
      <c r="M47" s="292"/>
      <c r="N47" s="219">
        <f>($I$50*parameters!$C$16)/ramps!R114</f>
        <v>2.028707134631871E-2</v>
      </c>
      <c r="O47" s="219">
        <f>($J$50*parameters!$C$16)/ramps!AG114</f>
        <v>9.5194956540798574E-9</v>
      </c>
      <c r="S47" s="186"/>
      <c r="T47" s="186"/>
    </row>
    <row r="48" spans="2:22" ht="14.1" customHeight="1">
      <c r="B48" s="77" t="s">
        <v>500</v>
      </c>
      <c r="C48" s="202"/>
      <c r="D48" s="309"/>
      <c r="E48" s="310"/>
      <c r="F48" s="205" t="str">
        <f>IF(AND(C48&gt;0,D48-C48&gt;=parameters!$C$111,D48&lt;=parameters!$C$112,E48&gt;0,E48&lt;=1),"o.k.","no")</f>
        <v>no</v>
      </c>
      <c r="H48" s="292" t="s">
        <v>350</v>
      </c>
      <c r="I48" s="218">
        <f>Revenue!Q48</f>
        <v>118.62193301700853</v>
      </c>
      <c r="J48" s="218">
        <f>Revenue!AF48</f>
        <v>0</v>
      </c>
      <c r="K48" s="292"/>
      <c r="L48" s="54" t="s">
        <v>611</v>
      </c>
      <c r="M48" s="292"/>
      <c r="N48" s="219">
        <f>($I$50*parameters!$C$17)/ramps!R115</f>
        <v>0.11548728776673123</v>
      </c>
      <c r="O48" s="219">
        <f>($J$50*parameters!$C$17)/ramps!AG115</f>
        <v>5.4191199667484832E-8</v>
      </c>
      <c r="R48" s="125"/>
      <c r="S48" s="188"/>
      <c r="T48" s="188"/>
    </row>
    <row r="49" spans="2:26" ht="14.1" customHeight="1">
      <c r="B49" s="291"/>
      <c r="C49" s="291"/>
      <c r="D49" s="291"/>
      <c r="E49" s="291"/>
      <c r="F49" s="291"/>
      <c r="H49" s="292" t="s">
        <v>581</v>
      </c>
      <c r="I49" s="218">
        <f>Revenue!Q62</f>
        <v>465.51502498562775</v>
      </c>
      <c r="J49" s="218">
        <f>Revenue!AF62</f>
        <v>5.6764274446841068E-4</v>
      </c>
      <c r="K49" s="292"/>
      <c r="L49" s="54" t="s">
        <v>605</v>
      </c>
      <c r="M49" s="292"/>
      <c r="N49" s="220">
        <f>($I$50*parameters!$C$18)*1000000/ramps!R117</f>
        <v>28.288769571670969</v>
      </c>
      <c r="O49" s="220">
        <f>($J$50*parameters!$C$18)*1000000/ramps!AG117</f>
        <v>1.7513312096372956E-5</v>
      </c>
      <c r="R49" s="125"/>
      <c r="S49" s="188"/>
      <c r="T49" s="188"/>
    </row>
    <row r="50" spans="2:26" ht="14.1" customHeight="1">
      <c r="B50" s="350" t="s">
        <v>592</v>
      </c>
      <c r="C50" s="121"/>
      <c r="D50" s="121"/>
      <c r="E50" s="121"/>
      <c r="F50" s="121"/>
      <c r="H50" s="125" t="s">
        <v>597</v>
      </c>
      <c r="I50" s="271">
        <f>Revenue!Q87</f>
        <v>800.60355987172306</v>
      </c>
      <c r="J50" s="271">
        <f>Revenue!AF87</f>
        <v>5.6764274446841068E-4</v>
      </c>
      <c r="K50" s="292"/>
      <c r="L50" s="54" t="s">
        <v>606</v>
      </c>
      <c r="M50" s="292"/>
      <c r="N50" s="220">
        <f>$I$50*parameters!$C$19</f>
        <v>0</v>
      </c>
      <c r="O50" s="220">
        <f>$J$50*parameters!$C$19</f>
        <v>0</v>
      </c>
      <c r="R50" s="125"/>
      <c r="S50" s="188"/>
      <c r="T50" s="188"/>
    </row>
    <row r="51" spans="2:26" ht="14.1" customHeight="1">
      <c r="B51" s="207"/>
      <c r="C51" s="207" t="s">
        <v>582</v>
      </c>
      <c r="D51" s="207"/>
      <c r="E51" s="207" t="s">
        <v>588</v>
      </c>
      <c r="F51" s="207" t="s">
        <v>586</v>
      </c>
      <c r="H51" s="272" t="s">
        <v>601</v>
      </c>
      <c r="I51" s="218">
        <f>I46+Revenue!Q53+Revenue!Q52</f>
        <v>439.74773116788998</v>
      </c>
      <c r="J51" s="218">
        <f>J46+Revenue!AF53+Revenue!AF52</f>
        <v>0</v>
      </c>
      <c r="K51" s="292"/>
      <c r="L51" s="54" t="s">
        <v>607</v>
      </c>
      <c r="M51" s="292"/>
      <c r="N51" s="220">
        <f>$I$50*parameters!$C$20</f>
        <v>0</v>
      </c>
      <c r="O51" s="220">
        <f>$J$50*parameters!$C$20</f>
        <v>0</v>
      </c>
      <c r="R51" s="125"/>
      <c r="S51" s="188"/>
      <c r="T51" s="188"/>
    </row>
    <row r="52" spans="2:26" ht="14.1" customHeight="1">
      <c r="B52" s="208" t="s">
        <v>573</v>
      </c>
      <c r="C52" s="208" t="s">
        <v>583</v>
      </c>
      <c r="D52" s="208" t="s">
        <v>572</v>
      </c>
      <c r="E52" s="208" t="s">
        <v>585</v>
      </c>
      <c r="F52" s="208" t="s">
        <v>587</v>
      </c>
      <c r="G52" s="196"/>
      <c r="H52" s="272" t="s">
        <v>602</v>
      </c>
      <c r="I52" s="218">
        <f>I50-I51</f>
        <v>360.85582870383308</v>
      </c>
      <c r="J52" s="218">
        <f>J50-J51</f>
        <v>5.6764274446841068E-4</v>
      </c>
      <c r="K52" s="292"/>
      <c r="L52" s="292"/>
      <c r="M52" s="292"/>
      <c r="N52" s="292"/>
      <c r="O52" s="292"/>
      <c r="R52" s="125"/>
      <c r="S52" s="188"/>
      <c r="T52" s="188"/>
    </row>
    <row r="53" spans="2:26" ht="14.1" customHeight="1">
      <c r="B53" s="194" t="s">
        <v>492</v>
      </c>
      <c r="C53" s="202"/>
      <c r="D53" s="202"/>
      <c r="E53" s="198"/>
      <c r="F53" s="205" t="str">
        <f>IF(AND(C53&gt;0,D53-C53&gt;=parameters!$C$111,D53&lt;=parameters!$C$112,E53&gt;0,E53&lt;=1),"o.k.","no")</f>
        <v>no</v>
      </c>
      <c r="G53" s="196"/>
      <c r="H53" s="292"/>
      <c r="I53" s="292"/>
      <c r="J53" s="292"/>
      <c r="K53" s="292"/>
      <c r="L53" s="292"/>
      <c r="M53" s="292"/>
      <c r="N53" s="292"/>
      <c r="O53" s="292"/>
      <c r="T53" s="188"/>
    </row>
    <row r="54" spans="2:26" ht="14.1" customHeight="1">
      <c r="B54" s="194" t="s">
        <v>493</v>
      </c>
      <c r="C54" s="309"/>
      <c r="D54" s="309"/>
      <c r="E54" s="198"/>
      <c r="F54" s="205" t="str">
        <f>IF(AND(C54&gt;0,D54-C54&gt;=parameters!$C$111,D54&lt;=parameters!$C$112,E54&gt;0,E54&lt;=1),"o.k.","no")</f>
        <v>no</v>
      </c>
      <c r="G54" s="46"/>
      <c r="H54" s="350" t="s">
        <v>1213</v>
      </c>
      <c r="I54" s="121"/>
      <c r="J54" s="121"/>
      <c r="K54" s="121"/>
      <c r="L54" s="121"/>
      <c r="M54" s="121"/>
      <c r="N54" s="121"/>
      <c r="O54" s="292"/>
    </row>
    <row r="55" spans="2:26" ht="14.1" customHeight="1">
      <c r="B55" s="194" t="s">
        <v>494</v>
      </c>
      <c r="C55" s="309"/>
      <c r="D55" s="309"/>
      <c r="E55" s="198"/>
      <c r="F55" s="205" t="str">
        <f>IF(AND(C55&gt;0,D55-C55&gt;=parameters!$C$111,D55&lt;=parameters!$C$112,E55&gt;0,E55&lt;=1),"o.k.","no")</f>
        <v>no</v>
      </c>
      <c r="G55" s="46"/>
      <c r="H55" s="796" t="s">
        <v>596</v>
      </c>
      <c r="I55" s="792">
        <v>2020</v>
      </c>
      <c r="J55" s="794"/>
      <c r="K55" s="793"/>
      <c r="L55" s="792">
        <v>2035</v>
      </c>
      <c r="M55" s="794"/>
      <c r="N55" s="793"/>
      <c r="O55" s="292"/>
    </row>
    <row r="56" spans="2:26" ht="14.1" customHeight="1">
      <c r="B56" s="194" t="s">
        <v>495</v>
      </c>
      <c r="C56" s="309"/>
      <c r="D56" s="309"/>
      <c r="E56" s="198"/>
      <c r="F56" s="205" t="str">
        <f>IF(AND(C56&gt;0,D56-C56&gt;=parameters!$C$111,D56&lt;=parameters!$C$112,E56&gt;0,E56&lt;=1),"o.k.","no")</f>
        <v>no</v>
      </c>
      <c r="H56" s="797"/>
      <c r="I56" s="59" t="s">
        <v>594</v>
      </c>
      <c r="J56" s="59" t="s">
        <v>595</v>
      </c>
      <c r="K56" s="59" t="s">
        <v>302</v>
      </c>
      <c r="L56" s="59" t="s">
        <v>594</v>
      </c>
      <c r="M56" s="59" t="s">
        <v>595</v>
      </c>
      <c r="N56" s="59" t="s">
        <v>302</v>
      </c>
      <c r="O56" s="292"/>
      <c r="P56"/>
    </row>
    <row r="57" spans="2:26" ht="14.1" customHeight="1">
      <c r="B57" s="194" t="s">
        <v>1024</v>
      </c>
      <c r="C57" s="309"/>
      <c r="D57" s="309"/>
      <c r="E57" s="198"/>
      <c r="F57" s="205" t="str">
        <f>IF(AND(C57&gt;0,D57-C57&gt;=parameters!$C$111,D57&lt;=parameters!$C$112,E57&gt;0,E57&lt;=1),"o.k.","no")</f>
        <v>no</v>
      </c>
      <c r="H57" s="292" t="s">
        <v>348</v>
      </c>
      <c r="I57" s="213">
        <f>'Baseline expend'!Q11</f>
        <v>4.5018340578421849</v>
      </c>
      <c r="J57" s="213">
        <f>'Adjusted expend'!Q11</f>
        <v>4.6459793557555908</v>
      </c>
      <c r="K57" s="528">
        <f>(J57-I57)/I57</f>
        <v>3.2019238395139225E-2</v>
      </c>
      <c r="L57" s="213">
        <f>'Baseline expend'!AF11</f>
        <v>5.2230762851128016</v>
      </c>
      <c r="M57" s="213">
        <f>'Adjusted expend'!AF11</f>
        <v>5.2230762851128016</v>
      </c>
      <c r="N57" s="214">
        <f>(M57-L57)/L57</f>
        <v>0</v>
      </c>
      <c r="O57" s="292"/>
      <c r="P57"/>
    </row>
    <row r="58" spans="2:26" ht="14.1" customHeight="1">
      <c r="B58" s="194" t="s">
        <v>497</v>
      </c>
      <c r="C58" s="309"/>
      <c r="D58" s="309"/>
      <c r="E58" s="198"/>
      <c r="F58" s="205" t="str">
        <f>IF(AND(C58&gt;0,D58-C58&gt;=parameters!$C$111,D58&lt;=parameters!$C$112,E58&gt;0,E58&lt;=1),"o.k.","no")</f>
        <v>no</v>
      </c>
      <c r="H58" s="292" t="s">
        <v>349</v>
      </c>
      <c r="I58" s="213">
        <f>'Baseline expend'!Q19</f>
        <v>3.2404612114451128</v>
      </c>
      <c r="J58" s="213">
        <f>'Adjusted expend'!Q19</f>
        <v>3.3599694885434093</v>
      </c>
      <c r="K58" s="526">
        <f>(J58-I58)/I58</f>
        <v>3.6880020867461852E-2</v>
      </c>
      <c r="L58" s="213">
        <f>'Baseline expend'!AF19</f>
        <v>3.9427546731621601</v>
      </c>
      <c r="M58" s="213">
        <f>'Adjusted expend'!AF19</f>
        <v>3.9427546731621601</v>
      </c>
      <c r="N58" s="214">
        <f>(M58-L58)/L58</f>
        <v>0</v>
      </c>
      <c r="O58" s="292"/>
      <c r="P58"/>
      <c r="W58" s="194"/>
      <c r="Z58" s="195"/>
    </row>
    <row r="59" spans="2:26" ht="14.1" customHeight="1">
      <c r="B59" s="194" t="s">
        <v>498</v>
      </c>
      <c r="C59" s="309"/>
      <c r="D59" s="309"/>
      <c r="E59" s="198"/>
      <c r="F59" s="205" t="str">
        <f>IF(AND(C59&gt;0,D59-C59&gt;=parameters!$C$111,D59&lt;=parameters!$C$112,E59&gt;0,E59&lt;=1),"o.k.","no")</f>
        <v>no</v>
      </c>
      <c r="H59" s="292" t="s">
        <v>350</v>
      </c>
      <c r="I59" s="213">
        <f>'Baseline expend'!Q32</f>
        <v>3.2561574065247507</v>
      </c>
      <c r="J59" s="213">
        <f>'Adjusted expend'!Q32</f>
        <v>3.389952830680723</v>
      </c>
      <c r="K59" s="526">
        <f>(J59-I59)/I59</f>
        <v>4.1089974301571047E-2</v>
      </c>
      <c r="L59" s="213">
        <f>'Baseline expend'!AF32</f>
        <v>4.3202333555372583</v>
      </c>
      <c r="M59" s="213">
        <f>'Adjusted expend'!AF32</f>
        <v>4.3202333555372583</v>
      </c>
      <c r="N59" s="214">
        <f>(M59-L59)/L59</f>
        <v>0</v>
      </c>
      <c r="O59" s="292"/>
      <c r="P59"/>
      <c r="W59" s="194"/>
      <c r="Z59" s="195"/>
    </row>
    <row r="60" spans="2:26" ht="14.1" customHeight="1">
      <c r="B60" s="291"/>
      <c r="C60" s="291"/>
      <c r="D60" s="291"/>
      <c r="E60" s="291"/>
      <c r="F60" s="291"/>
      <c r="H60" s="292" t="s">
        <v>581</v>
      </c>
      <c r="I60" s="213">
        <f>'Baseline expend'!Q43</f>
        <v>13.85297696578157</v>
      </c>
      <c r="J60" s="213">
        <f>'Adjusted expend'!Q43</f>
        <v>14.292962114296785</v>
      </c>
      <c r="K60" s="527">
        <f>(J60-I60)/I60</f>
        <v>3.1761053931009038E-2</v>
      </c>
      <c r="L60" s="213">
        <f>'Baseline expend'!AF43</f>
        <v>16.891258569415079</v>
      </c>
      <c r="M60" s="213">
        <f>'Adjusted expend'!AF43</f>
        <v>16.891258569415079</v>
      </c>
      <c r="N60" s="525">
        <f>(M60-L60)/L60</f>
        <v>0</v>
      </c>
      <c r="O60" s="292"/>
      <c r="P60"/>
    </row>
    <row r="61" spans="2:26" ht="14.1" customHeight="1">
      <c r="B61" s="350" t="s">
        <v>1103</v>
      </c>
      <c r="C61" s="121"/>
      <c r="D61" s="121"/>
      <c r="E61" s="121"/>
      <c r="F61" s="121"/>
      <c r="H61" s="125" t="s">
        <v>597</v>
      </c>
      <c r="I61" s="216">
        <f>'Baseline expend'!Q45</f>
        <v>24.851429641593619</v>
      </c>
      <c r="J61" s="216">
        <f>'Adjusted expend'!Q45</f>
        <v>25.68886378927651</v>
      </c>
      <c r="K61" s="214">
        <f>(J61-I61)/I61</f>
        <v>3.3697624634088881E-2</v>
      </c>
      <c r="L61" s="216">
        <f>'Baseline expend'!AF45</f>
        <v>30.377322883227301</v>
      </c>
      <c r="M61" s="216">
        <f>'Adjusted expend'!AF45</f>
        <v>30.377322883227301</v>
      </c>
      <c r="N61" s="214">
        <f>(M61-L61)/L61</f>
        <v>0</v>
      </c>
      <c r="O61" s="292"/>
      <c r="P61"/>
    </row>
    <row r="62" spans="2:26" ht="14.1" customHeight="1">
      <c r="B62" s="207"/>
      <c r="C62" s="207" t="s">
        <v>582</v>
      </c>
      <c r="D62" s="207"/>
      <c r="E62" s="207"/>
      <c r="F62" s="207" t="s">
        <v>586</v>
      </c>
      <c r="H62" s="292"/>
      <c r="I62" s="292"/>
      <c r="J62" s="292"/>
      <c r="K62" s="292"/>
      <c r="L62" s="292"/>
      <c r="M62" s="292"/>
      <c r="N62" s="292"/>
      <c r="O62" s="292"/>
      <c r="P62"/>
    </row>
    <row r="63" spans="2:26" ht="14.1" customHeight="1">
      <c r="B63" s="208" t="s">
        <v>608</v>
      </c>
      <c r="C63" s="208" t="s">
        <v>583</v>
      </c>
      <c r="D63" s="208" t="s">
        <v>572</v>
      </c>
      <c r="E63" s="208" t="s">
        <v>1016</v>
      </c>
      <c r="F63" s="208" t="s">
        <v>587</v>
      </c>
      <c r="H63" s="350" t="s">
        <v>1219</v>
      </c>
      <c r="I63" s="121"/>
      <c r="J63" s="121"/>
      <c r="K63" s="121"/>
      <c r="L63" s="121"/>
      <c r="M63" s="121"/>
      <c r="N63" s="121"/>
      <c r="O63" s="121"/>
      <c r="P63"/>
    </row>
    <row r="64" spans="2:26" ht="14.1" customHeight="1">
      <c r="B64" s="194" t="s">
        <v>351</v>
      </c>
      <c r="C64" s="309"/>
      <c r="D64" s="309"/>
      <c r="E64" s="311"/>
      <c r="F64" s="205" t="str">
        <f>IF(AND(C64&gt;0,D64-C64&gt;=parameters!$C$111,D64&lt;=parameters!$C$112,E64&gt;0),"o.k.","no")</f>
        <v>no</v>
      </c>
      <c r="H64" s="798" t="s">
        <v>608</v>
      </c>
      <c r="I64" s="799"/>
      <c r="J64" s="792">
        <v>2020</v>
      </c>
      <c r="K64" s="794"/>
      <c r="L64" s="793"/>
      <c r="M64" s="792">
        <v>2035</v>
      </c>
      <c r="N64" s="794"/>
      <c r="O64" s="793"/>
    </row>
    <row r="65" spans="2:26" ht="14.1" customHeight="1">
      <c r="B65" s="194" t="s">
        <v>352</v>
      </c>
      <c r="C65" s="309"/>
      <c r="D65" s="309"/>
      <c r="E65" s="311"/>
      <c r="F65" s="205" t="str">
        <f>IF(AND(C65&gt;0,D65-C65&gt;=parameters!$C$111,D65&lt;=parameters!$C$112,E65&gt;0),"o.k.","no")</f>
        <v>no</v>
      </c>
      <c r="H65" s="800"/>
      <c r="I65" s="801"/>
      <c r="J65" s="59" t="s">
        <v>594</v>
      </c>
      <c r="K65" s="59" t="s">
        <v>595</v>
      </c>
      <c r="L65" s="59" t="s">
        <v>302</v>
      </c>
      <c r="M65" s="59" t="s">
        <v>594</v>
      </c>
      <c r="N65" s="59" t="s">
        <v>595</v>
      </c>
      <c r="O65" s="59" t="s">
        <v>302</v>
      </c>
      <c r="W65" s="194"/>
      <c r="Z65" s="195"/>
    </row>
    <row r="66" spans="2:26" ht="14.1" customHeight="1">
      <c r="B66" s="291"/>
      <c r="C66" s="291"/>
      <c r="D66" s="291"/>
      <c r="E66" s="291"/>
      <c r="F66" s="291"/>
      <c r="H66" s="292" t="s">
        <v>1249</v>
      </c>
      <c r="I66" s="292"/>
      <c r="J66" s="213">
        <f>'Baseline Price'!Q10/mmBtuTOtherm</f>
        <v>1.2078685</v>
      </c>
      <c r="K66" s="213">
        <f>'Adjusted price'!Q10/mmBtuTOtherm</f>
        <v>1.2820608481837366</v>
      </c>
      <c r="L66" s="528">
        <f t="shared" ref="L66:L73" si="0">(K66-J66)/J66</f>
        <v>6.142419326585348E-2</v>
      </c>
      <c r="M66" s="213">
        <f>'Baseline Price'!AF10/mmBtuTOtherm</f>
        <v>1.4560515000000001</v>
      </c>
      <c r="N66" s="213">
        <f>'Adjusted price'!AF10/mmBtuTOtherm</f>
        <v>1.4560515000000001</v>
      </c>
      <c r="O66" s="214">
        <f t="shared" ref="O66:O73" si="1">(N66-M66)/M66</f>
        <v>0</v>
      </c>
      <c r="Q66" s="186"/>
      <c r="W66" s="194"/>
      <c r="Z66" s="195"/>
    </row>
    <row r="67" spans="2:26" ht="14.1" customHeight="1">
      <c r="B67" s="350" t="s">
        <v>1014</v>
      </c>
      <c r="C67" s="121"/>
      <c r="D67" s="121"/>
      <c r="E67" s="121"/>
      <c r="F67" s="121"/>
      <c r="H67" s="292" t="s">
        <v>933</v>
      </c>
      <c r="I67" s="292"/>
      <c r="J67" s="213">
        <f>'Baseline Price'!Q11*100/mmBtuTOkWh</f>
        <v>9.5471267355933325</v>
      </c>
      <c r="K67" s="213">
        <f>'Adjusted price'!Q11*100/mmBtuTOkWh</f>
        <v>9.770199650258645</v>
      </c>
      <c r="L67" s="526">
        <f t="shared" si="0"/>
        <v>2.3365450238935062E-2</v>
      </c>
      <c r="M67" s="213">
        <f>'Baseline Price'!AK11*100/mmBtuTOkWh</f>
        <v>12.741890542503601</v>
      </c>
      <c r="N67" s="213">
        <f>'Adjusted price'!AK11*100/mmBtuTOkWh</f>
        <v>12.741890542503601</v>
      </c>
      <c r="O67" s="214">
        <f t="shared" si="1"/>
        <v>0</v>
      </c>
    </row>
    <row r="68" spans="2:26" ht="14.1" customHeight="1">
      <c r="B68" s="207"/>
      <c r="C68" s="207" t="s">
        <v>582</v>
      </c>
      <c r="D68" s="207"/>
      <c r="E68" s="207" t="s">
        <v>589</v>
      </c>
      <c r="F68" s="207" t="s">
        <v>586</v>
      </c>
      <c r="H68" s="292" t="s">
        <v>631</v>
      </c>
      <c r="I68" s="292"/>
      <c r="J68" s="213">
        <f>'Baseline Price'!Q24</f>
        <v>5.2893610000000004</v>
      </c>
      <c r="K68" s="213">
        <f>'Adjusted price'!Q24</f>
        <v>6.031284481837365</v>
      </c>
      <c r="L68" s="526">
        <f>(K68-J68)/J68</f>
        <v>0.14026712902321556</v>
      </c>
      <c r="M68" s="213">
        <f>'Baseline Price'!AF24</f>
        <v>5.9215280000000003</v>
      </c>
      <c r="N68" s="213">
        <f>'Adjusted price'!AF24</f>
        <v>5.9215280000000003</v>
      </c>
      <c r="O68" s="214">
        <f>(N68-M68)/M68</f>
        <v>0</v>
      </c>
    </row>
    <row r="69" spans="2:26" ht="14.1" customHeight="1">
      <c r="B69" s="208" t="s">
        <v>574</v>
      </c>
      <c r="C69" s="208" t="s">
        <v>583</v>
      </c>
      <c r="D69" s="208" t="s">
        <v>572</v>
      </c>
      <c r="E69" s="208" t="s">
        <v>585</v>
      </c>
      <c r="F69" s="208" t="s">
        <v>587</v>
      </c>
      <c r="H69" s="292" t="s">
        <v>934</v>
      </c>
      <c r="I69" s="292"/>
      <c r="J69" s="213">
        <f>'Baseline Price'!Q28*100/mmBtuTOkWh</f>
        <v>4.5358835769140562</v>
      </c>
      <c r="K69" s="213">
        <f>'Adjusted price'!Q28*100/mmBtuTOkWh</f>
        <v>4.7589564915793678</v>
      </c>
      <c r="L69" s="526">
        <f>(K69-J69)/J69</f>
        <v>4.9179594423602271E-2</v>
      </c>
      <c r="M69" s="213">
        <f>'Baseline Price'!AK28*100/mmBtuTOkWh</f>
        <v>5.2406362613159079</v>
      </c>
      <c r="N69" s="213">
        <f>'Adjusted price'!AK28*100/mmBtuTOkWh</f>
        <v>5.2406362613159079</v>
      </c>
      <c r="O69" s="214">
        <f>(N69-M69)/M69</f>
        <v>0</v>
      </c>
    </row>
    <row r="70" spans="2:26" ht="14.1" customHeight="1">
      <c r="B70" s="194" t="s">
        <v>575</v>
      </c>
      <c r="C70" s="202"/>
      <c r="D70" s="202"/>
      <c r="E70" s="198"/>
      <c r="F70" s="205" t="str">
        <f>IF(AND(C70&gt;0,D70-C70&gt;=parameters!$C$111,D70&lt;=parameters!$C$112,E70&gt;0,E70&lt;=1),"o.k.","no")</f>
        <v>no</v>
      </c>
      <c r="H70" s="292" t="s">
        <v>1345</v>
      </c>
      <c r="I70" s="292"/>
      <c r="J70" s="532">
        <f>'Baseline Price'!Q23*parameters!$C$113</f>
        <v>67.849449299999989</v>
      </c>
      <c r="K70" s="532">
        <f>'Adjusted price'!Q23*parameters!$C$113</f>
        <v>67.849449299999989</v>
      </c>
      <c r="L70" s="526">
        <f t="shared" si="0"/>
        <v>0</v>
      </c>
      <c r="M70" s="532">
        <f>'Baseline Price'!AK23*parameters!$C$113</f>
        <v>83.07076275</v>
      </c>
      <c r="N70" s="532">
        <f>'Adjusted price'!AK23*parameters!$C$113</f>
        <v>83.07076275</v>
      </c>
      <c r="O70" s="214">
        <f t="shared" si="1"/>
        <v>0</v>
      </c>
      <c r="R70" s="125"/>
      <c r="S70" s="190"/>
      <c r="T70" s="190"/>
    </row>
    <row r="71" spans="2:26" ht="14.1" customHeight="1">
      <c r="B71" s="194" t="s">
        <v>576</v>
      </c>
      <c r="C71" s="202"/>
      <c r="D71" s="202"/>
      <c r="E71" s="198"/>
      <c r="F71" s="205" t="str">
        <f>IF(AND(C71&gt;0,D71-C71&gt;=parameters!$C$111,D71&lt;=parameters!$C$112,E71&gt;0,E71&lt;=1),"o.k.","no")</f>
        <v>no</v>
      </c>
      <c r="H71" s="292" t="s">
        <v>937</v>
      </c>
      <c r="I71" s="292"/>
      <c r="J71" s="213">
        <f>'Baseline Price'!Q33*parameters!$C$33</f>
        <v>3.130093191279089</v>
      </c>
      <c r="K71" s="213">
        <f>'Adjusted price'!Q33*parameters!$C$33</f>
        <v>3.2533279736973997</v>
      </c>
      <c r="L71" s="526">
        <f t="shared" si="0"/>
        <v>3.9370962743748752E-2</v>
      </c>
      <c r="M71" s="213">
        <f>'Baseline Price'!AF33*parameters!$C$33</f>
        <v>4.0818857357990854</v>
      </c>
      <c r="N71" s="213">
        <f>'Adjusted price'!AF33*parameters!$C$33</f>
        <v>4.0818857357990854</v>
      </c>
      <c r="O71" s="214">
        <f t="shared" si="1"/>
        <v>0</v>
      </c>
      <c r="S71" s="195"/>
    </row>
    <row r="72" spans="2:26" ht="14.1" customHeight="1">
      <c r="B72" s="291"/>
      <c r="C72" s="291"/>
      <c r="D72" s="291"/>
      <c r="E72" s="291"/>
      <c r="F72" s="291"/>
      <c r="H72" s="57" t="s">
        <v>938</v>
      </c>
      <c r="J72" s="213">
        <f>'Baseline Price'!Q35*parameters!$C$39</f>
        <v>3.2336700842300883</v>
      </c>
      <c r="K72" s="213">
        <f>'Adjusted price'!Q35*parameters!$C$39</f>
        <v>3.3741961855638549</v>
      </c>
      <c r="L72" s="526">
        <f t="shared" si="0"/>
        <v>4.3457154772554608E-2</v>
      </c>
      <c r="M72" s="213">
        <f>'Baseline Price'!AF35*parameters!$C$39</f>
        <v>4.341284486790733</v>
      </c>
      <c r="N72" s="213">
        <f>'Adjusted price'!AF35*parameters!$C$39</f>
        <v>4.341284486790733</v>
      </c>
      <c r="O72" s="214">
        <f t="shared" si="1"/>
        <v>0</v>
      </c>
      <c r="S72" s="195"/>
    </row>
    <row r="73" spans="2:26" ht="14.1" customHeight="1">
      <c r="B73" s="351" t="s">
        <v>1015</v>
      </c>
      <c r="C73" s="121"/>
      <c r="D73" s="121"/>
      <c r="E73" s="121"/>
      <c r="F73" s="121"/>
      <c r="H73" s="57" t="s">
        <v>1192</v>
      </c>
      <c r="J73" s="533">
        <f>'Baseline Price'!Q34*parameters!C41</f>
        <v>2.2485298950000003</v>
      </c>
      <c r="K73" s="533">
        <f>'Adjusted price'!Q34*parameters!C41</f>
        <v>2.2485298950000003</v>
      </c>
      <c r="L73" s="526">
        <f t="shared" si="0"/>
        <v>0</v>
      </c>
      <c r="M73" s="533">
        <f>'Baseline Price'!AF34*parameters!C41</f>
        <v>3.1197360600000001</v>
      </c>
      <c r="N73" s="533">
        <f>'Adjusted price'!AF34*parameters!C41</f>
        <v>3.1197360600000001</v>
      </c>
      <c r="O73" s="214">
        <f t="shared" si="1"/>
        <v>0</v>
      </c>
    </row>
    <row r="74" spans="2:26" ht="14.1" customHeight="1">
      <c r="B74" s="207"/>
      <c r="C74" s="207" t="s">
        <v>552</v>
      </c>
      <c r="D74" s="207" t="s">
        <v>551</v>
      </c>
      <c r="E74" s="207" t="s">
        <v>551</v>
      </c>
      <c r="F74" s="207" t="s">
        <v>586</v>
      </c>
    </row>
    <row r="75" spans="2:26" s="291" customFormat="1" ht="14.1" customHeight="1">
      <c r="B75" s="208" t="s">
        <v>469</v>
      </c>
      <c r="C75" s="208" t="s">
        <v>590</v>
      </c>
      <c r="D75" s="208" t="s">
        <v>591</v>
      </c>
      <c r="E75" s="210" t="s">
        <v>593</v>
      </c>
      <c r="F75" s="208" t="s">
        <v>587</v>
      </c>
    </row>
    <row r="76" spans="2:26" s="291" customFormat="1" ht="14.1" customHeight="1">
      <c r="B76" s="194" t="s">
        <v>577</v>
      </c>
      <c r="C76" s="202"/>
      <c r="D76" s="198"/>
      <c r="E76" s="209">
        <f>1-D76</f>
        <v>1</v>
      </c>
      <c r="F76" s="205" t="str">
        <f>IF(AND(C76&gt;=parameters!$C$111,C76&lt;=parameters!$C$112,D76&gt;=0,D76&lt;=1),"o.k.","no")</f>
        <v>no</v>
      </c>
    </row>
    <row r="77" spans="2:26" s="291" customFormat="1" ht="14.1" customHeight="1">
      <c r="B77" s="194" t="s">
        <v>578</v>
      </c>
      <c r="C77" s="202"/>
      <c r="D77" s="198"/>
      <c r="E77" s="209">
        <f>1-D77</f>
        <v>1</v>
      </c>
      <c r="F77" s="205" t="str">
        <f>IF(AND(C77&gt;=parameters!$C$111,C77&lt;=parameters!$C$112,D77&gt;=0,D77&lt;=1),"o.k.","no")</f>
        <v>no</v>
      </c>
    </row>
    <row r="78" spans="2:26" s="301" customFormat="1" ht="14.1" customHeight="1"/>
    <row r="79" spans="2:26" s="301" customFormat="1" ht="14.1" customHeight="1">
      <c r="B79" s="351" t="s">
        <v>1052</v>
      </c>
      <c r="C79" s="302"/>
      <c r="D79" s="302"/>
      <c r="E79" s="302"/>
      <c r="F79" s="302"/>
    </row>
    <row r="80" spans="2:26" s="301" customFormat="1" ht="14.1" customHeight="1">
      <c r="B80" s="207"/>
      <c r="C80" s="207" t="s">
        <v>582</v>
      </c>
      <c r="D80" s="207"/>
      <c r="E80" s="207" t="s">
        <v>1057</v>
      </c>
      <c r="F80" s="207" t="s">
        <v>586</v>
      </c>
    </row>
    <row r="81" spans="2:15" s="301" customFormat="1" ht="14.1" customHeight="1">
      <c r="B81" s="208"/>
      <c r="C81" s="208" t="s">
        <v>583</v>
      </c>
      <c r="D81" s="208" t="s">
        <v>572</v>
      </c>
      <c r="E81" s="208" t="s">
        <v>1055</v>
      </c>
      <c r="F81" s="208" t="s">
        <v>587</v>
      </c>
    </row>
    <row r="82" spans="2:15" s="301" customFormat="1" ht="14.1" customHeight="1">
      <c r="B82" s="194" t="s">
        <v>1056</v>
      </c>
      <c r="C82" s="202"/>
      <c r="D82" s="202"/>
      <c r="E82" s="198"/>
      <c r="F82" s="205" t="str">
        <f>IF(AND(C82&gt;0,D82-C82&gt;=parameters!$C$111,D82&lt;=parameters!$C$112,E82&gt;0,E82&lt;=1),"o.k.","no")</f>
        <v>no</v>
      </c>
    </row>
    <row r="83" spans="2:15" customFormat="1" ht="14.1" customHeight="1"/>
    <row r="84" spans="2:15" s="291" customFormat="1" ht="14.1" customHeight="1">
      <c r="B84" s="276" t="s">
        <v>279</v>
      </c>
      <c r="C84" s="47"/>
      <c r="D84" s="47"/>
      <c r="E84" s="47"/>
      <c r="F84" s="47"/>
      <c r="G84" s="47"/>
      <c r="H84" s="47"/>
      <c r="I84" s="47"/>
      <c r="J84" s="47"/>
      <c r="K84" s="47"/>
      <c r="L84" s="47"/>
      <c r="M84" s="47"/>
      <c r="N84" s="47"/>
      <c r="O84" s="47"/>
    </row>
    <row r="85" spans="2:15" ht="14.1" customHeight="1">
      <c r="B85" s="206" t="s">
        <v>1032</v>
      </c>
      <c r="C85" s="196"/>
      <c r="D85" s="196"/>
    </row>
    <row r="86" spans="2:15" ht="14.1" customHeight="1">
      <c r="B86" s="20" t="s">
        <v>1031</v>
      </c>
    </row>
    <row r="87" spans="2:15" ht="14.1" customHeight="1">
      <c r="B87" s="57" t="s">
        <v>1025</v>
      </c>
      <c r="C87" s="46"/>
      <c r="D87" s="46"/>
    </row>
    <row r="88" spans="2:15" ht="14.1" customHeight="1">
      <c r="B88" s="57" t="s">
        <v>1030</v>
      </c>
    </row>
    <row r="89" spans="2:15" ht="14.1" customHeight="1">
      <c r="B89" s="20" t="s">
        <v>1027</v>
      </c>
    </row>
    <row r="90" spans="2:15" ht="14.1" customHeight="1">
      <c r="B90" s="6" t="s">
        <v>1250</v>
      </c>
    </row>
    <row r="91" spans="2:15">
      <c r="B91" s="20" t="s">
        <v>1251</v>
      </c>
    </row>
    <row r="92" spans="2:15">
      <c r="B92" s="6" t="s">
        <v>1053</v>
      </c>
    </row>
    <row r="93" spans="2:15">
      <c r="B93" s="20" t="s">
        <v>1326</v>
      </c>
    </row>
  </sheetData>
  <mergeCells count="10">
    <mergeCell ref="F3:F4"/>
    <mergeCell ref="F28:F29"/>
    <mergeCell ref="H32:H33"/>
    <mergeCell ref="H55:H56"/>
    <mergeCell ref="H64:I65"/>
    <mergeCell ref="L45:M45"/>
    <mergeCell ref="L55:N55"/>
    <mergeCell ref="I55:K55"/>
    <mergeCell ref="J64:L64"/>
    <mergeCell ref="M64:O64"/>
  </mergeCells>
  <phoneticPr fontId="22"/>
  <conditionalFormatting sqref="D18">
    <cfRule type="containsText" dxfId="6" priority="10" operator="containsText" text="valid">
      <formula>NOT(ISERROR(SEARCH("valid",D18)))</formula>
    </cfRule>
  </conditionalFormatting>
  <conditionalFormatting sqref="F34:F48">
    <cfRule type="containsText" dxfId="5" priority="9" operator="containsText" text="o.k.">
      <formula>NOT(ISERROR(SEARCH("o.k.",F34)))</formula>
    </cfRule>
  </conditionalFormatting>
  <conditionalFormatting sqref="F76:F77">
    <cfRule type="containsText" dxfId="4" priority="6" operator="containsText" text="o.k.">
      <formula>NOT(ISERROR(SEARCH("o.k.",F76)))</formula>
    </cfRule>
  </conditionalFormatting>
  <conditionalFormatting sqref="F64:F65">
    <cfRule type="containsText" dxfId="3" priority="3" operator="containsText" text="o.k.">
      <formula>NOT(ISERROR(SEARCH("o.k.",F64)))</formula>
    </cfRule>
  </conditionalFormatting>
  <conditionalFormatting sqref="F53:F59">
    <cfRule type="containsText" dxfId="2" priority="4" operator="containsText" text="o.k.">
      <formula>NOT(ISERROR(SEARCH("o.k.",F53)))</formula>
    </cfRule>
  </conditionalFormatting>
  <conditionalFormatting sqref="F70:F71">
    <cfRule type="containsText" dxfId="1" priority="2" operator="containsText" text="o.k.">
      <formula>NOT(ISERROR(SEARCH("o.k.",F70)))</formula>
    </cfRule>
  </conditionalFormatting>
  <conditionalFormatting sqref="F82">
    <cfRule type="containsText" dxfId="0" priority="1" operator="containsText" text="o.k.">
      <formula>NOT(ISERROR(SEARCH("o.k.",F82)))</formula>
    </cfRule>
  </conditionalFormatting>
  <dataValidations count="6">
    <dataValidation type="whole" allowBlank="1" showErrorMessage="1" errorTitle="First Year" error="Carbon tax must take effect in or after 2014." sqref="D5">
      <formula1>2014</formula1>
      <formula2>2040</formula2>
    </dataValidation>
    <dataValidation type="list" allowBlank="1" showErrorMessage="1" errorTitle="Jet Fuel Exemption" error="Your value must be &quot;Yes&quot; or &quot;No&quot; (first letter capitalized)." sqref="D25">
      <formula1>"Yes,No"</formula1>
    </dataValidation>
    <dataValidation type="list" allowBlank="1" showErrorMessage="1" errorTitle="Marine Fuel Exemption" error="Your value must be &quot;Yes&quot; or &quot;No&quot; (first letter capitalized)." sqref="D26:D28">
      <formula1>"Yes,No"</formula1>
    </dataValidation>
    <dataValidation type="list" allowBlank="1" showErrorMessage="1" errorTitle="electric methodology" error="Choose either &quot;A&quot; or &quot;B&quot; electric methodology. See footnote (a) for explanation." sqref="D22">
      <formula1>"A,B,C"</formula1>
    </dataValidation>
    <dataValidation type="list" allowBlank="1" showInputMessage="1" showErrorMessage="1" sqref="C24">
      <formula1>lookupBoolean</formula1>
    </dataValidation>
    <dataValidation type="list" allowBlank="1" showErrorMessage="1" errorTitle="electric methodology" error="Choose either &quot;A&quot; or &quot;B&quot; electric methodology. See footnote (a) for explanation." sqref="D24">
      <formula1>lookupBoolean</formula1>
    </dataValidation>
  </dataValidations>
  <pageMargins left="0.25" right="0.25" top="0.5" bottom="0.5" header="0.3" footer="0.3"/>
  <pageSetup scale="9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AK48"/>
  <sheetViews>
    <sheetView workbookViewId="0">
      <pane xSplit="1" topLeftCell="L1" activePane="topRight" state="frozen"/>
      <selection pane="topRight"/>
    </sheetView>
  </sheetViews>
  <sheetFormatPr defaultColWidth="9.140625" defaultRowHeight="12.75"/>
  <cols>
    <col min="1" max="1" width="28.7109375" style="57" customWidth="1"/>
    <col min="2" max="16384" width="9.140625" style="57"/>
  </cols>
  <sheetData>
    <row r="1" spans="1:37" ht="27">
      <c r="A1" s="117" t="s">
        <v>353</v>
      </c>
    </row>
    <row r="2" spans="1:37" ht="15.75">
      <c r="A2" s="58" t="s">
        <v>383</v>
      </c>
      <c r="B2" s="69"/>
      <c r="C2" s="58"/>
      <c r="D2" s="58"/>
      <c r="E2" s="58"/>
      <c r="F2" s="58"/>
      <c r="G2" s="58"/>
      <c r="H2" s="58"/>
    </row>
    <row r="3" spans="1:37" ht="15.75">
      <c r="A3" s="58" t="s">
        <v>380</v>
      </c>
      <c r="C3" s="58" t="s">
        <v>1211</v>
      </c>
      <c r="D3" s="58"/>
      <c r="E3" s="58"/>
      <c r="F3" s="58"/>
      <c r="G3" s="58"/>
      <c r="H3" s="58"/>
    </row>
    <row r="5" spans="1:37" s="47" customFormat="1" ht="13.5">
      <c r="A5" s="59" t="str">
        <f>'Adjusted price'!A6</f>
        <v xml:space="preserve"> Sector and Source</v>
      </c>
      <c r="B5" s="59">
        <f>'Adjusted price'!B6</f>
        <v>2005</v>
      </c>
      <c r="C5" s="59">
        <f>'Adjusted price'!C6</f>
        <v>2006</v>
      </c>
      <c r="D5" s="59">
        <f>'Adjusted price'!D6</f>
        <v>2007</v>
      </c>
      <c r="E5" s="59">
        <f>'Adjusted price'!E6</f>
        <v>2008</v>
      </c>
      <c r="F5" s="59">
        <f>'Adjusted price'!F6</f>
        <v>2009</v>
      </c>
      <c r="G5" s="59">
        <f>'Adjusted price'!G6</f>
        <v>2010</v>
      </c>
      <c r="H5" s="59">
        <f>'Adjusted price'!H6</f>
        <v>2011</v>
      </c>
      <c r="I5" s="59">
        <f>'Adjusted price'!I6</f>
        <v>2012</v>
      </c>
      <c r="J5" s="59">
        <f>'Adjusted price'!J6</f>
        <v>2013</v>
      </c>
      <c r="K5" s="59">
        <f>'Adjusted price'!K6</f>
        <v>2014</v>
      </c>
      <c r="L5" s="59">
        <f>'Adjusted price'!L6</f>
        <v>2015</v>
      </c>
      <c r="M5" s="59">
        <f>'Adjusted price'!M6</f>
        <v>2016</v>
      </c>
      <c r="N5" s="59">
        <f>'Adjusted price'!N6</f>
        <v>2017</v>
      </c>
      <c r="O5" s="59">
        <f>'Adjusted price'!O6</f>
        <v>2018</v>
      </c>
      <c r="P5" s="59">
        <f>'Adjusted price'!P6</f>
        <v>2019</v>
      </c>
      <c r="Q5" s="59">
        <f>'Adjusted price'!Q6</f>
        <v>2020</v>
      </c>
      <c r="R5" s="59">
        <f>'Adjusted price'!R6</f>
        <v>2021</v>
      </c>
      <c r="S5" s="59">
        <f>'Adjusted price'!S6</f>
        <v>2022</v>
      </c>
      <c r="T5" s="59">
        <f>'Adjusted price'!T6</f>
        <v>2023</v>
      </c>
      <c r="U5" s="59">
        <f>'Adjusted price'!U6</f>
        <v>2024</v>
      </c>
      <c r="V5" s="59">
        <f>'Adjusted price'!V6</f>
        <v>2025</v>
      </c>
      <c r="W5" s="59">
        <f>'Adjusted price'!W6</f>
        <v>2026</v>
      </c>
      <c r="X5" s="59">
        <f>'Adjusted price'!X6</f>
        <v>2027</v>
      </c>
      <c r="Y5" s="59">
        <f>'Adjusted price'!Y6</f>
        <v>2028</v>
      </c>
      <c r="Z5" s="59">
        <f>'Adjusted price'!Z6</f>
        <v>2029</v>
      </c>
      <c r="AA5" s="59">
        <f>'Adjusted price'!AA6</f>
        <v>2030</v>
      </c>
      <c r="AB5" s="59">
        <f>'Adjusted price'!AB6</f>
        <v>2031</v>
      </c>
      <c r="AC5" s="59">
        <f>'Adjusted price'!AC6</f>
        <v>2032</v>
      </c>
      <c r="AD5" s="59">
        <f>'Adjusted price'!AD6</f>
        <v>2033</v>
      </c>
      <c r="AE5" s="59">
        <f>'Adjusted price'!AE6</f>
        <v>2034</v>
      </c>
      <c r="AF5" s="59">
        <f>'Adjusted price'!AF6</f>
        <v>2035</v>
      </c>
      <c r="AG5" s="59">
        <f>'Adjusted price'!AG6</f>
        <v>2036</v>
      </c>
      <c r="AH5" s="59">
        <f>'Adjusted price'!AH6</f>
        <v>2037</v>
      </c>
      <c r="AI5" s="59">
        <f>'Adjusted price'!AI6</f>
        <v>2038</v>
      </c>
      <c r="AJ5" s="59">
        <f>'Adjusted price'!AJ6</f>
        <v>2039</v>
      </c>
      <c r="AK5" s="59">
        <f>'Adjusted price'!AK6</f>
        <v>2040</v>
      </c>
    </row>
    <row r="6" spans="1:37">
      <c r="A6" s="57" t="str">
        <f>'Adjusted price'!A7</f>
        <v xml:space="preserve"> Residential</v>
      </c>
    </row>
    <row r="7" spans="1:37">
      <c r="A7" s="57" t="str">
        <f>'Adjusted price'!A8</f>
        <v xml:space="preserve">   Liquefied Petroleum Gases</v>
      </c>
      <c r="K7" s="66">
        <f>'Adjusted price'!K8*'Adjusted Consumption'!K8</f>
        <v>0.15855154586752535</v>
      </c>
      <c r="L7" s="66">
        <f>'Adjusted price'!L8*'Adjusted Consumption'!L8</f>
        <v>0.13270733973197674</v>
      </c>
      <c r="M7" s="66">
        <f>'Adjusted price'!M8*'Adjusted Consumption'!M8</f>
        <v>0.13185780817982887</v>
      </c>
      <c r="N7" s="66">
        <f>'Adjusted price'!N8*'Adjusted Consumption'!N8</f>
        <v>0.15626654487708258</v>
      </c>
      <c r="O7" s="66">
        <f>'Adjusted price'!O8*'Adjusted Consumption'!O8</f>
        <v>0.13755753541345561</v>
      </c>
      <c r="P7" s="66">
        <f>'Adjusted price'!P8*'Adjusted Consumption'!P8</f>
        <v>0.13460410030524153</v>
      </c>
      <c r="Q7" s="66">
        <f>'Adjusted price'!Q8*'Adjusted Consumption'!Q8</f>
        <v>0.145594323746949</v>
      </c>
      <c r="R7" s="66">
        <f>'Adjusted price'!R8*'Adjusted Consumption'!R8</f>
        <v>0.14671193442959757</v>
      </c>
      <c r="S7" s="66">
        <f>'Adjusted price'!S8*'Adjusted Consumption'!S8</f>
        <v>0.14763038854128385</v>
      </c>
      <c r="T7" s="66">
        <f>'Adjusted price'!T8*'Adjusted Consumption'!T8</f>
        <v>0.14839738608453584</v>
      </c>
      <c r="U7" s="66">
        <f>'Adjusted price'!U8*'Adjusted Consumption'!U8</f>
        <v>0.16443845345971458</v>
      </c>
      <c r="V7" s="66">
        <f>'Adjusted price'!V8*'Adjusted Consumption'!V8</f>
        <v>0.16388524849293692</v>
      </c>
      <c r="W7" s="66">
        <f>'Adjusted price'!W8*'Adjusted Consumption'!W8</f>
        <v>0.1633264396359323</v>
      </c>
      <c r="X7" s="66">
        <f>'Adjusted price'!X8*'Adjusted Consumption'!X8</f>
        <v>0.16270077536931743</v>
      </c>
      <c r="Y7" s="66">
        <f>'Adjusted price'!Y8*'Adjusted Consumption'!Y8</f>
        <v>0.16231404642858765</v>
      </c>
      <c r="Z7" s="66">
        <f>'Adjusted price'!Z8*'Adjusted Consumption'!Z8</f>
        <v>0.16511973883702249</v>
      </c>
      <c r="AA7" s="66">
        <f>'Adjusted price'!AA8*'Adjusted Consumption'!AA8</f>
        <v>0.15612394233839405</v>
      </c>
      <c r="AB7" s="66">
        <f>'Adjusted price'!AB8*'Adjusted Consumption'!AB8</f>
        <v>0.15633213200721527</v>
      </c>
      <c r="AC7" s="66">
        <f>'Adjusted price'!AC8*'Adjusted Consumption'!AC8</f>
        <v>0.15684083903228263</v>
      </c>
      <c r="AD7" s="66">
        <f>'Adjusted price'!AD8*'Adjusted Consumption'!AD8</f>
        <v>0.15712840116774759</v>
      </c>
      <c r="AE7" s="66">
        <f>'Adjusted price'!AE8*'Adjusted Consumption'!AE8</f>
        <v>0.15710948053119472</v>
      </c>
      <c r="AF7" s="66">
        <f>'Adjusted price'!AF8*'Adjusted Consumption'!AF8</f>
        <v>0.15748157137521993</v>
      </c>
      <c r="AG7" s="66">
        <f>'Adjusted price'!AG8*'Adjusted Consumption'!AG8</f>
        <v>0.15787826936497656</v>
      </c>
      <c r="AH7" s="66">
        <f>'Adjusted price'!AH8*'Adjusted Consumption'!AH8</f>
        <v>0.15743614278471493</v>
      </c>
      <c r="AI7" s="66">
        <f>'Adjusted price'!AI8*'Adjusted Consumption'!AI8</f>
        <v>0.15856485175347315</v>
      </c>
      <c r="AJ7" s="66">
        <f>'Adjusted price'!AJ8*'Adjusted Consumption'!AJ8</f>
        <v>0.15844574846648318</v>
      </c>
      <c r="AK7" s="66">
        <f>'Adjusted price'!AK8*'Adjusted Consumption'!AK8</f>
        <v>0.15824890379172218</v>
      </c>
    </row>
    <row r="8" spans="1:37">
      <c r="A8" s="57" t="str">
        <f>'Adjusted price'!A9</f>
        <v xml:space="preserve">   Distillate Fuel Oil</v>
      </c>
      <c r="K8" s="66">
        <f>'Adjusted price'!K9*'Adjusted Consumption'!K10</f>
        <v>9.7546875638584329E-2</v>
      </c>
      <c r="L8" s="66">
        <f>'Adjusted price'!L9*'Adjusted Consumption'!L10</f>
        <v>7.2314017001715844E-2</v>
      </c>
      <c r="M8" s="66">
        <f>'Adjusted price'!M9*'Adjusted Consumption'!M10</f>
        <v>5.2937913026325042E-2</v>
      </c>
      <c r="N8" s="66">
        <f>'Adjusted price'!N9*'Adjusted Consumption'!N10</f>
        <v>6.7471984095410581E-2</v>
      </c>
      <c r="O8" s="66">
        <f>'Adjusted price'!O9*'Adjusted Consumption'!O10</f>
        <v>7.5857578572736561E-2</v>
      </c>
      <c r="P8" s="66">
        <f>'Adjusted price'!P9*'Adjusted Consumption'!P10</f>
        <v>7.4149806606253768E-2</v>
      </c>
      <c r="Q8" s="66">
        <f>'Adjusted price'!Q9*'Adjusted Consumption'!Q10</f>
        <v>8.7790920029560182E-2</v>
      </c>
      <c r="R8" s="66">
        <f>'Adjusted price'!R9*'Adjusted Consumption'!R10</f>
        <v>9.0970151419500989E-2</v>
      </c>
      <c r="S8" s="66">
        <f>'Adjusted price'!S9*'Adjusted Consumption'!S10</f>
        <v>9.1147572497817186E-2</v>
      </c>
      <c r="T8" s="66">
        <f>'Adjusted price'!T9*'Adjusted Consumption'!T10</f>
        <v>9.1188840490550094E-2</v>
      </c>
      <c r="U8" s="66">
        <f>'Adjusted price'!U9*'Adjusted Consumption'!U10</f>
        <v>9.0665399526831586E-2</v>
      </c>
      <c r="V8" s="66">
        <f>'Adjusted price'!V9*'Adjusted Consumption'!V10</f>
        <v>8.9500211083381201E-2</v>
      </c>
      <c r="W8" s="66">
        <f>'Adjusted price'!W9*'Adjusted Consumption'!W10</f>
        <v>8.8530877289690418E-2</v>
      </c>
      <c r="X8" s="66">
        <f>'Adjusted price'!X9*'Adjusted Consumption'!X10</f>
        <v>8.7674481729761403E-2</v>
      </c>
      <c r="Y8" s="66">
        <f>'Adjusted price'!Y9*'Adjusted Consumption'!Y10</f>
        <v>8.6921558218603243E-2</v>
      </c>
      <c r="Z8" s="66">
        <f>'Adjusted price'!Z9*'Adjusted Consumption'!Z10</f>
        <v>8.6195612124544435E-2</v>
      </c>
      <c r="AA8" s="66">
        <f>'Adjusted price'!AA9*'Adjusted Consumption'!AA10</f>
        <v>8.0551448436715828E-2</v>
      </c>
      <c r="AB8" s="66">
        <f>'Adjusted price'!AB9*'Adjusted Consumption'!AB10</f>
        <v>8.0127733330047704E-2</v>
      </c>
      <c r="AC8" s="66">
        <f>'Adjusted price'!AC9*'Adjusted Consumption'!AC10</f>
        <v>7.9183115346675784E-2</v>
      </c>
      <c r="AD8" s="66">
        <f>'Adjusted price'!AD9*'Adjusted Consumption'!AD10</f>
        <v>7.8581106339147277E-2</v>
      </c>
      <c r="AE8" s="66">
        <f>'Adjusted price'!AE9*'Adjusted Consumption'!AE10</f>
        <v>7.7852684610231052E-2</v>
      </c>
      <c r="AF8" s="66">
        <f>'Adjusted price'!AF9*'Adjusted Consumption'!AF10</f>
        <v>7.6835308501617447E-2</v>
      </c>
      <c r="AG8" s="66">
        <f>'Adjusted price'!AG9*'Adjusted Consumption'!AG10</f>
        <v>7.5880706717836408E-2</v>
      </c>
      <c r="AH8" s="66">
        <f>'Adjusted price'!AH9*'Adjusted Consumption'!AH10</f>
        <v>7.5847328323515525E-2</v>
      </c>
      <c r="AI8" s="66">
        <f>'Adjusted price'!AI9*'Adjusted Consumption'!AI10</f>
        <v>7.4939113126259296E-2</v>
      </c>
      <c r="AJ8" s="66">
        <f>'Adjusted price'!AJ9*'Adjusted Consumption'!AJ10</f>
        <v>7.4273637756779601E-2</v>
      </c>
      <c r="AK8" s="66">
        <f>'Adjusted price'!AK9*'Adjusted Consumption'!AK10</f>
        <v>7.3607294857944622E-2</v>
      </c>
    </row>
    <row r="9" spans="1:37">
      <c r="A9" s="57" t="str">
        <f>'Adjusted price'!A10</f>
        <v xml:space="preserve">   Natural Gas</v>
      </c>
      <c r="K9" s="66">
        <f>'Adjusted price'!K10*'Adjusted Consumption'!K11</f>
        <v>0.81348062232083784</v>
      </c>
      <c r="L9" s="66">
        <f>'Adjusted price'!L10*'Adjusted Consumption'!L11</f>
        <v>0.83930102891221459</v>
      </c>
      <c r="M9" s="66">
        <f>'Adjusted price'!M10*'Adjusted Consumption'!M11</f>
        <v>0.93073806023067207</v>
      </c>
      <c r="N9" s="66">
        <f>'Adjusted price'!N10*'Adjusted Consumption'!N11</f>
        <v>0.95362334267858917</v>
      </c>
      <c r="O9" s="66">
        <f>'Adjusted price'!O10*'Adjusted Consumption'!O11</f>
        <v>1.0211841046806227</v>
      </c>
      <c r="P9" s="66">
        <f>'Adjusted price'!P10*'Adjusted Consumption'!P11</f>
        <v>1.0105938988515177</v>
      </c>
      <c r="Q9" s="66">
        <f>'Adjusted price'!Q10*'Adjusted Consumption'!Q11</f>
        <v>1.0716654066600544</v>
      </c>
      <c r="R9" s="66">
        <f>'Adjusted price'!R10*'Adjusted Consumption'!R11</f>
        <v>1.058611104622289</v>
      </c>
      <c r="S9" s="66">
        <f>'Adjusted price'!S10*'Adjusted Consumption'!S11</f>
        <v>1.0452372415450799</v>
      </c>
      <c r="T9" s="66">
        <f>'Adjusted price'!T10*'Adjusted Consumption'!T11</f>
        <v>1.0407474129599541</v>
      </c>
      <c r="U9" s="66">
        <f>'Adjusted price'!U10*'Adjusted Consumption'!U11</f>
        <v>1.2338074172676448</v>
      </c>
      <c r="V9" s="66">
        <f>'Adjusted price'!V10*'Adjusted Consumption'!V11</f>
        <v>1.2533253227452017</v>
      </c>
      <c r="W9" s="66">
        <f>'Adjusted price'!W10*'Adjusted Consumption'!W11</f>
        <v>1.2637527203449994</v>
      </c>
      <c r="X9" s="66">
        <f>'Adjusted price'!X10*'Adjusted Consumption'!X11</f>
        <v>1.2748645471763715</v>
      </c>
      <c r="Y9" s="66">
        <f>'Adjusted price'!Y10*'Adjusted Consumption'!Y11</f>
        <v>1.2807905461857556</v>
      </c>
      <c r="Z9" s="66">
        <f>'Adjusted price'!Z10*'Adjusted Consumption'!Z11</f>
        <v>1.317945392931126</v>
      </c>
      <c r="AA9" s="66">
        <f>'Adjusted price'!AA10*'Adjusted Consumption'!AA11</f>
        <v>1.2263315358265299</v>
      </c>
      <c r="AB9" s="66">
        <f>'Adjusted price'!AB10*'Adjusted Consumption'!AB11</f>
        <v>1.2308370038300225</v>
      </c>
      <c r="AC9" s="66">
        <f>'Adjusted price'!AC10*'Adjusted Consumption'!AC11</f>
        <v>1.2359762099551805</v>
      </c>
      <c r="AD9" s="66">
        <f>'Adjusted price'!AD10*'Adjusted Consumption'!AD11</f>
        <v>1.2404026003236308</v>
      </c>
      <c r="AE9" s="66">
        <f>'Adjusted price'!AE10*'Adjusted Consumption'!AE11</f>
        <v>1.245779640498166</v>
      </c>
      <c r="AF9" s="66">
        <f>'Adjusted price'!AF10*'Adjusted Consumption'!AF11</f>
        <v>1.250191104111164</v>
      </c>
      <c r="AG9" s="66">
        <f>'Adjusted price'!AG10*'Adjusted Consumption'!AG11</f>
        <v>1.2600261884367072</v>
      </c>
      <c r="AH9" s="66">
        <f>'Adjusted price'!AH10*'Adjusted Consumption'!AH11</f>
        <v>1.2653115832320601</v>
      </c>
      <c r="AI9" s="66">
        <f>'Adjusted price'!AI10*'Adjusted Consumption'!AI11</f>
        <v>1.2712760653862034</v>
      </c>
      <c r="AJ9" s="66">
        <f>'Adjusted price'!AJ10*'Adjusted Consumption'!AJ11</f>
        <v>1.2773227293739466</v>
      </c>
      <c r="AK9" s="66">
        <f>'Adjusted price'!AK10*'Adjusted Consumption'!AK11</f>
        <v>1.2831459921799513</v>
      </c>
    </row>
    <row r="10" spans="1:37">
      <c r="A10" s="57" t="str">
        <f>'Adjusted price'!A11</f>
        <v xml:space="preserve">   Electricity</v>
      </c>
      <c r="K10" s="66">
        <f>'Adjusted price'!K11*'Adjusted Consumption'!K13</f>
        <v>3.1161775975528743</v>
      </c>
      <c r="L10" s="66">
        <f>'Adjusted price'!L11*'Adjusted Consumption'!L13</f>
        <v>3.2444342892485585</v>
      </c>
      <c r="M10" s="66">
        <f>'Adjusted price'!M11*'Adjusted Consumption'!M13</f>
        <v>3.1968224563151879</v>
      </c>
      <c r="N10" s="66">
        <f>'Adjusted price'!N11*'Adjusted Consumption'!N13</f>
        <v>3.3894507608117794</v>
      </c>
      <c r="O10" s="66">
        <f>'Adjusted price'!O11*'Adjusted Consumption'!O13</f>
        <v>3.4531509848077908</v>
      </c>
      <c r="P10" s="66">
        <f>'Adjusted price'!P11*'Adjusted Consumption'!P13</f>
        <v>3.3793741263524186</v>
      </c>
      <c r="Q10" s="66">
        <f>'Adjusted price'!Q11*'Adjusted Consumption'!Q13</f>
        <v>3.3409287053190275</v>
      </c>
      <c r="R10" s="66">
        <f>'Adjusted price'!R11*'Adjusted Consumption'!R13</f>
        <v>3.3358570371488563</v>
      </c>
      <c r="S10" s="66">
        <f>'Adjusted price'!S11*'Adjusted Consumption'!S13</f>
        <v>3.3757638970078871</v>
      </c>
      <c r="T10" s="66">
        <f>'Adjusted price'!T11*'Adjusted Consumption'!T13</f>
        <v>3.4644424719169988</v>
      </c>
      <c r="U10" s="66">
        <f>'Adjusted price'!U11*'Adjusted Consumption'!U13</f>
        <v>3.4719811798077567</v>
      </c>
      <c r="V10" s="66">
        <f>'Adjusted price'!V11*'Adjusted Consumption'!V13</f>
        <v>3.5101246002818063</v>
      </c>
      <c r="W10" s="66">
        <f>'Adjusted price'!W11*'Adjusted Consumption'!W13</f>
        <v>3.5648084109450449</v>
      </c>
      <c r="X10" s="66">
        <f>'Adjusted price'!X11*'Adjusted Consumption'!X13</f>
        <v>3.5392031577743683</v>
      </c>
      <c r="Y10" s="66">
        <f>'Adjusted price'!Y11*'Adjusted Consumption'!Y13</f>
        <v>3.5102394111198874</v>
      </c>
      <c r="Z10" s="66">
        <f>'Adjusted price'!Z11*'Adjusted Consumption'!Z13</f>
        <v>3.5056107772286218</v>
      </c>
      <c r="AA10" s="66">
        <f>'Adjusted price'!AA11*'Adjusted Consumption'!AA13</f>
        <v>3.4897335760252393</v>
      </c>
      <c r="AB10" s="66">
        <f>'Adjusted price'!AB11*'Adjusted Consumption'!AB13</f>
        <v>3.5543400092752191</v>
      </c>
      <c r="AC10" s="66">
        <f>'Adjusted price'!AC11*'Adjusted Consumption'!AC13</f>
        <v>3.6005561990611619</v>
      </c>
      <c r="AD10" s="66">
        <f>'Adjusted price'!AD11*'Adjusted Consumption'!AD13</f>
        <v>3.6461264689320507</v>
      </c>
      <c r="AE10" s="66">
        <f>'Adjusted price'!AE11*'Adjusted Consumption'!AE13</f>
        <v>3.6936145543750341</v>
      </c>
      <c r="AF10" s="66">
        <f>'Adjusted price'!AF11*'Adjusted Consumption'!AF13</f>
        <v>3.7385683011248005</v>
      </c>
      <c r="AG10" s="66">
        <f>'Adjusted price'!AG11*'Adjusted Consumption'!AG13</f>
        <v>3.7711570570846433</v>
      </c>
      <c r="AH10" s="66">
        <f>'Adjusted price'!AH11*'Adjusted Consumption'!AH13</f>
        <v>3.8090774922501844</v>
      </c>
      <c r="AI10" s="66">
        <f>'Adjusted price'!AI11*'Adjusted Consumption'!AI13</f>
        <v>3.8449245202019044</v>
      </c>
      <c r="AJ10" s="66">
        <f>'Adjusted price'!AJ11*'Adjusted Consumption'!AJ13</f>
        <v>3.8753071968038695</v>
      </c>
      <c r="AK10" s="66">
        <f>'Adjusted price'!AK11*'Adjusted Consumption'!AK13</f>
        <v>3.9115308768742647</v>
      </c>
    </row>
    <row r="11" spans="1:37">
      <c r="A11" s="77" t="s">
        <v>4</v>
      </c>
      <c r="K11" s="85">
        <f>SUM(K7:K10)</f>
        <v>4.1857566413798217</v>
      </c>
      <c r="L11" s="85">
        <f t="shared" ref="L11:AK11" si="0">SUM(L7:L10)</f>
        <v>4.2887566748944659</v>
      </c>
      <c r="M11" s="85">
        <f t="shared" si="0"/>
        <v>4.3123562377520139</v>
      </c>
      <c r="N11" s="85">
        <f t="shared" si="0"/>
        <v>4.5668126324628613</v>
      </c>
      <c r="O11" s="85">
        <f t="shared" si="0"/>
        <v>4.6877502034746055</v>
      </c>
      <c r="P11" s="85">
        <f t="shared" si="0"/>
        <v>4.5987219321154313</v>
      </c>
      <c r="Q11" s="85">
        <f t="shared" si="0"/>
        <v>4.6459793557555908</v>
      </c>
      <c r="R11" s="85">
        <f t="shared" si="0"/>
        <v>4.6321502276202438</v>
      </c>
      <c r="S11" s="85">
        <f t="shared" si="0"/>
        <v>4.6597790995920683</v>
      </c>
      <c r="T11" s="85">
        <f t="shared" si="0"/>
        <v>4.7447761114520386</v>
      </c>
      <c r="U11" s="85">
        <f t="shared" si="0"/>
        <v>4.960892450061948</v>
      </c>
      <c r="V11" s="85">
        <f t="shared" si="0"/>
        <v>5.0168353826033263</v>
      </c>
      <c r="W11" s="85">
        <f t="shared" si="0"/>
        <v>5.0804184482156671</v>
      </c>
      <c r="X11" s="85">
        <f t="shared" si="0"/>
        <v>5.064442962049819</v>
      </c>
      <c r="Y11" s="85">
        <f t="shared" si="0"/>
        <v>5.0402655619528343</v>
      </c>
      <c r="Z11" s="85">
        <f t="shared" si="0"/>
        <v>5.0748715211213149</v>
      </c>
      <c r="AA11" s="85">
        <f t="shared" si="0"/>
        <v>4.9527405026268791</v>
      </c>
      <c r="AB11" s="85">
        <f t="shared" si="0"/>
        <v>5.0216368784425045</v>
      </c>
      <c r="AC11" s="85">
        <f t="shared" si="0"/>
        <v>5.072556363395301</v>
      </c>
      <c r="AD11" s="85">
        <f t="shared" si="0"/>
        <v>5.1222385767625767</v>
      </c>
      <c r="AE11" s="85">
        <f t="shared" si="0"/>
        <v>5.1743563600146256</v>
      </c>
      <c r="AF11" s="85">
        <f t="shared" si="0"/>
        <v>5.2230762851128016</v>
      </c>
      <c r="AG11" s="85">
        <f t="shared" si="0"/>
        <v>5.2649422216041639</v>
      </c>
      <c r="AH11" s="85">
        <f t="shared" si="0"/>
        <v>5.3076725465904744</v>
      </c>
      <c r="AI11" s="85">
        <f t="shared" si="0"/>
        <v>5.3497045504678402</v>
      </c>
      <c r="AJ11" s="85">
        <f t="shared" si="0"/>
        <v>5.3853493124010789</v>
      </c>
      <c r="AK11" s="85">
        <f t="shared" si="0"/>
        <v>5.4265330677038826</v>
      </c>
    </row>
    <row r="12" spans="1:37">
      <c r="A12" s="77"/>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row>
    <row r="13" spans="1:37">
      <c r="A13" s="57" t="str">
        <f>'Adjusted price'!A13</f>
        <v xml:space="preserve"> Commercial</v>
      </c>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row>
    <row r="14" spans="1:37">
      <c r="A14" s="57" t="str">
        <f>'Adjusted price'!A14</f>
        <v xml:space="preserve">   Liquefied Petroleum Gases</v>
      </c>
      <c r="K14" s="66">
        <f>'Adjusted price'!K14*'Adjusted Consumption'!K17</f>
        <v>6.807472007271527E-2</v>
      </c>
      <c r="L14" s="66">
        <f>'Adjusted price'!L14*'Adjusted Consumption'!L17</f>
        <v>4.9496997653524388E-2</v>
      </c>
      <c r="M14" s="66">
        <f>'Adjusted price'!M14*'Adjusted Consumption'!M17</f>
        <v>4.9428286355650275E-2</v>
      </c>
      <c r="N14" s="66">
        <f>'Adjusted price'!N14*'Adjusted Consumption'!N17</f>
        <v>5.332505354783254E-2</v>
      </c>
      <c r="O14" s="66">
        <f>'Adjusted price'!O14*'Adjusted Consumption'!O17</f>
        <v>4.9642032888680278E-2</v>
      </c>
      <c r="P14" s="66">
        <f>'Adjusted price'!P14*'Adjusted Consumption'!P17</f>
        <v>5.3098624026297218E-2</v>
      </c>
      <c r="Q14" s="66">
        <f>'Adjusted price'!Q14*'Adjusted Consumption'!Q17</f>
        <v>6.0679669081361874E-2</v>
      </c>
      <c r="R14" s="66">
        <f>'Adjusted price'!R14*'Adjusted Consumption'!R17</f>
        <v>6.5046764016053762E-2</v>
      </c>
      <c r="S14" s="66">
        <f>'Adjusted price'!S14*'Adjusted Consumption'!S17</f>
        <v>6.9458432639126003E-2</v>
      </c>
      <c r="T14" s="66">
        <f>'Adjusted price'!T14*'Adjusted Consumption'!T17</f>
        <v>7.1415172246174982E-2</v>
      </c>
      <c r="U14" s="66">
        <f>'Adjusted price'!U14*'Adjusted Consumption'!U17</f>
        <v>7.9929680878111697E-2</v>
      </c>
      <c r="V14" s="66">
        <f>'Adjusted price'!V14*'Adjusted Consumption'!V17</f>
        <v>8.1615593967874447E-2</v>
      </c>
      <c r="W14" s="66">
        <f>'Adjusted price'!W14*'Adjusted Consumption'!W17</f>
        <v>8.327466487030559E-2</v>
      </c>
      <c r="X14" s="66">
        <f>'Adjusted price'!X14*'Adjusted Consumption'!X17</f>
        <v>8.490593317893036E-2</v>
      </c>
      <c r="Y14" s="66">
        <f>'Adjusted price'!Y14*'Adjusted Consumption'!Y17</f>
        <v>8.6608618381607994E-2</v>
      </c>
      <c r="Z14" s="66">
        <f>'Adjusted price'!Z14*'Adjusted Consumption'!Z17</f>
        <v>8.9646468478404517E-2</v>
      </c>
      <c r="AA14" s="66">
        <f>'Adjusted price'!AA14*'Adjusted Consumption'!AA17</f>
        <v>8.5527445245083045E-2</v>
      </c>
      <c r="AB14" s="66">
        <f>'Adjusted price'!AB14*'Adjusted Consumption'!AB17</f>
        <v>8.7326564128119136E-2</v>
      </c>
      <c r="AC14" s="66">
        <f>'Adjusted price'!AC14*'Adjusted Consumption'!AC17</f>
        <v>8.9256571376818999E-2</v>
      </c>
      <c r="AD14" s="66">
        <f>'Adjusted price'!AD14*'Adjusted Consumption'!AD17</f>
        <v>9.1142840621458387E-2</v>
      </c>
      <c r="AE14" s="66">
        <f>'Adjusted price'!AE14*'Adjusted Consumption'!AE17</f>
        <v>9.2933014743524778E-2</v>
      </c>
      <c r="AF14" s="66">
        <f>'Adjusted price'!AF14*'Adjusted Consumption'!AF17</f>
        <v>9.4805595821217614E-2</v>
      </c>
      <c r="AG14" s="66">
        <f>'Adjusted price'!AG14*'Adjusted Consumption'!AG17</f>
        <v>9.6704325488701254E-2</v>
      </c>
      <c r="AH14" s="66">
        <f>'Adjusted price'!AH14*'Adjusted Consumption'!AH17</f>
        <v>9.8323218399349044E-2</v>
      </c>
      <c r="AI14" s="66">
        <f>'Adjusted price'!AI14*'Adjusted Consumption'!AI17</f>
        <v>0.10046561328231025</v>
      </c>
      <c r="AJ14" s="66">
        <f>'Adjusted price'!AJ14*'Adjusted Consumption'!AJ17</f>
        <v>0.10222903549303919</v>
      </c>
      <c r="AK14" s="66">
        <f>'Adjusted price'!AK14*'Adjusted Consumption'!AK17</f>
        <v>0.10395027028854156</v>
      </c>
    </row>
    <row r="15" spans="1:37">
      <c r="A15" s="57" t="str">
        <f>'Adjusted price'!A15</f>
        <v xml:space="preserve">   Distillate Fuel Oil</v>
      </c>
      <c r="K15" s="66">
        <f>'Adjusted price'!K15*'Adjusted Consumption'!K20</f>
        <v>0.18176817342349399</v>
      </c>
      <c r="L15" s="66">
        <f>'Adjusted price'!L15*'Adjusted Consumption'!L20</f>
        <v>0.11906643779645161</v>
      </c>
      <c r="M15" s="66">
        <f>'Adjusted price'!M15*'Adjusted Consumption'!M20</f>
        <v>0.10565517672315819</v>
      </c>
      <c r="N15" s="66">
        <f>'Adjusted price'!N15*'Adjusted Consumption'!N20</f>
        <v>0.12954824775337567</v>
      </c>
      <c r="O15" s="66">
        <f>'Adjusted price'!O15*'Adjusted Consumption'!O20</f>
        <v>0.1468314247562767</v>
      </c>
      <c r="P15" s="66">
        <f>'Adjusted price'!P15*'Adjusted Consumption'!P20</f>
        <v>0.14676336851253402</v>
      </c>
      <c r="Q15" s="66">
        <f>'Adjusted price'!Q15*'Adjusted Consumption'!Q20</f>
        <v>0.17468025827356234</v>
      </c>
      <c r="R15" s="66">
        <f>'Adjusted price'!R15*'Adjusted Consumption'!R20</f>
        <v>0.18249426716851741</v>
      </c>
      <c r="S15" s="66">
        <f>'Adjusted price'!S15*'Adjusted Consumption'!S20</f>
        <v>0.18506987639597255</v>
      </c>
      <c r="T15" s="66">
        <f>'Adjusted price'!T15*'Adjusted Consumption'!T20</f>
        <v>0.18725015348967544</v>
      </c>
      <c r="U15" s="66">
        <f>'Adjusted price'!U15*'Adjusted Consumption'!U20</f>
        <v>0.20453012380033253</v>
      </c>
      <c r="V15" s="66">
        <f>'Adjusted price'!V15*'Adjusted Consumption'!V20</f>
        <v>0.20568569734917094</v>
      </c>
      <c r="W15" s="66">
        <f>'Adjusted price'!W15*'Adjusted Consumption'!W20</f>
        <v>0.20645018616514563</v>
      </c>
      <c r="X15" s="66">
        <f>'Adjusted price'!X15*'Adjusted Consumption'!X20</f>
        <v>0.20798818373706823</v>
      </c>
      <c r="Y15" s="66">
        <f>'Adjusted price'!Y15*'Adjusted Consumption'!Y20</f>
        <v>0.20955738031062723</v>
      </c>
      <c r="Z15" s="66">
        <f>'Adjusted price'!Z15*'Adjusted Consumption'!Z20</f>
        <v>0.21322096803779464</v>
      </c>
      <c r="AA15" s="66">
        <f>'Adjusted price'!AA15*'Adjusted Consumption'!AA20</f>
        <v>0.20188881395250335</v>
      </c>
      <c r="AB15" s="66">
        <f>'Adjusted price'!AB15*'Adjusted Consumption'!AB20</f>
        <v>0.20359650772765961</v>
      </c>
      <c r="AC15" s="66">
        <f>'Adjusted price'!AC15*'Adjusted Consumption'!AC20</f>
        <v>0.20396505278153129</v>
      </c>
      <c r="AD15" s="66">
        <f>'Adjusted price'!AD15*'Adjusted Consumption'!AD20</f>
        <v>0.2052132099462009</v>
      </c>
      <c r="AE15" s="66">
        <f>'Adjusted price'!AE15*'Adjusted Consumption'!AE20</f>
        <v>0.20648456843646157</v>
      </c>
      <c r="AF15" s="66">
        <f>'Adjusted price'!AF15*'Adjusted Consumption'!AF20</f>
        <v>0.20676599301854126</v>
      </c>
      <c r="AG15" s="66">
        <f>'Adjusted price'!AG15*'Adjusted Consumption'!AG20</f>
        <v>0.20701591410334544</v>
      </c>
      <c r="AH15" s="66">
        <f>'Adjusted price'!AH15*'Adjusted Consumption'!AH20</f>
        <v>0.20957406365991701</v>
      </c>
      <c r="AI15" s="66">
        <f>'Adjusted price'!AI15*'Adjusted Consumption'!AI20</f>
        <v>0.20971905663568952</v>
      </c>
      <c r="AJ15" s="66">
        <f>'Adjusted price'!AJ15*'Adjusted Consumption'!AJ20</f>
        <v>0.21042138801176444</v>
      </c>
      <c r="AK15" s="66">
        <f>'Adjusted price'!AK15*'Adjusted Consumption'!AK20</f>
        <v>0.21111882949520833</v>
      </c>
    </row>
    <row r="16" spans="1:37">
      <c r="A16" s="57" t="str">
        <f>'Adjusted price'!A16</f>
        <v xml:space="preserve">   Residual Fuel</v>
      </c>
      <c r="K16" s="66">
        <f>'Adjusted price'!K16*'Adjusted Consumption'!K21</f>
        <v>1.3202080195509673E-4</v>
      </c>
      <c r="L16" s="66">
        <f>'Adjusted price'!L16*'Adjusted Consumption'!L21</f>
        <v>2.3013899285262408E-5</v>
      </c>
      <c r="M16" s="66">
        <f>'Adjusted price'!M16*'Adjusted Consumption'!M21</f>
        <v>0</v>
      </c>
      <c r="N16" s="66">
        <f>'Adjusted price'!N16*'Adjusted Consumption'!N21</f>
        <v>0</v>
      </c>
      <c r="O16" s="66">
        <f>'Adjusted price'!O16*'Adjusted Consumption'!O21</f>
        <v>0</v>
      </c>
      <c r="P16" s="66">
        <f>'Adjusted price'!P16*'Adjusted Consumption'!P21</f>
        <v>0</v>
      </c>
      <c r="Q16" s="66">
        <f>'Adjusted price'!Q16*'Adjusted Consumption'!Q21</f>
        <v>0</v>
      </c>
      <c r="R16" s="66">
        <f>'Adjusted price'!R16*'Adjusted Consumption'!R21</f>
        <v>0</v>
      </c>
      <c r="S16" s="66">
        <f>'Adjusted price'!S16*'Adjusted Consumption'!S21</f>
        <v>0</v>
      </c>
      <c r="T16" s="66">
        <f>'Adjusted price'!T16*'Adjusted Consumption'!T21</f>
        <v>0</v>
      </c>
      <c r="U16" s="66">
        <f>'Adjusted price'!U16*'Adjusted Consumption'!U21</f>
        <v>0</v>
      </c>
      <c r="V16" s="66">
        <f>'Adjusted price'!V16*'Adjusted Consumption'!V21</f>
        <v>0</v>
      </c>
      <c r="W16" s="66">
        <f>'Adjusted price'!W16*'Adjusted Consumption'!W21</f>
        <v>0</v>
      </c>
      <c r="X16" s="66">
        <f>'Adjusted price'!X16*'Adjusted Consumption'!X21</f>
        <v>0</v>
      </c>
      <c r="Y16" s="66">
        <f>'Adjusted price'!Y16*'Adjusted Consumption'!Y21</f>
        <v>0</v>
      </c>
      <c r="Z16" s="66">
        <f>'Adjusted price'!Z16*'Adjusted Consumption'!Z21</f>
        <v>0</v>
      </c>
      <c r="AA16" s="66">
        <f>'Adjusted price'!AA16*'Adjusted Consumption'!AA21</f>
        <v>0</v>
      </c>
      <c r="AB16" s="66">
        <f>'Adjusted price'!AB16*'Adjusted Consumption'!AB21</f>
        <v>0</v>
      </c>
      <c r="AC16" s="66">
        <f>'Adjusted price'!AC16*'Adjusted Consumption'!AC21</f>
        <v>0</v>
      </c>
      <c r="AD16" s="66">
        <f>'Adjusted price'!AD16*'Adjusted Consumption'!AD21</f>
        <v>0</v>
      </c>
      <c r="AE16" s="66">
        <f>'Adjusted price'!AE16*'Adjusted Consumption'!AE21</f>
        <v>0</v>
      </c>
      <c r="AF16" s="66">
        <f>'Adjusted price'!AF16*'Adjusted Consumption'!AF21</f>
        <v>0</v>
      </c>
      <c r="AG16" s="66">
        <f>'Adjusted price'!AG16*'Adjusted Consumption'!AG21</f>
        <v>0</v>
      </c>
      <c r="AH16" s="66">
        <f>'Adjusted price'!AH16*'Adjusted Consumption'!AH21</f>
        <v>0</v>
      </c>
      <c r="AI16" s="66">
        <f>'Adjusted price'!AI16*'Adjusted Consumption'!AI21</f>
        <v>0</v>
      </c>
      <c r="AJ16" s="66">
        <f>'Adjusted price'!AJ16*'Adjusted Consumption'!AJ21</f>
        <v>0</v>
      </c>
      <c r="AK16" s="66">
        <f>'Adjusted price'!AK16*'Adjusted Consumption'!AK21</f>
        <v>0</v>
      </c>
    </row>
    <row r="17" spans="1:37">
      <c r="A17" s="57" t="str">
        <f>'Adjusted price'!A17</f>
        <v xml:space="preserve">   Natural Gas</v>
      </c>
      <c r="K17" s="66">
        <f>'Adjusted price'!K17*'Adjusted Consumption'!K22</f>
        <v>0.52096687306201761</v>
      </c>
      <c r="L17" s="66">
        <f>'Adjusted price'!L17*'Adjusted Consumption'!L22</f>
        <v>0.47067617709958226</v>
      </c>
      <c r="M17" s="66">
        <f>'Adjusted price'!M17*'Adjusted Consumption'!M22</f>
        <v>0.49905394381130919</v>
      </c>
      <c r="N17" s="66">
        <f>'Adjusted price'!N17*'Adjusted Consumption'!N22</f>
        <v>0.50925778594591642</v>
      </c>
      <c r="O17" s="66">
        <f>'Adjusted price'!O17*'Adjusted Consumption'!O22</f>
        <v>0.51311996471886834</v>
      </c>
      <c r="P17" s="66">
        <f>'Adjusted price'!P17*'Adjusted Consumption'!P22</f>
        <v>0.52679366541543682</v>
      </c>
      <c r="Q17" s="66">
        <f>'Adjusted price'!Q17*'Adjusted Consumption'!Q22</f>
        <v>0.58606701757766277</v>
      </c>
      <c r="R17" s="66">
        <f>'Adjusted price'!R17*'Adjusted Consumption'!R22</f>
        <v>0.59501700869939078</v>
      </c>
      <c r="S17" s="66">
        <f>'Adjusted price'!S17*'Adjusted Consumption'!S22</f>
        <v>0.60406872256149213</v>
      </c>
      <c r="T17" s="66">
        <f>'Adjusted price'!T17*'Adjusted Consumption'!T22</f>
        <v>0.62041173700360952</v>
      </c>
      <c r="U17" s="66">
        <f>'Adjusted price'!U17*'Adjusted Consumption'!U22</f>
        <v>0.74476296639565021</v>
      </c>
      <c r="V17" s="66">
        <f>'Adjusted price'!V17*'Adjusted Consumption'!V22</f>
        <v>0.7579039256485175</v>
      </c>
      <c r="W17" s="66">
        <f>'Adjusted price'!W17*'Adjusted Consumption'!W22</f>
        <v>0.76690209574319612</v>
      </c>
      <c r="X17" s="66">
        <f>'Adjusted price'!X17*'Adjusted Consumption'!X22</f>
        <v>0.77772810954520599</v>
      </c>
      <c r="Y17" s="66">
        <f>'Adjusted price'!Y17*'Adjusted Consumption'!Y22</f>
        <v>0.7861363791476722</v>
      </c>
      <c r="Z17" s="66">
        <f>'Adjusted price'!Z17*'Adjusted Consumption'!Z22</f>
        <v>0.81534460505411332</v>
      </c>
      <c r="AA17" s="66">
        <f>'Adjusted price'!AA17*'Adjusted Consumption'!AA22</f>
        <v>0.75218145470901843</v>
      </c>
      <c r="AB17" s="66">
        <f>'Adjusted price'!AB17*'Adjusted Consumption'!AB22</f>
        <v>0.76039409949877701</v>
      </c>
      <c r="AC17" s="66">
        <f>'Adjusted price'!AC17*'Adjusted Consumption'!AC22</f>
        <v>0.76996138007437409</v>
      </c>
      <c r="AD17" s="66">
        <f>'Adjusted price'!AD17*'Adjusted Consumption'!AD22</f>
        <v>0.77937163543690235</v>
      </c>
      <c r="AE17" s="66">
        <f>'Adjusted price'!AE17*'Adjusted Consumption'!AE22</f>
        <v>0.7896645241021788</v>
      </c>
      <c r="AF17" s="66">
        <f>'Adjusted price'!AF17*'Adjusted Consumption'!AF22</f>
        <v>0.79935356370954824</v>
      </c>
      <c r="AG17" s="66">
        <f>'Adjusted price'!AG17*'Adjusted Consumption'!AG22</f>
        <v>0.81320827531998385</v>
      </c>
      <c r="AH17" s="66">
        <f>'Adjusted price'!AH17*'Adjusted Consumption'!AH22</f>
        <v>0.82395515911253026</v>
      </c>
      <c r="AI17" s="66">
        <f>'Adjusted price'!AI17*'Adjusted Consumption'!AI22</f>
        <v>0.83556817988581833</v>
      </c>
      <c r="AJ17" s="66">
        <f>'Adjusted price'!AJ17*'Adjusted Consumption'!AJ22</f>
        <v>0.84753939199853567</v>
      </c>
      <c r="AK17" s="66">
        <f>'Adjusted price'!AK17*'Adjusted Consumption'!AK22</f>
        <v>0.85955526058031639</v>
      </c>
    </row>
    <row r="18" spans="1:37">
      <c r="A18" s="57" t="str">
        <f>'Adjusted price'!A18</f>
        <v xml:space="preserve">   Electricity</v>
      </c>
      <c r="K18" s="66">
        <f>'Adjusted price'!K18*'Adjusted Consumption'!K25</f>
        <v>2.8679011902615752</v>
      </c>
      <c r="L18" s="66">
        <f>'Adjusted price'!L18*'Adjusted Consumption'!L25</f>
        <v>2.8061712913216019</v>
      </c>
      <c r="M18" s="66">
        <f>'Adjusted price'!M18*'Adjusted Consumption'!M25</f>
        <v>2.3697016601840524</v>
      </c>
      <c r="N18" s="66">
        <f>'Adjusted price'!N18*'Adjusted Consumption'!N25</f>
        <v>2.6561276540766516</v>
      </c>
      <c r="O18" s="66">
        <f>'Adjusted price'!O18*'Adjusted Consumption'!O25</f>
        <v>2.6370564054182095</v>
      </c>
      <c r="P18" s="66">
        <f>'Adjusted price'!P18*'Adjusted Consumption'!P25</f>
        <v>2.5348374267307499</v>
      </c>
      <c r="Q18" s="66">
        <f>'Adjusted price'!Q18*'Adjusted Consumption'!Q25</f>
        <v>2.5385425436108222</v>
      </c>
      <c r="R18" s="66">
        <f>'Adjusted price'!R18*'Adjusted Consumption'!R25</f>
        <v>2.5022346002708846</v>
      </c>
      <c r="S18" s="66">
        <f>'Adjusted price'!S18*'Adjusted Consumption'!S25</f>
        <v>2.5696282564068023</v>
      </c>
      <c r="T18" s="66">
        <f>'Adjusted price'!T18*'Adjusted Consumption'!T25</f>
        <v>2.5968720859421186</v>
      </c>
      <c r="U18" s="66">
        <f>'Adjusted price'!U18*'Adjusted Consumption'!U25</f>
        <v>2.57943898468704</v>
      </c>
      <c r="V18" s="66">
        <f>'Adjusted price'!V18*'Adjusted Consumption'!V25</f>
        <v>2.6394080915448526</v>
      </c>
      <c r="W18" s="66">
        <f>'Adjusted price'!W18*'Adjusted Consumption'!W25</f>
        <v>2.6472567217336938</v>
      </c>
      <c r="X18" s="66">
        <f>'Adjusted price'!X18*'Adjusted Consumption'!X25</f>
        <v>2.630343568014085</v>
      </c>
      <c r="Y18" s="66">
        <f>'Adjusted price'!Y18*'Adjusted Consumption'!Y25</f>
        <v>2.6248029183980326</v>
      </c>
      <c r="Z18" s="66">
        <f>'Adjusted price'!Z18*'Adjusted Consumption'!Z25</f>
        <v>2.6353957082851878</v>
      </c>
      <c r="AA18" s="66">
        <f>'Adjusted price'!AA18*'Adjusted Consumption'!AA25</f>
        <v>2.6337167810808801</v>
      </c>
      <c r="AB18" s="66">
        <f>'Adjusted price'!AB18*'Adjusted Consumption'!AB25</f>
        <v>2.6887661713686293</v>
      </c>
      <c r="AC18" s="66">
        <f>'Adjusted price'!AC18*'Adjusted Consumption'!AC25</f>
        <v>2.7293168143610975</v>
      </c>
      <c r="AD18" s="66">
        <f>'Adjusted price'!AD18*'Adjusted Consumption'!AD25</f>
        <v>2.7674171934203668</v>
      </c>
      <c r="AE18" s="66">
        <f>'Adjusted price'!AE18*'Adjusted Consumption'!AE25</f>
        <v>2.805350188541047</v>
      </c>
      <c r="AF18" s="66">
        <f>'Adjusted price'!AF18*'Adjusted Consumption'!AF25</f>
        <v>2.841829520612853</v>
      </c>
      <c r="AG18" s="66">
        <f>'Adjusted price'!AG18*'Adjusted Consumption'!AG25</f>
        <v>2.8695871816272218</v>
      </c>
      <c r="AH18" s="66">
        <f>'Adjusted price'!AH18*'Adjusted Consumption'!AH25</f>
        <v>2.8977724115302532</v>
      </c>
      <c r="AI18" s="66">
        <f>'Adjusted price'!AI18*'Adjusted Consumption'!AI25</f>
        <v>2.923989960521534</v>
      </c>
      <c r="AJ18" s="66">
        <f>'Adjusted price'!AJ18*'Adjusted Consumption'!AJ25</f>
        <v>2.9454654501530135</v>
      </c>
      <c r="AK18" s="66">
        <f>'Adjusted price'!AK18*'Adjusted Consumption'!AK25</f>
        <v>2.9666019180231902</v>
      </c>
    </row>
    <row r="19" spans="1:37">
      <c r="A19" s="77" t="s">
        <v>4</v>
      </c>
      <c r="K19" s="85">
        <f>SUM(K14:K18)</f>
        <v>3.6388429776217572</v>
      </c>
      <c r="L19" s="85">
        <f t="shared" ref="L19:AK19" si="1">SUM(L14:L18)</f>
        <v>3.4454339177704454</v>
      </c>
      <c r="M19" s="85">
        <f t="shared" si="1"/>
        <v>3.0238390670741699</v>
      </c>
      <c r="N19" s="85">
        <f t="shared" si="1"/>
        <v>3.3482587413237761</v>
      </c>
      <c r="O19" s="85">
        <f t="shared" si="1"/>
        <v>3.3466498277820347</v>
      </c>
      <c r="P19" s="85">
        <f t="shared" si="1"/>
        <v>3.2614930846850179</v>
      </c>
      <c r="Q19" s="85">
        <f t="shared" si="1"/>
        <v>3.3599694885434093</v>
      </c>
      <c r="R19" s="85">
        <f t="shared" si="1"/>
        <v>3.3447926401548465</v>
      </c>
      <c r="S19" s="85">
        <f t="shared" si="1"/>
        <v>3.428225288003393</v>
      </c>
      <c r="T19" s="85">
        <f t="shared" si="1"/>
        <v>3.4759491486815786</v>
      </c>
      <c r="U19" s="85">
        <f t="shared" si="1"/>
        <v>3.6086617557611342</v>
      </c>
      <c r="V19" s="85">
        <f t="shared" si="1"/>
        <v>3.6846133085104156</v>
      </c>
      <c r="W19" s="85">
        <f t="shared" si="1"/>
        <v>3.7038836685123409</v>
      </c>
      <c r="X19" s="85">
        <f t="shared" si="1"/>
        <v>3.7009657944752896</v>
      </c>
      <c r="Y19" s="85">
        <f t="shared" si="1"/>
        <v>3.7071052962379403</v>
      </c>
      <c r="Z19" s="85">
        <f t="shared" si="1"/>
        <v>3.7536077498555001</v>
      </c>
      <c r="AA19" s="85">
        <f t="shared" si="1"/>
        <v>3.6733144949874852</v>
      </c>
      <c r="AB19" s="85">
        <f t="shared" si="1"/>
        <v>3.7400833427231852</v>
      </c>
      <c r="AC19" s="85">
        <f t="shared" si="1"/>
        <v>3.7924998185938219</v>
      </c>
      <c r="AD19" s="85">
        <f t="shared" si="1"/>
        <v>3.8431448794249286</v>
      </c>
      <c r="AE19" s="85">
        <f t="shared" si="1"/>
        <v>3.8944322958232123</v>
      </c>
      <c r="AF19" s="85">
        <f t="shared" si="1"/>
        <v>3.9427546731621601</v>
      </c>
      <c r="AG19" s="85">
        <f t="shared" si="1"/>
        <v>3.9865156965392523</v>
      </c>
      <c r="AH19" s="85">
        <f t="shared" si="1"/>
        <v>4.0296248527020495</v>
      </c>
      <c r="AI19" s="85">
        <f t="shared" si="1"/>
        <v>4.0697428103253523</v>
      </c>
      <c r="AJ19" s="85">
        <f t="shared" si="1"/>
        <v>4.1056552656563525</v>
      </c>
      <c r="AK19" s="85">
        <f t="shared" si="1"/>
        <v>4.141226278387256</v>
      </c>
    </row>
    <row r="20" spans="1:37">
      <c r="A20" s="77"/>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row>
    <row r="21" spans="1:37">
      <c r="A21" s="57" t="str">
        <f>'Adjusted price'!A20</f>
        <v xml:space="preserve"> Industrial 1/</v>
      </c>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row>
    <row r="22" spans="1:37">
      <c r="A22" s="57" t="str">
        <f>'Adjusted price'!A21</f>
        <v xml:space="preserve">   Liquefied Petroleum Gases</v>
      </c>
      <c r="K22" s="66">
        <f>'Adjusted price'!K21*'Adjusted Consumption'!K29</f>
        <v>8.7526665436681514E-2</v>
      </c>
      <c r="L22" s="66">
        <f>'Adjusted price'!L21*'Adjusted Consumption'!L29</f>
        <v>6.5504671499961212E-2</v>
      </c>
      <c r="M22" s="66">
        <f>'Adjusted price'!M21*'Adjusted Consumption'!M29</f>
        <v>6.6815690079985002E-2</v>
      </c>
      <c r="N22" s="66">
        <f>'Adjusted price'!N21*'Adjusted Consumption'!N29</f>
        <v>7.2942268432074783E-2</v>
      </c>
      <c r="O22" s="66">
        <f>'Adjusted price'!O21*'Adjusted Consumption'!O29</f>
        <v>7.4553983632979395E-2</v>
      </c>
      <c r="P22" s="66">
        <f>'Adjusted price'!P21*'Adjusted Consumption'!P29</f>
        <v>7.4602915986376139E-2</v>
      </c>
      <c r="Q22" s="66">
        <f>'Adjusted price'!Q21*'Adjusted Consumption'!Q29</f>
        <v>9.004261362002626E-2</v>
      </c>
      <c r="R22" s="66">
        <f>'Adjusted price'!R21*'Adjusted Consumption'!R29</f>
        <v>9.573454455423569E-2</v>
      </c>
      <c r="S22" s="66">
        <f>'Adjusted price'!S21*'Adjusted Consumption'!S29</f>
        <v>0.10109718744494321</v>
      </c>
      <c r="T22" s="66">
        <f>'Adjusted price'!T21*'Adjusted Consumption'!T29</f>
        <v>0.10665145137208423</v>
      </c>
      <c r="U22" s="66">
        <f>'Adjusted price'!U21*'Adjusted Consumption'!U29</f>
        <v>0.11188303584155447</v>
      </c>
      <c r="V22" s="66">
        <f>'Adjusted price'!V21*'Adjusted Consumption'!V29</f>
        <v>0.1145242597578809</v>
      </c>
      <c r="W22" s="66">
        <f>'Adjusted price'!W21*'Adjusted Consumption'!W29</f>
        <v>0.11657618899502969</v>
      </c>
      <c r="X22" s="66">
        <f>'Adjusted price'!X21*'Adjusted Consumption'!X29</f>
        <v>0.11902622209231659</v>
      </c>
      <c r="Y22" s="66">
        <f>'Adjusted price'!Y21*'Adjusted Consumption'!Y29</f>
        <v>0.12236626252578471</v>
      </c>
      <c r="Z22" s="66">
        <f>'Adjusted price'!Z21*'Adjusted Consumption'!Z29</f>
        <v>0.12663197979255308</v>
      </c>
      <c r="AA22" s="66">
        <f>'Adjusted price'!AA21*'Adjusted Consumption'!AA29</f>
        <v>0.11975728938385911</v>
      </c>
      <c r="AB22" s="66">
        <f>'Adjusted price'!AB21*'Adjusted Consumption'!AB29</f>
        <v>0.12319931215035849</v>
      </c>
      <c r="AC22" s="66">
        <f>'Adjusted price'!AC21*'Adjusted Consumption'!AC29</f>
        <v>0.12658095810008535</v>
      </c>
      <c r="AD22" s="66">
        <f>'Adjusted price'!AD21*'Adjusted Consumption'!AD29</f>
        <v>0.13028674583481142</v>
      </c>
      <c r="AE22" s="66">
        <f>'Adjusted price'!AE21*'Adjusted Consumption'!AE29</f>
        <v>0.13258978505976735</v>
      </c>
      <c r="AF22" s="66">
        <f>'Adjusted price'!AF21*'Adjusted Consumption'!AF29</f>
        <v>0.13522416679690666</v>
      </c>
      <c r="AG22" s="66">
        <f>'Adjusted price'!AG21*'Adjusted Consumption'!AG29</f>
        <v>0.13824723320071372</v>
      </c>
      <c r="AH22" s="66">
        <f>'Adjusted price'!AH21*'Adjusted Consumption'!AH29</f>
        <v>0.1406460253269409</v>
      </c>
      <c r="AI22" s="66">
        <f>'Adjusted price'!AI21*'Adjusted Consumption'!AI29</f>
        <v>0.14621077392008358</v>
      </c>
      <c r="AJ22" s="66">
        <f>'Adjusted price'!AJ21*'Adjusted Consumption'!AJ29</f>
        <v>0.1484584217785305</v>
      </c>
      <c r="AK22" s="66">
        <f>'Adjusted price'!AK21*'Adjusted Consumption'!AK29</f>
        <v>0.15008342524692056</v>
      </c>
    </row>
    <row r="23" spans="1:37">
      <c r="A23" s="77" t="s">
        <v>336</v>
      </c>
      <c r="K23" s="66">
        <f>'Adjusted price'!K33*'Adjusted Consumption'!K18</f>
        <v>1.1157178474368892E-2</v>
      </c>
      <c r="L23" s="66">
        <f>'Adjusted price'!L33*'Adjusted Consumption'!L18</f>
        <v>1.1365761510702559E-2</v>
      </c>
      <c r="M23" s="66">
        <f>'Adjusted price'!M33*'Adjusted Consumption'!M18</f>
        <v>0.13773927176117043</v>
      </c>
      <c r="N23" s="66">
        <f>'Adjusted price'!N33*'Adjusted Consumption'!N18</f>
        <v>0.15333179157632931</v>
      </c>
      <c r="O23" s="66">
        <f>'Adjusted price'!O33*'Adjusted Consumption'!O18</f>
        <v>0.1674764512085983</v>
      </c>
      <c r="P23" s="66">
        <f>'Adjusted price'!P33*'Adjusted Consumption'!P18</f>
        <v>0.16042080031042724</v>
      </c>
      <c r="Q23" s="66">
        <f>'Adjusted price'!Q33*'Adjusted Consumption'!Q18</f>
        <v>0.16538650312651104</v>
      </c>
      <c r="R23" s="66">
        <f>'Adjusted price'!R33*'Adjusted Consumption'!R18</f>
        <v>0.15883126891566515</v>
      </c>
      <c r="S23" s="66">
        <f>'Adjusted price'!S33*'Adjusted Consumption'!S18</f>
        <v>0.14932321516285732</v>
      </c>
      <c r="T23" s="66">
        <f>'Adjusted price'!T33*'Adjusted Consumption'!T18</f>
        <v>0.15124196376327773</v>
      </c>
      <c r="U23" s="66">
        <f>'Adjusted price'!U33*'Adjusted Consumption'!U18</f>
        <v>0.16572422430419287</v>
      </c>
      <c r="V23" s="66">
        <f>'Adjusted price'!V33*'Adjusted Consumption'!V18</f>
        <v>0.16748234775407037</v>
      </c>
      <c r="W23" s="66">
        <f>'Adjusted price'!W33*'Adjusted Consumption'!W18</f>
        <v>0.16936910676762804</v>
      </c>
      <c r="X23" s="66">
        <f>'Adjusted price'!X33*'Adjusted Consumption'!X18</f>
        <v>0.17101718821508269</v>
      </c>
      <c r="Y23" s="66">
        <f>'Adjusted price'!Y33*'Adjusted Consumption'!Y18</f>
        <v>0.17303519467955603</v>
      </c>
      <c r="Z23" s="66">
        <f>'Adjusted price'!Z33*'Adjusted Consumption'!Z18</f>
        <v>0.17652196595112532</v>
      </c>
      <c r="AA23" s="66">
        <f>'Adjusted price'!AA33*'Adjusted Consumption'!AA18</f>
        <v>0.1678707592767226</v>
      </c>
      <c r="AB23" s="66">
        <f>'Adjusted price'!AB33*'Adjusted Consumption'!AB18</f>
        <v>0.16965645808047949</v>
      </c>
      <c r="AC23" s="66">
        <f>'Adjusted price'!AC33*'Adjusted Consumption'!AC18</f>
        <v>0.17087287468804044</v>
      </c>
      <c r="AD23" s="66">
        <f>'Adjusted price'!AD33*'Adjusted Consumption'!AD18</f>
        <v>0.17165412414184522</v>
      </c>
      <c r="AE23" s="66">
        <f>'Adjusted price'!AE33*'Adjusted Consumption'!AE18</f>
        <v>0.1727894356872669</v>
      </c>
      <c r="AF23" s="66">
        <f>'Adjusted price'!AF33*'Adjusted Consumption'!AF18</f>
        <v>0.17407721646831784</v>
      </c>
      <c r="AG23" s="66">
        <f>'Adjusted price'!AG33*'Adjusted Consumption'!AG18</f>
        <v>0.17493159459825244</v>
      </c>
      <c r="AH23" s="66">
        <f>'Adjusted price'!AH33*'Adjusted Consumption'!AH18</f>
        <v>0.17667029272546345</v>
      </c>
      <c r="AI23" s="66">
        <f>'Adjusted price'!AI33*'Adjusted Consumption'!AI18</f>
        <v>0.17780937624005128</v>
      </c>
      <c r="AJ23" s="66">
        <f>'Adjusted price'!AJ33*'Adjusted Consumption'!AJ18</f>
        <v>0.17924964093957696</v>
      </c>
      <c r="AK23" s="66">
        <f>'Adjusted price'!AK33*'Adjusted Consumption'!AK18</f>
        <v>0.1807890265628786</v>
      </c>
    </row>
    <row r="24" spans="1:37">
      <c r="A24" s="57" t="str">
        <f>'Adjusted price'!A22</f>
        <v xml:space="preserve">   Distillate Fuel Oil</v>
      </c>
      <c r="K24" s="66">
        <f>'Adjusted price'!K22*'Adjusted Consumption'!K31</f>
        <v>0.50198753548151642</v>
      </c>
      <c r="L24" s="66">
        <f>'Adjusted price'!L22*'Adjusted Consumption'!L31</f>
        <v>0.31824552016917634</v>
      </c>
      <c r="M24" s="66">
        <f>'Adjusted price'!M22*'Adjusted Consumption'!M31</f>
        <v>0.21939479354989913</v>
      </c>
      <c r="N24" s="66">
        <f>'Adjusted price'!N22*'Adjusted Consumption'!N31</f>
        <v>0.26086697538679265</v>
      </c>
      <c r="O24" s="66">
        <f>'Adjusted price'!O22*'Adjusted Consumption'!O31</f>
        <v>0.27785152806748886</v>
      </c>
      <c r="P24" s="66">
        <f>'Adjusted price'!P22*'Adjusted Consumption'!P31</f>
        <v>0.29432061461925885</v>
      </c>
      <c r="Q24" s="66">
        <f>'Adjusted price'!Q22*'Adjusted Consumption'!Q31</f>
        <v>0.36400555492531267</v>
      </c>
      <c r="R24" s="66">
        <f>'Adjusted price'!R22*'Adjusted Consumption'!R31</f>
        <v>0.39385456128372609</v>
      </c>
      <c r="S24" s="66">
        <f>'Adjusted price'!S22*'Adjusted Consumption'!S31</f>
        <v>0.40978933511694821</v>
      </c>
      <c r="T24" s="66">
        <f>'Adjusted price'!T22*'Adjusted Consumption'!T31</f>
        <v>0.42458765390218289</v>
      </c>
      <c r="U24" s="66">
        <f>'Adjusted price'!U22*'Adjusted Consumption'!U31</f>
        <v>0.43825573641679183</v>
      </c>
      <c r="V24" s="66">
        <f>'Adjusted price'!V22*'Adjusted Consumption'!V31</f>
        <v>0.44830395182406024</v>
      </c>
      <c r="W24" s="66">
        <f>'Adjusted price'!W22*'Adjusted Consumption'!W31</f>
        <v>0.45630284409887401</v>
      </c>
      <c r="X24" s="66">
        <f>'Adjusted price'!X22*'Adjusted Consumption'!X31</f>
        <v>0.46613758907365027</v>
      </c>
      <c r="Y24" s="66">
        <f>'Adjusted price'!Y22*'Adjusted Consumption'!Y31</f>
        <v>0.47696012695349427</v>
      </c>
      <c r="Z24" s="66">
        <f>'Adjusted price'!Z22*'Adjusted Consumption'!Z31</f>
        <v>0.48696453690060093</v>
      </c>
      <c r="AA24" s="66">
        <f>'Adjusted price'!AA22*'Adjusted Consumption'!AA31</f>
        <v>0.46961328739294805</v>
      </c>
      <c r="AB24" s="66">
        <f>'Adjusted price'!AB22*'Adjusted Consumption'!AB31</f>
        <v>0.4806131063715261</v>
      </c>
      <c r="AC24" s="66">
        <f>'Adjusted price'!AC22*'Adjusted Consumption'!AC31</f>
        <v>0.48704969193886782</v>
      </c>
      <c r="AD24" s="66">
        <f>'Adjusted price'!AD22*'Adjusted Consumption'!AD31</f>
        <v>0.49534466402623473</v>
      </c>
      <c r="AE24" s="66">
        <f>'Adjusted price'!AE22*'Adjusted Consumption'!AE31</f>
        <v>0.50555103750503572</v>
      </c>
      <c r="AF24" s="66">
        <f>'Adjusted price'!AF22*'Adjusted Consumption'!AF31</f>
        <v>0.51325572795142393</v>
      </c>
      <c r="AG24" s="66">
        <f>'Adjusted price'!AG22*'Adjusted Consumption'!AG31</f>
        <v>0.52065263421433383</v>
      </c>
      <c r="AH24" s="66">
        <f>'Adjusted price'!AH22*'Adjusted Consumption'!AH31</f>
        <v>0.53524759301818448</v>
      </c>
      <c r="AI24" s="66">
        <f>'Adjusted price'!AI22*'Adjusted Consumption'!AI31</f>
        <v>0.54390882398404738</v>
      </c>
      <c r="AJ24" s="66">
        <f>'Adjusted price'!AJ22*'Adjusted Consumption'!AJ31</f>
        <v>0.55322208966971953</v>
      </c>
      <c r="AK24" s="66">
        <f>'Adjusted price'!AK22*'Adjusted Consumption'!AK31</f>
        <v>0.5630646280399787</v>
      </c>
    </row>
    <row r="25" spans="1:37">
      <c r="A25" s="57" t="str">
        <f>'Adjusted price'!A23</f>
        <v xml:space="preserve">   Residual Fuel Oil</v>
      </c>
      <c r="K25" s="66">
        <f>'Adjusted price'!K23*'Adjusted Consumption'!K32</f>
        <v>5.6781688898970978E-3</v>
      </c>
      <c r="L25" s="66">
        <f>'Adjusted price'!L23*'Adjusted Consumption'!L32</f>
        <v>3.9950815010186703E-3</v>
      </c>
      <c r="M25" s="66">
        <f>'Adjusted price'!M23*'Adjusted Consumption'!M32</f>
        <v>3.1674160619322368E-3</v>
      </c>
      <c r="N25" s="66">
        <f>'Adjusted price'!N23*'Adjusted Consumption'!N32</f>
        <v>4.2757396502071726E-3</v>
      </c>
      <c r="O25" s="66">
        <f>'Adjusted price'!O23*'Adjusted Consumption'!O32</f>
        <v>4.1912236612328835E-3</v>
      </c>
      <c r="P25" s="66">
        <f>'Adjusted price'!P23*'Adjusted Consumption'!P32</f>
        <v>3.8949287198801678E-3</v>
      </c>
      <c r="Q25" s="66">
        <f>'Adjusted price'!Q23*'Adjusted Consumption'!Q32</f>
        <v>4.2853765107663767E-3</v>
      </c>
      <c r="R25" s="66">
        <f>'Adjusted price'!R23*'Adjusted Consumption'!R32</f>
        <v>4.2451925462743505E-3</v>
      </c>
      <c r="S25" s="66">
        <f>'Adjusted price'!S23*'Adjusted Consumption'!S32</f>
        <v>4.0231657001251137E-3</v>
      </c>
      <c r="T25" s="66">
        <f>'Adjusted price'!T23*'Adjusted Consumption'!T32</f>
        <v>3.786046827183271E-3</v>
      </c>
      <c r="U25" s="66">
        <f>'Adjusted price'!U23*'Adjusted Consumption'!U32</f>
        <v>3.7304833248583214E-3</v>
      </c>
      <c r="V25" s="66">
        <f>'Adjusted price'!V23*'Adjusted Consumption'!V32</f>
        <v>3.7019287382130304E-3</v>
      </c>
      <c r="W25" s="66">
        <f>'Adjusted price'!W23*'Adjusted Consumption'!W32</f>
        <v>3.7281412664397612E-3</v>
      </c>
      <c r="X25" s="66">
        <f>'Adjusted price'!X23*'Adjusted Consumption'!X32</f>
        <v>3.7571821372087916E-3</v>
      </c>
      <c r="Y25" s="66">
        <f>'Adjusted price'!Y23*'Adjusted Consumption'!Y32</f>
        <v>3.7635530584418609E-3</v>
      </c>
      <c r="Z25" s="66">
        <f>'Adjusted price'!Z23*'Adjusted Consumption'!Z32</f>
        <v>3.8941623030616435E-3</v>
      </c>
      <c r="AA25" s="66">
        <f>'Adjusted price'!AA23*'Adjusted Consumption'!AA32</f>
        <v>3.9873114606731154E-3</v>
      </c>
      <c r="AB25" s="66">
        <f>'Adjusted price'!AB23*'Adjusted Consumption'!AB32</f>
        <v>4.1111748201060894E-3</v>
      </c>
      <c r="AC25" s="66">
        <f>'Adjusted price'!AC23*'Adjusted Consumption'!AC32</f>
        <v>4.1846435264876764E-3</v>
      </c>
      <c r="AD25" s="66">
        <f>'Adjusted price'!AD23*'Adjusted Consumption'!AD32</f>
        <v>4.2755309758081474E-3</v>
      </c>
      <c r="AE25" s="66">
        <f>'Adjusted price'!AE23*'Adjusted Consumption'!AE32</f>
        <v>4.366568583286194E-3</v>
      </c>
      <c r="AF25" s="66">
        <f>'Adjusted price'!AF23*'Adjusted Consumption'!AF32</f>
        <v>4.4646490865741326E-3</v>
      </c>
      <c r="AG25" s="66">
        <f>'Adjusted price'!AG23*'Adjusted Consumption'!AG32</f>
        <v>4.5359382822545407E-3</v>
      </c>
      <c r="AH25" s="66">
        <f>'Adjusted price'!AH23*'Adjusted Consumption'!AH32</f>
        <v>4.697686346364454E-3</v>
      </c>
      <c r="AI25" s="66">
        <f>'Adjusted price'!AI23*'Adjusted Consumption'!AI32</f>
        <v>4.7797936608736857E-3</v>
      </c>
      <c r="AJ25" s="66">
        <f>'Adjusted price'!AJ23*'Adjusted Consumption'!AJ32</f>
        <v>4.8878050263994992E-3</v>
      </c>
      <c r="AK25" s="66">
        <f>'Adjusted price'!AK23*'Adjusted Consumption'!AK32</f>
        <v>4.9959681681305398E-3</v>
      </c>
    </row>
    <row r="26" spans="1:37">
      <c r="A26" s="77" t="s">
        <v>354</v>
      </c>
      <c r="K26" s="66">
        <f>'Adjusted price'!K23*'Adjusted Consumption'!K34</f>
        <v>0.93884121595494485</v>
      </c>
      <c r="L26" s="66">
        <f>'Adjusted price'!L23*'Adjusted Consumption'!L34</f>
        <v>0.775832217665825</v>
      </c>
      <c r="M26" s="66">
        <f>'Adjusted price'!M23*'Adjusted Consumption'!M34</f>
        <v>0.71188995621888751</v>
      </c>
      <c r="N26" s="66">
        <f>'Adjusted price'!N23*'Adjusted Consumption'!N34</f>
        <v>0.96741115339170469</v>
      </c>
      <c r="O26" s="66">
        <f>'Adjusted price'!O23*'Adjusted Consumption'!O34</f>
        <v>1.0093918611043073</v>
      </c>
      <c r="P26" s="66">
        <f>'Adjusted price'!P23*'Adjusted Consumption'!P34</f>
        <v>1.0304808448392329</v>
      </c>
      <c r="Q26" s="66">
        <f>'Adjusted price'!Q23*'Adjusted Consumption'!Q34</f>
        <v>1.207908837561116</v>
      </c>
      <c r="R26" s="66">
        <f>'Adjusted price'!R23*'Adjusted Consumption'!R34</f>
        <v>1.2287507118434553</v>
      </c>
      <c r="S26" s="66">
        <f>'Adjusted price'!S23*'Adjusted Consumption'!S34</f>
        <v>1.2042909788063183</v>
      </c>
      <c r="T26" s="66">
        <f>'Adjusted price'!T23*'Adjusted Consumption'!T34</f>
        <v>1.1697380920678921</v>
      </c>
      <c r="U26" s="66">
        <f>'Adjusted price'!U23*'Adjusted Consumption'!U34</f>
        <v>1.1860167693483441</v>
      </c>
      <c r="V26" s="66">
        <f>'Adjusted price'!V23*'Adjusted Consumption'!V34</f>
        <v>1.1942578780845661</v>
      </c>
      <c r="W26" s="66">
        <f>'Adjusted price'!W23*'Adjusted Consumption'!W34</f>
        <v>1.2142959340987782</v>
      </c>
      <c r="X26" s="66">
        <f>'Adjusted price'!X23*'Adjusted Consumption'!X34</f>
        <v>1.2480671379711685</v>
      </c>
      <c r="Y26" s="66">
        <f>'Adjusted price'!Y23*'Adjusted Consumption'!Y34</f>
        <v>1.2734997413847811</v>
      </c>
      <c r="Z26" s="66">
        <f>'Adjusted price'!Z23*'Adjusted Consumption'!Z34</f>
        <v>1.3133466535414546</v>
      </c>
      <c r="AA26" s="66">
        <f>'Adjusted price'!AA23*'Adjusted Consumption'!AA34</f>
        <v>1.3400437028094547</v>
      </c>
      <c r="AB26" s="66">
        <f>'Adjusted price'!AB23*'Adjusted Consumption'!AB34</f>
        <v>1.3939612757483308</v>
      </c>
      <c r="AC26" s="66">
        <f>'Adjusted price'!AC23*'Adjusted Consumption'!AC34</f>
        <v>1.4160382697293517</v>
      </c>
      <c r="AD26" s="66">
        <f>'Adjusted price'!AD23*'Adjusted Consumption'!AD34</f>
        <v>1.4487761630117175</v>
      </c>
      <c r="AE26" s="66">
        <f>'Adjusted price'!AE23*'Adjusted Consumption'!AE34</f>
        <v>1.4815008174580937</v>
      </c>
      <c r="AF26" s="66">
        <f>'Adjusted price'!AF23*'Adjusted Consumption'!AF34</f>
        <v>1.5209425378686092</v>
      </c>
      <c r="AG26" s="66">
        <f>'Adjusted price'!AG23*'Adjusted Consumption'!AG34</f>
        <v>1.541252867805013</v>
      </c>
      <c r="AH26" s="66">
        <f>'Adjusted price'!AH23*'Adjusted Consumption'!AH34</f>
        <v>1.5944964172679577</v>
      </c>
      <c r="AI26" s="66">
        <f>'Adjusted price'!AI23*'Adjusted Consumption'!AI34</f>
        <v>1.6265997603260005</v>
      </c>
      <c r="AJ26" s="66">
        <f>'Adjusted price'!AJ23*'Adjusted Consumption'!AJ34</f>
        <v>1.6625162471895409</v>
      </c>
      <c r="AK26" s="66">
        <f>'Adjusted price'!AK23*'Adjusted Consumption'!AK34</f>
        <v>1.6986921780429867</v>
      </c>
    </row>
    <row r="27" spans="1:37">
      <c r="A27" s="57" t="str">
        <f>'Adjusted price'!A24</f>
        <v xml:space="preserve">   Natural Gas 2/</v>
      </c>
      <c r="K27" s="66">
        <f>'Adjusted price'!K24*'Adjusted Consumption'!K38</f>
        <v>0.47899843803326453</v>
      </c>
      <c r="L27" s="66">
        <f>'Adjusted price'!L24*'Adjusted Consumption'!L38</f>
        <v>0.36665988865402072</v>
      </c>
      <c r="M27" s="66">
        <f>'Adjusted price'!M24*'Adjusted Consumption'!M38</f>
        <v>0.29498036555003182</v>
      </c>
      <c r="N27" s="66">
        <f>'Adjusted price'!N24*'Adjusted Consumption'!N38</f>
        <v>0.33651939065696146</v>
      </c>
      <c r="O27" s="66">
        <f>'Adjusted price'!O24*'Adjusted Consumption'!O38</f>
        <v>0.35341883956790471</v>
      </c>
      <c r="P27" s="66">
        <f>'Adjusted price'!P24*'Adjusted Consumption'!P38</f>
        <v>0.39046338289000382</v>
      </c>
      <c r="Q27" s="66">
        <f>'Adjusted price'!Q24*'Adjusted Consumption'!Q38</f>
        <v>0.47912288914892742</v>
      </c>
      <c r="R27" s="66">
        <f>'Adjusted price'!R24*'Adjusted Consumption'!R38</f>
        <v>0.49027520577814648</v>
      </c>
      <c r="S27" s="66">
        <f>'Adjusted price'!S24*'Adjusted Consumption'!S38</f>
        <v>0.5012928143979013</v>
      </c>
      <c r="T27" s="66">
        <f>'Adjusted price'!T24*'Adjusted Consumption'!T38</f>
        <v>0.51695856109258009</v>
      </c>
      <c r="U27" s="66">
        <f>'Adjusted price'!U24*'Adjusted Consumption'!U38</f>
        <v>0.52181287125786935</v>
      </c>
      <c r="V27" s="66">
        <f>'Adjusted price'!V24*'Adjusted Consumption'!V38</f>
        <v>0.53100473694084538</v>
      </c>
      <c r="W27" s="66">
        <f>'Adjusted price'!W24*'Adjusted Consumption'!W38</f>
        <v>0.53216363943649447</v>
      </c>
      <c r="X27" s="66">
        <f>'Adjusted price'!X24*'Adjusted Consumption'!X38</f>
        <v>0.5338090330480193</v>
      </c>
      <c r="Y27" s="66">
        <f>'Adjusted price'!Y24*'Adjusted Consumption'!Y38</f>
        <v>0.53149926800742653</v>
      </c>
      <c r="Z27" s="66">
        <f>'Adjusted price'!Z24*'Adjusted Consumption'!Z38</f>
        <v>0.53022153659373472</v>
      </c>
      <c r="AA27" s="66">
        <f>'Adjusted price'!AA24*'Adjusted Consumption'!AA38</f>
        <v>0.51874163524906425</v>
      </c>
      <c r="AB27" s="66">
        <f>'Adjusted price'!AB24*'Adjusted Consumption'!AB38</f>
        <v>0.52269181233178452</v>
      </c>
      <c r="AC27" s="66">
        <f>'Adjusted price'!AC24*'Adjusted Consumption'!AC38</f>
        <v>0.52993469600894416</v>
      </c>
      <c r="AD27" s="66">
        <f>'Adjusted price'!AD24*'Adjusted Consumption'!AD38</f>
        <v>0.53557304060760846</v>
      </c>
      <c r="AE27" s="66">
        <f>'Adjusted price'!AE24*'Adjusted Consumption'!AE38</f>
        <v>0.5434811162954396</v>
      </c>
      <c r="AF27" s="66">
        <f>'Adjusted price'!AF24*'Adjusted Consumption'!AF38</f>
        <v>0.54986561611496532</v>
      </c>
      <c r="AG27" s="66">
        <f>'Adjusted price'!AG24*'Adjusted Consumption'!AG38</f>
        <v>0.56355279430138316</v>
      </c>
      <c r="AH27" s="66">
        <f>'Adjusted price'!AH24*'Adjusted Consumption'!AH38</f>
        <v>0.57237551665009267</v>
      </c>
      <c r="AI27" s="66">
        <f>'Adjusted price'!AI24*'Adjusted Consumption'!AI38</f>
        <v>0.58551497020021959</v>
      </c>
      <c r="AJ27" s="66">
        <f>'Adjusted price'!AJ24*'Adjusted Consumption'!AJ38</f>
        <v>0.59704709994027205</v>
      </c>
      <c r="AK27" s="66">
        <f>'Adjusted price'!AK24*'Adjusted Consumption'!AK38</f>
        <v>0.60664019902059862</v>
      </c>
    </row>
    <row r="28" spans="1:37">
      <c r="A28" s="57" t="str">
        <f>'Adjusted price'!A25</f>
        <v xml:space="preserve">   Metallurgical Coal</v>
      </c>
      <c r="K28" s="66">
        <f>'Adjusted price'!K26*'Adjusted Consumption'!K40</f>
        <v>9.3081458157252446E-3</v>
      </c>
      <c r="L28" s="66">
        <f>'Adjusted price'!L26*'Adjusted Consumption'!L40</f>
        <v>9.7758906647643761E-3</v>
      </c>
      <c r="M28" s="66">
        <f>'Adjusted price'!M26*'Adjusted Consumption'!M40</f>
        <v>4.0808299951091073E-3</v>
      </c>
      <c r="N28" s="66">
        <f>'Adjusted price'!N26*'Adjusted Consumption'!N40</f>
        <v>3.7982669219202231E-3</v>
      </c>
      <c r="O28" s="66">
        <f>'Adjusted price'!O26*'Adjusted Consumption'!O40</f>
        <v>3.9881426812152206E-3</v>
      </c>
      <c r="P28" s="66">
        <f>'Adjusted price'!P26*'Adjusted Consumption'!P40</f>
        <v>4.1804472468451852E-3</v>
      </c>
      <c r="Q28" s="66">
        <f>'Adjusted price'!Q26*'Adjusted Consumption'!Q40</f>
        <v>5.7358490957264557E-3</v>
      </c>
      <c r="R28" s="66">
        <f>'Adjusted price'!R26*'Adjusted Consumption'!R40</f>
        <v>5.942408426674926E-3</v>
      </c>
      <c r="S28" s="66">
        <f>'Adjusted price'!S26*'Adjusted Consumption'!S40</f>
        <v>6.0752981322138595E-3</v>
      </c>
      <c r="T28" s="66">
        <f>'Adjusted price'!T26*'Adjusted Consumption'!T40</f>
        <v>6.1920699473340061E-3</v>
      </c>
      <c r="U28" s="66">
        <f>'Adjusted price'!U26*'Adjusted Consumption'!U40</f>
        <v>6.3226304271048429E-3</v>
      </c>
      <c r="V28" s="66">
        <f>'Adjusted price'!V26*'Adjusted Consumption'!V40</f>
        <v>6.3455458656268993E-3</v>
      </c>
      <c r="W28" s="66">
        <f>'Adjusted price'!W26*'Adjusted Consumption'!W40</f>
        <v>6.3080540755765047E-3</v>
      </c>
      <c r="X28" s="66">
        <f>'Adjusted price'!X26*'Adjusted Consumption'!X40</f>
        <v>6.2401318014873612E-3</v>
      </c>
      <c r="Y28" s="66">
        <f>'Adjusted price'!Y26*'Adjusted Consumption'!Y40</f>
        <v>6.1611764485961229E-3</v>
      </c>
      <c r="Z28" s="66">
        <f>'Adjusted price'!Z26*'Adjusted Consumption'!Z40</f>
        <v>5.9949200775911444E-3</v>
      </c>
      <c r="AA28" s="66">
        <f>'Adjusted price'!AA26*'Adjusted Consumption'!AA40</f>
        <v>4.5078810009447842E-3</v>
      </c>
      <c r="AB28" s="66">
        <f>'Adjusted price'!AB26*'Adjusted Consumption'!AB40</f>
        <v>4.4813427468239153E-3</v>
      </c>
      <c r="AC28" s="66">
        <f>'Adjusted price'!AC26*'Adjusted Consumption'!AC40</f>
        <v>4.4195991642146338E-3</v>
      </c>
      <c r="AD28" s="66">
        <f>'Adjusted price'!AD26*'Adjusted Consumption'!AD40</f>
        <v>4.3823634788696126E-3</v>
      </c>
      <c r="AE28" s="66">
        <f>'Adjusted price'!AE26*'Adjusted Consumption'!AE40</f>
        <v>4.3245814617703182E-3</v>
      </c>
      <c r="AF28" s="66">
        <f>'Adjusted price'!AF26*'Adjusted Consumption'!AF40</f>
        <v>4.2837448008250061E-3</v>
      </c>
      <c r="AG28" s="66">
        <f>'Adjusted price'!AG26*'Adjusted Consumption'!AG40</f>
        <v>4.2680329720571836E-3</v>
      </c>
      <c r="AH28" s="66">
        <f>'Adjusted price'!AH26*'Adjusted Consumption'!AH40</f>
        <v>4.2799605490884268E-3</v>
      </c>
      <c r="AI28" s="66">
        <f>'Adjusted price'!AI26*'Adjusted Consumption'!AI40</f>
        <v>4.2578534209793571E-3</v>
      </c>
      <c r="AJ28" s="66">
        <f>'Adjusted price'!AJ26*'Adjusted Consumption'!AJ40</f>
        <v>4.233054646175561E-3</v>
      </c>
      <c r="AK28" s="66">
        <f>'Adjusted price'!AK26*'Adjusted Consumption'!AK40</f>
        <v>4.2401185759506528E-3</v>
      </c>
    </row>
    <row r="29" spans="1:37">
      <c r="A29" s="57" t="str">
        <f>'Adjusted price'!A26</f>
        <v xml:space="preserve">   Other Industrial Coal</v>
      </c>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row>
    <row r="30" spans="1:37">
      <c r="A30" s="57" t="str">
        <f>'Adjusted price'!A27</f>
        <v xml:space="preserve">   Coal to Liquids</v>
      </c>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row>
    <row r="31" spans="1:37">
      <c r="A31" s="57" t="str">
        <f>'Adjusted price'!A28</f>
        <v xml:space="preserve">   Electricity</v>
      </c>
      <c r="K31" s="66">
        <f>'Adjusted price'!K28*'Adjusted Consumption'!K46</f>
        <v>1.3687071277522243</v>
      </c>
      <c r="L31" s="66">
        <f>'Adjusted price'!L28*'Adjusted Consumption'!L46</f>
        <v>1.37450827899363</v>
      </c>
      <c r="M31" s="66">
        <f>'Adjusted price'!M28*'Adjusted Consumption'!M46</f>
        <v>1.3187052025174533</v>
      </c>
      <c r="N31" s="66">
        <f>'Adjusted price'!N28*'Adjusted Consumption'!N46</f>
        <v>1.0503694103533345</v>
      </c>
      <c r="O31" s="66">
        <f>'Adjusted price'!O28*'Adjusted Consumption'!O46</f>
        <v>1.1045251059711541</v>
      </c>
      <c r="P31" s="66">
        <f>'Adjusted price'!P28*'Adjusted Consumption'!P46</f>
        <v>1.0251519908151077</v>
      </c>
      <c r="Q31" s="66">
        <f>'Adjusted price'!Q28*'Adjusted Consumption'!Q46</f>
        <v>1.0734652066923362</v>
      </c>
      <c r="R31" s="66">
        <f>'Adjusted price'!R28*'Adjusted Consumption'!R46</f>
        <v>1.0709940848007977</v>
      </c>
      <c r="S31" s="66">
        <f>'Adjusted price'!S28*'Adjusted Consumption'!S46</f>
        <v>1.1495853804170095</v>
      </c>
      <c r="T31" s="66">
        <f>'Adjusted price'!T28*'Adjusted Consumption'!T46</f>
        <v>1.1787522523571765</v>
      </c>
      <c r="U31" s="66">
        <f>'Adjusted price'!U28*'Adjusted Consumption'!U46</f>
        <v>1.1996061141489471</v>
      </c>
      <c r="V31" s="66">
        <f>'Adjusted price'!V28*'Adjusted Consumption'!V46</f>
        <v>1.2740389397383709</v>
      </c>
      <c r="W31" s="66">
        <f>'Adjusted price'!W28*'Adjusted Consumption'!W46</f>
        <v>1.2958160738453988</v>
      </c>
      <c r="X31" s="66">
        <f>'Adjusted price'!X28*'Adjusted Consumption'!X46</f>
        <v>1.3107508293851551</v>
      </c>
      <c r="Y31" s="66">
        <f>'Adjusted price'!Y28*'Adjusted Consumption'!Y46</f>
        <v>1.323687202028647</v>
      </c>
      <c r="Z31" s="66">
        <f>'Adjusted price'!Z28*'Adjusted Consumption'!Z46</f>
        <v>1.3414617899856478</v>
      </c>
      <c r="AA31" s="66">
        <f>'Adjusted price'!AA28*'Adjusted Consumption'!AA46</f>
        <v>1.3271515609435656</v>
      </c>
      <c r="AB31" s="66">
        <f>'Adjusted price'!AB28*'Adjusted Consumption'!AB46</f>
        <v>1.340928134417136</v>
      </c>
      <c r="AC31" s="66">
        <f>'Adjusted price'!AC28*'Adjusted Consumption'!AC46</f>
        <v>1.3606244296389496</v>
      </c>
      <c r="AD31" s="66">
        <f>'Adjusted price'!AD28*'Adjusted Consumption'!AD46</f>
        <v>1.3802157861573454</v>
      </c>
      <c r="AE31" s="66">
        <f>'Adjusted price'!AE28*'Adjusted Consumption'!AE46</f>
        <v>1.4001081906865895</v>
      </c>
      <c r="AF31" s="66">
        <f>'Adjusted price'!AF28*'Adjusted Consumption'!AF46</f>
        <v>1.4181196964496365</v>
      </c>
      <c r="AG31" s="66">
        <f>'Adjusted price'!AG28*'Adjusted Consumption'!AG46</f>
        <v>1.4324481342602966</v>
      </c>
      <c r="AH31" s="66">
        <f>'Adjusted price'!AH28*'Adjusted Consumption'!AH46</f>
        <v>1.4464107279951026</v>
      </c>
      <c r="AI31" s="66">
        <f>'Adjusted price'!AI28*'Adjusted Consumption'!AI46</f>
        <v>1.4597864886159251</v>
      </c>
      <c r="AJ31" s="66">
        <f>'Adjusted price'!AJ28*'Adjusted Consumption'!AJ46</f>
        <v>1.4707054416405478</v>
      </c>
      <c r="AK31" s="66">
        <f>'Adjusted price'!AK28*'Adjusted Consumption'!AK46</f>
        <v>1.4813125043002562</v>
      </c>
    </row>
    <row r="32" spans="1:37">
      <c r="A32" s="77" t="s">
        <v>4</v>
      </c>
      <c r="K32" s="85">
        <f>SUM(K22:K31)</f>
        <v>3.402204475838623</v>
      </c>
      <c r="L32" s="85">
        <f t="shared" ref="L32:AK32" si="2">SUM(L22:L31)</f>
        <v>2.9258873106590988</v>
      </c>
      <c r="M32" s="85">
        <f t="shared" si="2"/>
        <v>2.7567735257344683</v>
      </c>
      <c r="N32" s="85">
        <f t="shared" si="2"/>
        <v>2.8495149963693249</v>
      </c>
      <c r="O32" s="85">
        <f t="shared" si="2"/>
        <v>2.9953971358948808</v>
      </c>
      <c r="P32" s="85">
        <f t="shared" si="2"/>
        <v>2.983515925427132</v>
      </c>
      <c r="Q32" s="85">
        <f t="shared" si="2"/>
        <v>3.389952830680723</v>
      </c>
      <c r="R32" s="85">
        <f t="shared" si="2"/>
        <v>3.4486279781489757</v>
      </c>
      <c r="S32" s="85">
        <f t="shared" si="2"/>
        <v>3.5254773751783168</v>
      </c>
      <c r="T32" s="85">
        <f t="shared" si="2"/>
        <v>3.5579080913297112</v>
      </c>
      <c r="U32" s="85">
        <f t="shared" si="2"/>
        <v>3.6333518650696623</v>
      </c>
      <c r="V32" s="85">
        <f t="shared" si="2"/>
        <v>3.7396595887036339</v>
      </c>
      <c r="W32" s="85">
        <f t="shared" si="2"/>
        <v>3.7945599825842198</v>
      </c>
      <c r="X32" s="85">
        <f t="shared" si="2"/>
        <v>3.8588053137240887</v>
      </c>
      <c r="Y32" s="85">
        <f t="shared" si="2"/>
        <v>3.910972525086728</v>
      </c>
      <c r="Z32" s="85">
        <f t="shared" si="2"/>
        <v>3.9850375451457696</v>
      </c>
      <c r="AA32" s="85">
        <f t="shared" si="2"/>
        <v>3.9516734275172323</v>
      </c>
      <c r="AB32" s="85">
        <f t="shared" si="2"/>
        <v>4.039642616666546</v>
      </c>
      <c r="AC32" s="85">
        <f t="shared" si="2"/>
        <v>4.0997051627949412</v>
      </c>
      <c r="AD32" s="85">
        <f t="shared" si="2"/>
        <v>4.17050841823424</v>
      </c>
      <c r="AE32" s="85">
        <f t="shared" si="2"/>
        <v>4.2447115327372487</v>
      </c>
      <c r="AF32" s="85">
        <f t="shared" si="2"/>
        <v>4.3202333555372583</v>
      </c>
      <c r="AG32" s="85">
        <f t="shared" si="2"/>
        <v>4.3798892296343048</v>
      </c>
      <c r="AH32" s="85">
        <f t="shared" si="2"/>
        <v>4.4748242198791948</v>
      </c>
      <c r="AI32" s="85">
        <f t="shared" si="2"/>
        <v>4.5488678403681799</v>
      </c>
      <c r="AJ32" s="85">
        <f t="shared" si="2"/>
        <v>4.6203198008307629</v>
      </c>
      <c r="AK32" s="85">
        <f t="shared" si="2"/>
        <v>4.6898180479577007</v>
      </c>
    </row>
    <row r="33" spans="1:37">
      <c r="A33" s="77"/>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row>
    <row r="34" spans="1:37">
      <c r="A34" s="57" t="str">
        <f>'Adjusted price'!A30</f>
        <v xml:space="preserve"> Transportation</v>
      </c>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row>
    <row r="35" spans="1:37">
      <c r="A35" s="57" t="str">
        <f>'Adjusted price'!A31</f>
        <v xml:space="preserve">   Liquefied Petroleum Gases 3/</v>
      </c>
      <c r="K35" s="66">
        <f>'Adjusted price'!K31*'Adjusted Consumption'!K50</f>
        <v>7.5819968717844915E-3</v>
      </c>
      <c r="L35" s="66">
        <f>'Adjusted price'!L31*'Adjusted Consumption'!L50</f>
        <v>6.1191004092589268E-3</v>
      </c>
      <c r="M35" s="66">
        <f>'Adjusted price'!M31*'Adjusted Consumption'!M50</f>
        <v>2.6976275872236015E-3</v>
      </c>
      <c r="N35" s="66">
        <f>'Adjusted price'!N31*'Adjusted Consumption'!N50</f>
        <v>2.9558346660015673E-3</v>
      </c>
      <c r="O35" s="66">
        <f>'Adjusted price'!O31*'Adjusted Consumption'!O50</f>
        <v>3.0009097237784026E-3</v>
      </c>
      <c r="P35" s="66">
        <f>'Adjusted price'!P31*'Adjusted Consumption'!P50</f>
        <v>3.1749241004985058E-3</v>
      </c>
      <c r="Q35" s="66">
        <f>'Adjusted price'!Q31*'Adjusted Consumption'!Q50</f>
        <v>3.8100122506970393E-3</v>
      </c>
      <c r="R35" s="66">
        <f>'Adjusted price'!R31*'Adjusted Consumption'!R50</f>
        <v>3.9734524549016482E-3</v>
      </c>
      <c r="S35" s="66">
        <f>'Adjusted price'!S31*'Adjusted Consumption'!S50</f>
        <v>3.9591297935087982E-3</v>
      </c>
      <c r="T35" s="66">
        <f>'Adjusted price'!T31*'Adjusted Consumption'!T50</f>
        <v>3.9645491066273107E-3</v>
      </c>
      <c r="U35" s="66">
        <f>'Adjusted price'!U31*'Adjusted Consumption'!U50</f>
        <v>4.3881751216738778E-3</v>
      </c>
      <c r="V35" s="66">
        <f>'Adjusted price'!V31*'Adjusted Consumption'!V50</f>
        <v>4.3572132605944067E-3</v>
      </c>
      <c r="W35" s="66">
        <f>'Adjusted price'!W31*'Adjusted Consumption'!W50</f>
        <v>4.3711413156468154E-3</v>
      </c>
      <c r="X35" s="66">
        <f>'Adjusted price'!X31*'Adjusted Consumption'!X50</f>
        <v>4.454726658164888E-3</v>
      </c>
      <c r="Y35" s="66">
        <f>'Adjusted price'!Y31*'Adjusted Consumption'!Y50</f>
        <v>4.5621239376704903E-3</v>
      </c>
      <c r="Z35" s="66">
        <f>'Adjusted price'!Z31*'Adjusted Consumption'!Z50</f>
        <v>4.745911679373346E-3</v>
      </c>
      <c r="AA35" s="66">
        <f>'Adjusted price'!AA31*'Adjusted Consumption'!AA50</f>
        <v>4.7308167113451647E-3</v>
      </c>
      <c r="AB35" s="66">
        <f>'Adjusted price'!AB31*'Adjusted Consumption'!AB50</f>
        <v>4.859144018407131E-3</v>
      </c>
      <c r="AC35" s="66">
        <f>'Adjusted price'!AC31*'Adjusted Consumption'!AC50</f>
        <v>4.9815036601303367E-3</v>
      </c>
      <c r="AD35" s="66">
        <f>'Adjusted price'!AD31*'Adjusted Consumption'!AD50</f>
        <v>5.0931221983162075E-3</v>
      </c>
      <c r="AE35" s="66">
        <f>'Adjusted price'!AE31*'Adjusted Consumption'!AE50</f>
        <v>5.2112171498681853E-3</v>
      </c>
      <c r="AF35" s="66">
        <f>'Adjusted price'!AF31*'Adjusted Consumption'!AF50</f>
        <v>5.3304234916865178E-3</v>
      </c>
      <c r="AG35" s="66">
        <f>'Adjusted price'!AG31*'Adjusted Consumption'!AG50</f>
        <v>5.459060652898552E-3</v>
      </c>
      <c r="AH35" s="66">
        <f>'Adjusted price'!AH31*'Adjusted Consumption'!AH50</f>
        <v>5.6209562822669415E-3</v>
      </c>
      <c r="AI35" s="66">
        <f>'Adjusted price'!AI31*'Adjusted Consumption'!AI50</f>
        <v>5.7797682592621042E-3</v>
      </c>
      <c r="AJ35" s="66">
        <f>'Adjusted price'!AJ31*'Adjusted Consumption'!AJ50</f>
        <v>5.9369219543457166E-3</v>
      </c>
      <c r="AK35" s="66">
        <f>'Adjusted price'!AK31*'Adjusted Consumption'!AK50</f>
        <v>6.1075853357351649E-3</v>
      </c>
    </row>
    <row r="36" spans="1:37">
      <c r="A36" s="57" t="str">
        <f>'Adjusted price'!A32</f>
        <v xml:space="preserve">   E85 4/</v>
      </c>
      <c r="K36" s="66">
        <f>'Adjusted price'!K32*'Adjusted Consumption'!K51</f>
        <v>2.3420353308884499E-2</v>
      </c>
      <c r="L36" s="66">
        <f>'Adjusted price'!L32*'Adjusted Consumption'!L51</f>
        <v>2.3965307093315881E-2</v>
      </c>
      <c r="M36" s="66">
        <f>'Adjusted price'!M32*'Adjusted Consumption'!M51</f>
        <v>4.2558697267743029E-3</v>
      </c>
      <c r="N36" s="66">
        <f>'Adjusted price'!N32*'Adjusted Consumption'!N51</f>
        <v>5.2851456532097048E-3</v>
      </c>
      <c r="O36" s="66">
        <f>'Adjusted price'!O32*'Adjusted Consumption'!O51</f>
        <v>2.4837465821640845E-2</v>
      </c>
      <c r="P36" s="66">
        <f>'Adjusted price'!P32*'Adjusted Consumption'!P51</f>
        <v>3.1084642441286565E-2</v>
      </c>
      <c r="Q36" s="66">
        <f>'Adjusted price'!Q32*'Adjusted Consumption'!Q51</f>
        <v>4.1601179066285195E-2</v>
      </c>
      <c r="R36" s="66">
        <f>'Adjusted price'!R32*'Adjusted Consumption'!R51</f>
        <v>5.0696577055556594E-2</v>
      </c>
      <c r="S36" s="66">
        <f>'Adjusted price'!S32*'Adjusted Consumption'!S51</f>
        <v>6.2834010022964973E-2</v>
      </c>
      <c r="T36" s="66">
        <f>'Adjusted price'!T32*'Adjusted Consumption'!T51</f>
        <v>8.392662632578593E-2</v>
      </c>
      <c r="U36" s="66">
        <f>'Adjusted price'!U32*'Adjusted Consumption'!U51</f>
        <v>0.10909359781619726</v>
      </c>
      <c r="V36" s="66">
        <f>'Adjusted price'!V32*'Adjusted Consumption'!V51</f>
        <v>0.12906030053407763</v>
      </c>
      <c r="W36" s="66">
        <f>'Adjusted price'!W32*'Adjusted Consumption'!W51</f>
        <v>0.13279703829539255</v>
      </c>
      <c r="X36" s="66">
        <f>'Adjusted price'!X32*'Adjusted Consumption'!X51</f>
        <v>0.14239184777081132</v>
      </c>
      <c r="Y36" s="66">
        <f>'Adjusted price'!Y32*'Adjusted Consumption'!Y51</f>
        <v>0.14724911060148121</v>
      </c>
      <c r="Z36" s="66">
        <f>'Adjusted price'!Z32*'Adjusted Consumption'!Z51</f>
        <v>0.15242806074238546</v>
      </c>
      <c r="AA36" s="66">
        <f>'Adjusted price'!AA32*'Adjusted Consumption'!AA51</f>
        <v>0.15495306304702416</v>
      </c>
      <c r="AB36" s="66">
        <f>'Adjusted price'!AB32*'Adjusted Consumption'!AB51</f>
        <v>0.15240922841851537</v>
      </c>
      <c r="AC36" s="66">
        <f>'Adjusted price'!AC32*'Adjusted Consumption'!AC51</f>
        <v>0.15286463248424809</v>
      </c>
      <c r="AD36" s="66">
        <f>'Adjusted price'!AD32*'Adjusted Consumption'!AD51</f>
        <v>0.15795613880696027</v>
      </c>
      <c r="AE36" s="66">
        <f>'Adjusted price'!AE32*'Adjusted Consumption'!AE51</f>
        <v>0.16427162181180788</v>
      </c>
      <c r="AF36" s="66">
        <f>'Adjusted price'!AF32*'Adjusted Consumption'!AF51</f>
        <v>0.16976724436686638</v>
      </c>
      <c r="AG36" s="66">
        <f>'Adjusted price'!AG32*'Adjusted Consumption'!AG51</f>
        <v>0.17262482584703931</v>
      </c>
      <c r="AH36" s="66">
        <f>'Adjusted price'!AH32*'Adjusted Consumption'!AH51</f>
        <v>0.17821064403550424</v>
      </c>
      <c r="AI36" s="66">
        <f>'Adjusted price'!AI32*'Adjusted Consumption'!AI51</f>
        <v>0.18084115601351403</v>
      </c>
      <c r="AJ36" s="66">
        <f>'Adjusted price'!AJ32*'Adjusted Consumption'!AJ51</f>
        <v>0.18273698915768585</v>
      </c>
      <c r="AK36" s="66">
        <f>'Adjusted price'!AK32*'Adjusted Consumption'!AK51</f>
        <v>0.18294988148679617</v>
      </c>
    </row>
    <row r="37" spans="1:37">
      <c r="A37" s="57" t="str">
        <f>'Adjusted price'!A33</f>
        <v xml:space="preserve">   Motor Gasoline 5/</v>
      </c>
      <c r="K37" s="66">
        <f>'Adjusted price'!K33*'Adjusted Consumption'!K52</f>
        <v>8.6909395845204696</v>
      </c>
      <c r="L37" s="66">
        <f>'Adjusted price'!L33*'Adjusted Consumption'!L52</f>
        <v>6.3904445388933979</v>
      </c>
      <c r="M37" s="66">
        <f>'Adjusted price'!M33*'Adjusted Consumption'!M52</f>
        <v>6.7269617439945959</v>
      </c>
      <c r="N37" s="66">
        <f>'Adjusted price'!N33*'Adjusted Consumption'!N52</f>
        <v>7.3432660293334102</v>
      </c>
      <c r="O37" s="66">
        <f>'Adjusted price'!O33*'Adjusted Consumption'!O52</f>
        <v>7.23854207109797</v>
      </c>
      <c r="P37" s="66">
        <f>'Adjusted price'!P33*'Adjusted Consumption'!P52</f>
        <v>7.4115760519873977</v>
      </c>
      <c r="Q37" s="66">
        <f>'Adjusted price'!Q33*'Adjusted Consumption'!Q52</f>
        <v>8.5370163557732734</v>
      </c>
      <c r="R37" s="66">
        <f>'Adjusted price'!R33*'Adjusted Consumption'!R52</f>
        <v>8.8300542662141908</v>
      </c>
      <c r="S37" s="66">
        <f>'Adjusted price'!S33*'Adjusted Consumption'!S52</f>
        <v>8.8302083186245106</v>
      </c>
      <c r="T37" s="66">
        <f>'Adjusted price'!T33*'Adjusted Consumption'!T52</f>
        <v>8.7477812076623351</v>
      </c>
      <c r="U37" s="66">
        <f>'Adjusted price'!U33*'Adjusted Consumption'!U52</f>
        <v>9.3781413141685057</v>
      </c>
      <c r="V37" s="66">
        <f>'Adjusted price'!V33*'Adjusted Consumption'!V52</f>
        <v>9.1124961145343413</v>
      </c>
      <c r="W37" s="66">
        <f>'Adjusted price'!W33*'Adjusted Consumption'!W52</f>
        <v>8.9107060497655937</v>
      </c>
      <c r="X37" s="66">
        <f>'Adjusted price'!X33*'Adjusted Consumption'!X52</f>
        <v>8.7481657329349929</v>
      </c>
      <c r="Y37" s="66">
        <f>'Adjusted price'!Y33*'Adjusted Consumption'!Y52</f>
        <v>8.6364506244837429</v>
      </c>
      <c r="Z37" s="66">
        <f>'Adjusted price'!Z33*'Adjusted Consumption'!Z52</f>
        <v>8.628537364480346</v>
      </c>
      <c r="AA37" s="66">
        <f>'Adjusted price'!AA33*'Adjusted Consumption'!AA52</f>
        <v>8.3479110154073304</v>
      </c>
      <c r="AB37" s="66">
        <f>'Adjusted price'!AB33*'Adjusted Consumption'!AB52</f>
        <v>8.3217826306519616</v>
      </c>
      <c r="AC37" s="66">
        <f>'Adjusted price'!AC33*'Adjusted Consumption'!AC52</f>
        <v>8.250056217774997</v>
      </c>
      <c r="AD37" s="66">
        <f>'Adjusted price'!AD33*'Adjusted Consumption'!AD52</f>
        <v>8.1659872531231557</v>
      </c>
      <c r="AE37" s="66">
        <f>'Adjusted price'!AE33*'Adjusted Consumption'!AE52</f>
        <v>8.1235018654582003</v>
      </c>
      <c r="AF37" s="66">
        <f>'Adjusted price'!AF33*'Adjusted Consumption'!AF52</f>
        <v>8.0804359239348074</v>
      </c>
      <c r="AG37" s="66">
        <f>'Adjusted price'!AG33*'Adjusted Consumption'!AG52</f>
        <v>8.0374658887391028</v>
      </c>
      <c r="AH37" s="66">
        <f>'Adjusted price'!AH33*'Adjusted Consumption'!AH52</f>
        <v>8.0849855431382753</v>
      </c>
      <c r="AI37" s="66">
        <f>'Adjusted price'!AI33*'Adjusted Consumption'!AI52</f>
        <v>8.074738906939336</v>
      </c>
      <c r="AJ37" s="66">
        <f>'Adjusted price'!AJ33*'Adjusted Consumption'!AJ52</f>
        <v>8.0982384633943028</v>
      </c>
      <c r="AK37" s="66">
        <f>'Adjusted price'!AK33*'Adjusted Consumption'!AK52</f>
        <v>8.1449160152336635</v>
      </c>
    </row>
    <row r="38" spans="1:37">
      <c r="A38" s="57" t="str">
        <f>'Adjusted price'!A34</f>
        <v xml:space="preserve">   Jet Fuel 6/</v>
      </c>
      <c r="K38" s="66">
        <f>'Adjusted price'!K34*'Adjusted Consumption'!K53</f>
        <v>1.9580284544564333</v>
      </c>
      <c r="L38" s="66">
        <f>'Adjusted price'!L34*'Adjusted Consumption'!L53</f>
        <v>1.1698074838606509</v>
      </c>
      <c r="M38" s="66">
        <f>'Adjusted price'!M34*'Adjusted Consumption'!M53</f>
        <v>0.9242036888911267</v>
      </c>
      <c r="N38" s="66">
        <f>'Adjusted price'!N34*'Adjusted Consumption'!N53</f>
        <v>1.1225022792917652</v>
      </c>
      <c r="O38" s="66">
        <f>'Adjusted price'!O34*'Adjusted Consumption'!O53</f>
        <v>1.181614642251847</v>
      </c>
      <c r="P38" s="66">
        <f>'Adjusted price'!P34*'Adjusted Consumption'!P53</f>
        <v>1.3122483835979486</v>
      </c>
      <c r="Q38" s="66">
        <f>'Adjusted price'!Q34*'Adjusted Consumption'!Q53</f>
        <v>1.6691633723198209</v>
      </c>
      <c r="R38" s="66">
        <f>'Adjusted price'!R34*'Adjusted Consumption'!R53</f>
        <v>1.8634115901852626</v>
      </c>
      <c r="S38" s="66">
        <f>'Adjusted price'!S34*'Adjusted Consumption'!S53</f>
        <v>1.965362915671405</v>
      </c>
      <c r="T38" s="66">
        <f>'Adjusted price'!T34*'Adjusted Consumption'!T53</f>
        <v>2.0551594388062702</v>
      </c>
      <c r="U38" s="66">
        <f>'Adjusted price'!U34*'Adjusted Consumption'!U53</f>
        <v>2.1525988423625866</v>
      </c>
      <c r="V38" s="66">
        <f>'Adjusted price'!V34*'Adjusted Consumption'!V53</f>
        <v>2.2027554418529647</v>
      </c>
      <c r="W38" s="66">
        <f>'Adjusted price'!W34*'Adjusted Consumption'!W53</f>
        <v>2.2520481854346901</v>
      </c>
      <c r="X38" s="66">
        <f>'Adjusted price'!X34*'Adjusted Consumption'!X53</f>
        <v>2.3307880478476108</v>
      </c>
      <c r="Y38" s="66">
        <f>'Adjusted price'!Y34*'Adjusted Consumption'!Y53</f>
        <v>2.4121800307990786</v>
      </c>
      <c r="Z38" s="66">
        <f>'Adjusted price'!Z34*'Adjusted Consumption'!Z53</f>
        <v>2.5259000061120598</v>
      </c>
      <c r="AA38" s="66">
        <f>'Adjusted price'!AA34*'Adjusted Consumption'!AA53</f>
        <v>2.5993449970471296</v>
      </c>
      <c r="AB38" s="66">
        <f>'Adjusted price'!AB34*'Adjusted Consumption'!AB53</f>
        <v>2.6948244649976782</v>
      </c>
      <c r="AC38" s="66">
        <f>'Adjusted price'!AC34*'Adjusted Consumption'!AC53</f>
        <v>2.774828481781543</v>
      </c>
      <c r="AD38" s="66">
        <f>'Adjusted price'!AD34*'Adjusted Consumption'!AD53</f>
        <v>2.8666483780818144</v>
      </c>
      <c r="AE38" s="66">
        <f>'Adjusted price'!AE34*'Adjusted Consumption'!AE53</f>
        <v>2.9457225610141773</v>
      </c>
      <c r="AF38" s="66">
        <f>'Adjusted price'!AF34*'Adjusted Consumption'!AF53</f>
        <v>3.0228693982963839</v>
      </c>
      <c r="AG38" s="66">
        <f>'Adjusted price'!AG34*'Adjusted Consumption'!AG53</f>
        <v>3.0997823149763173</v>
      </c>
      <c r="AH38" s="66">
        <f>'Adjusted price'!AH34*'Adjusted Consumption'!AH53</f>
        <v>3.2171874213895615</v>
      </c>
      <c r="AI38" s="66">
        <f>'Adjusted price'!AI34*'Adjusted Consumption'!AI53</f>
        <v>3.3059588622846325</v>
      </c>
      <c r="AJ38" s="66">
        <f>'Adjusted price'!AJ34*'Adjusted Consumption'!AJ53</f>
        <v>3.3864871973464905</v>
      </c>
      <c r="AK38" s="66">
        <f>'Adjusted price'!AK34*'Adjusted Consumption'!AK53</f>
        <v>3.4681690314719948</v>
      </c>
    </row>
    <row r="39" spans="1:37">
      <c r="A39" s="57" t="str">
        <f>'Adjusted price'!A35</f>
        <v xml:space="preserve">   Diesel Fuel (distillate fuel oil) 7/</v>
      </c>
      <c r="K39" s="66">
        <f>'Adjusted price'!K35*'Adjusted Consumption'!K54</f>
        <v>3.4057318280831637</v>
      </c>
      <c r="L39" s="66">
        <f>'Adjusted price'!L35*'Adjusted Consumption'!L54</f>
        <v>2.4542264560615803</v>
      </c>
      <c r="M39" s="66">
        <f>'Adjusted price'!M35*'Adjusted Consumption'!M54</f>
        <v>2.2447598503655568</v>
      </c>
      <c r="N39" s="66">
        <f>'Adjusted price'!N35*'Adjusted Consumption'!N54</f>
        <v>2.5637324045006014</v>
      </c>
      <c r="O39" s="66">
        <f>'Adjusted price'!O35*'Adjusted Consumption'!O54</f>
        <v>2.6347358215017889</v>
      </c>
      <c r="P39" s="66">
        <f>'Adjusted price'!P35*'Adjusted Consumption'!P54</f>
        <v>2.7015936340869775</v>
      </c>
      <c r="Q39" s="66">
        <f>'Adjusted price'!Q35*'Adjusted Consumption'!Q54</f>
        <v>3.1940009286363238</v>
      </c>
      <c r="R39" s="66">
        <f>'Adjusted price'!R35*'Adjusted Consumption'!R54</f>
        <v>3.2757883900474822</v>
      </c>
      <c r="S39" s="66">
        <f>'Adjusted price'!S35*'Adjusted Consumption'!S54</f>
        <v>3.3410950110604536</v>
      </c>
      <c r="T39" s="66">
        <f>'Adjusted price'!T35*'Adjusted Consumption'!T54</f>
        <v>3.4011872829568319</v>
      </c>
      <c r="U39" s="66">
        <f>'Adjusted price'!U35*'Adjusted Consumption'!U54</f>
        <v>3.7792410466265762</v>
      </c>
      <c r="V39" s="66">
        <f>'Adjusted price'!V35*'Adjusted Consumption'!V54</f>
        <v>3.8109084146518994</v>
      </c>
      <c r="W39" s="66">
        <f>'Adjusted price'!W35*'Adjusted Consumption'!W54</f>
        <v>3.8218895775565493</v>
      </c>
      <c r="X39" s="66">
        <f>'Adjusted price'!X35*'Adjusted Consumption'!X54</f>
        <v>3.8427166687686731</v>
      </c>
      <c r="Y39" s="66">
        <f>'Adjusted price'!Y35*'Adjusted Consumption'!Y54</f>
        <v>3.8614187987934949</v>
      </c>
      <c r="Z39" s="66">
        <f>'Adjusted price'!Z35*'Adjusted Consumption'!Z54</f>
        <v>3.9285320396663219</v>
      </c>
      <c r="AA39" s="66">
        <f>'Adjusted price'!AA35*'Adjusted Consumption'!AA54</f>
        <v>3.8112296590900292</v>
      </c>
      <c r="AB39" s="66">
        <f>'Adjusted price'!AB35*'Adjusted Consumption'!AB54</f>
        <v>3.8407072839280887</v>
      </c>
      <c r="AC39" s="66">
        <f>'Adjusted price'!AC35*'Adjusted Consumption'!AC54</f>
        <v>3.8441134260869565</v>
      </c>
      <c r="AD39" s="66">
        <f>'Adjusted price'!AD35*'Adjusted Consumption'!AD54</f>
        <v>3.8724760923084429</v>
      </c>
      <c r="AE39" s="66">
        <f>'Adjusted price'!AE35*'Adjusted Consumption'!AE54</f>
        <v>3.9062843241430185</v>
      </c>
      <c r="AF39" s="66">
        <f>'Adjusted price'!AF35*'Adjusted Consumption'!AF54</f>
        <v>3.9313214150031324</v>
      </c>
      <c r="AG39" s="66">
        <f>'Adjusted price'!AG35*'Adjusted Consumption'!AG54</f>
        <v>3.9633430723667646</v>
      </c>
      <c r="AH39" s="66">
        <f>'Adjusted price'!AH35*'Adjusted Consumption'!AH54</f>
        <v>4.0279191268311543</v>
      </c>
      <c r="AI39" s="66">
        <f>'Adjusted price'!AI35*'Adjusted Consumption'!AI54</f>
        <v>4.0666977407250684</v>
      </c>
      <c r="AJ39" s="66">
        <f>'Adjusted price'!AJ35*'Adjusted Consumption'!AJ54</f>
        <v>4.1025959864385007</v>
      </c>
      <c r="AK39" s="66">
        <f>'Adjusted price'!AK35*'Adjusted Consumption'!AK54</f>
        <v>4.1384322827180249</v>
      </c>
    </row>
    <row r="40" spans="1:37">
      <c r="A40" s="57" t="str">
        <f>'Adjusted price'!A36</f>
        <v xml:space="preserve">   Residual Fuel Oil</v>
      </c>
      <c r="K40" s="66">
        <f>'Adjusted price'!K36*'Adjusted Consumption'!K55</f>
        <v>0.40936263801126682</v>
      </c>
      <c r="L40" s="66">
        <f>'Adjusted price'!L36*'Adjusted Consumption'!L55</f>
        <v>0.29404863406478238</v>
      </c>
      <c r="M40" s="66">
        <f>'Adjusted price'!M36*'Adjusted Consumption'!M55</f>
        <v>0.507456589883719</v>
      </c>
      <c r="N40" s="66">
        <f>'Adjusted price'!N36*'Adjusted Consumption'!N55</f>
        <v>0.68482986167296478</v>
      </c>
      <c r="O40" s="66">
        <f>'Adjusted price'!O36*'Adjusted Consumption'!O55</f>
        <v>0.67267407265004853</v>
      </c>
      <c r="P40" s="66">
        <f>'Adjusted price'!P36*'Adjusted Consumption'!P55</f>
        <v>0.84528129009404906</v>
      </c>
      <c r="Q40" s="66">
        <f>'Adjusted price'!Q36*'Adjusted Consumption'!Q55</f>
        <v>0.6239152256949857</v>
      </c>
      <c r="R40" s="66">
        <f>'Adjusted price'!R36*'Adjusted Consumption'!R55</f>
        <v>1.0079804797130099</v>
      </c>
      <c r="S40" s="66">
        <f>'Adjusted price'!S36*'Adjusted Consumption'!S55</f>
        <v>1.0286933732464707</v>
      </c>
      <c r="T40" s="66">
        <f>'Adjusted price'!T36*'Adjusted Consumption'!T55</f>
        <v>1.0332089456098152</v>
      </c>
      <c r="U40" s="66">
        <f>'Adjusted price'!U36*'Adjusted Consumption'!U55</f>
        <v>1.0885301170023451</v>
      </c>
      <c r="V40" s="66">
        <f>'Adjusted price'!V36*'Adjusted Consumption'!V55</f>
        <v>1.106143173064486</v>
      </c>
      <c r="W40" s="66">
        <f>'Adjusted price'!W36*'Adjusted Consumption'!W55</f>
        <v>1.0940585568322414</v>
      </c>
      <c r="X40" s="66">
        <f>'Adjusted price'!X36*'Adjusted Consumption'!X55</f>
        <v>1.1086120497110576</v>
      </c>
      <c r="Y40" s="66">
        <f>'Adjusted price'!Y36*'Adjusted Consumption'!Y55</f>
        <v>1.119455374550453</v>
      </c>
      <c r="Z40" s="66">
        <f>'Adjusted price'!Z36*'Adjusted Consumption'!Z55</f>
        <v>1.134264081119676</v>
      </c>
      <c r="AA40" s="66">
        <f>'Adjusted price'!AA36*'Adjusted Consumption'!AA55</f>
        <v>1.1423708627318556</v>
      </c>
      <c r="AB40" s="66">
        <f>'Adjusted price'!AB36*'Adjusted Consumption'!AB55</f>
        <v>1.1533654488185481</v>
      </c>
      <c r="AC40" s="66">
        <f>'Adjusted price'!AC36*'Adjusted Consumption'!AC55</f>
        <v>1.1570872358916777</v>
      </c>
      <c r="AD40" s="66">
        <f>'Adjusted price'!AD36*'Adjusted Consumption'!AD55</f>
        <v>1.1617220237283576</v>
      </c>
      <c r="AE40" s="66">
        <f>'Adjusted price'!AE36*'Adjusted Consumption'!AE55</f>
        <v>1.1646517836635262</v>
      </c>
      <c r="AF40" s="66">
        <f>'Adjusted price'!AF36*'Adjusted Consumption'!AF55</f>
        <v>1.1660549389417985</v>
      </c>
      <c r="AG40" s="66">
        <f>'Adjusted price'!AG36*'Adjusted Consumption'!AG55</f>
        <v>1.1693700555109781</v>
      </c>
      <c r="AH40" s="66">
        <f>'Adjusted price'!AH36*'Adjusted Consumption'!AH55</f>
        <v>1.1627535623048988</v>
      </c>
      <c r="AI40" s="66">
        <f>'Adjusted price'!AI36*'Adjusted Consumption'!AI55</f>
        <v>1.1602325093332688</v>
      </c>
      <c r="AJ40" s="66">
        <f>'Adjusted price'!AJ36*'Adjusted Consumption'!AJ55</f>
        <v>1.1540750620624285</v>
      </c>
      <c r="AK40" s="66">
        <f>'Adjusted price'!AK36*'Adjusted Consumption'!AK55</f>
        <v>1.1466737611736362</v>
      </c>
    </row>
    <row r="41" spans="1:37">
      <c r="A41" s="57" t="str">
        <f>'Adjusted price'!A37</f>
        <v xml:space="preserve">   Natural Gas 8/</v>
      </c>
      <c r="K41" s="66">
        <f>'Adjusted price'!K37*('Adjusted Consumption'!K57+'Adjusted Consumption'!K58)</f>
        <v>0.15142557380948476</v>
      </c>
      <c r="L41" s="347">
        <f>'Adjusted price'!L37*('Adjusted Consumption'!L57+'Adjusted Consumption'!L58)</f>
        <v>0.19230188401448753</v>
      </c>
      <c r="M41" s="347">
        <f>'Adjusted price'!M37*('Adjusted Consumption'!M57+'Adjusted Consumption'!M58)</f>
        <v>0.1668204489117957</v>
      </c>
      <c r="N41" s="347">
        <f>'Adjusted price'!N37*('Adjusted Consumption'!N57+'Adjusted Consumption'!N58)</f>
        <v>0.1574762072049026</v>
      </c>
      <c r="O41" s="347">
        <f>'Adjusted price'!O37*('Adjusted Consumption'!O57+'Adjusted Consumption'!O58)</f>
        <v>0.16286337464333767</v>
      </c>
      <c r="P41" s="347">
        <f>'Adjusted price'!P37*('Adjusted Consumption'!P57+'Adjusted Consumption'!P58)</f>
        <v>0.16826743548530243</v>
      </c>
      <c r="Q41" s="347">
        <f>'Adjusted price'!Q37*('Adjusted Consumption'!Q57+'Adjusted Consumption'!Q58)</f>
        <v>0.178799233382782</v>
      </c>
      <c r="R41" s="347">
        <f>'Adjusted price'!R37*('Adjusted Consumption'!R57+'Adjusted Consumption'!R58)</f>
        <v>0.1781778078513632</v>
      </c>
      <c r="S41" s="347">
        <f>'Adjusted price'!S37*('Adjusted Consumption'!S57+'Adjusted Consumption'!S58)</f>
        <v>0.18135198482284037</v>
      </c>
      <c r="T41" s="347">
        <f>'Adjusted price'!T37*('Adjusted Consumption'!T57+'Adjusted Consumption'!T58)</f>
        <v>0.185695548636478</v>
      </c>
      <c r="U41" s="347">
        <f>'Adjusted price'!U37*('Adjusted Consumption'!U57+'Adjusted Consumption'!U58)</f>
        <v>0.22201625334458974</v>
      </c>
      <c r="V41" s="347">
        <f>'Adjusted price'!V37*('Adjusted Consumption'!V57+'Adjusted Consumption'!V58)</f>
        <v>0.22671887663035478</v>
      </c>
      <c r="W41" s="347">
        <f>'Adjusted price'!W37*('Adjusted Consumption'!W57+'Adjusted Consumption'!W58)</f>
        <v>0.22915446586126345</v>
      </c>
      <c r="X41" s="347">
        <f>'Adjusted price'!X37*('Adjusted Consumption'!X57+'Adjusted Consumption'!X58)</f>
        <v>0.2328782271852825</v>
      </c>
      <c r="Y41" s="347">
        <f>'Adjusted price'!Y37*('Adjusted Consumption'!Y57+'Adjusted Consumption'!Y58)</f>
        <v>0.23589554664280055</v>
      </c>
      <c r="Z41" s="347">
        <f>'Adjusted price'!Z37*('Adjusted Consumption'!Z57+'Adjusted Consumption'!Z58)</f>
        <v>0.24452076475463164</v>
      </c>
      <c r="AA41" s="347">
        <f>'Adjusted price'!AA37*('Adjusted Consumption'!AA57+'Adjusted Consumption'!AA58)</f>
        <v>0.23783911305274766</v>
      </c>
      <c r="AB41" s="347">
        <f>'Adjusted price'!AB37*('Adjusted Consumption'!AB57+'Adjusted Consumption'!AB58)</f>
        <v>0.24090635682200395</v>
      </c>
      <c r="AC41" s="347">
        <f>'Adjusted price'!AC37*('Adjusted Consumption'!AC57+'Adjusted Consumption'!AC58)</f>
        <v>0.24466847895161123</v>
      </c>
      <c r="AD41" s="347">
        <f>'Adjusted price'!AD37*('Adjusted Consumption'!AD57+'Adjusted Consumption'!AD58)</f>
        <v>0.24780900170495587</v>
      </c>
      <c r="AE41" s="347">
        <f>'Adjusted price'!AE37*('Adjusted Consumption'!AE57+'Adjusted Consumption'!AE58)</f>
        <v>0.25215003026112615</v>
      </c>
      <c r="AF41" s="347">
        <f>'Adjusted price'!AF37*('Adjusted Consumption'!AF57+'Adjusted Consumption'!AF58)</f>
        <v>0.25606011919020766</v>
      </c>
      <c r="AG41" s="347">
        <f>'Adjusted price'!AG37*('Adjusted Consumption'!AG57+'Adjusted Consumption'!AG58)</f>
        <v>0.26197356446232295</v>
      </c>
      <c r="AH41" s="347">
        <f>'Adjusted price'!AH37*('Adjusted Consumption'!AH57+'Adjusted Consumption'!AH58)</f>
        <v>0.26748341860976499</v>
      </c>
      <c r="AI41" s="347">
        <f>'Adjusted price'!AI37*('Adjusted Consumption'!AI57+'Adjusted Consumption'!AI58)</f>
        <v>0.27278177127617642</v>
      </c>
      <c r="AJ41" s="347">
        <f>'Adjusted price'!AJ37*('Adjusted Consumption'!AJ57+'Adjusted Consumption'!AJ58)</f>
        <v>0.2783926962789578</v>
      </c>
      <c r="AK41" s="347">
        <f>'Adjusted price'!AK37*('Adjusted Consumption'!AK57+'Adjusted Consumption'!AK58)</f>
        <v>0.28386563898715977</v>
      </c>
    </row>
    <row r="42" spans="1:37">
      <c r="A42" s="57" t="str">
        <f>'Adjusted price'!A38</f>
        <v xml:space="preserve">   Electricity</v>
      </c>
      <c r="K42" s="66">
        <f>'Adjusted price'!K38*'Adjusted Consumption'!K60</f>
        <v>1.3044126582381285E-2</v>
      </c>
      <c r="L42" s="66">
        <f>'Adjusted price'!L38*'Adjusted Consumption'!L60</f>
        <v>2.3849800336362237E-3</v>
      </c>
      <c r="M42" s="66">
        <f>'Adjusted price'!M38*'Adjusted Consumption'!M60</f>
        <v>3.1018270167665419E-3</v>
      </c>
      <c r="N42" s="66">
        <f>'Adjusted price'!N38*'Adjusted Consumption'!N60</f>
        <v>1.7254441108635495E-2</v>
      </c>
      <c r="O42" s="66">
        <f>'Adjusted price'!O38*'Adjusted Consumption'!O60</f>
        <v>2.532966834114362E-2</v>
      </c>
      <c r="P42" s="66">
        <f>'Adjusted price'!P38*'Adjusted Consumption'!P60</f>
        <v>3.3495727076778503E-2</v>
      </c>
      <c r="Q42" s="66">
        <f>'Adjusted price'!Q38*'Adjusted Consumption'!Q60</f>
        <v>4.4655807172617232E-2</v>
      </c>
      <c r="R42" s="66">
        <f>'Adjusted price'!R38*'Adjusted Consumption'!R60</f>
        <v>5.745303665116841E-2</v>
      </c>
      <c r="S42" s="66">
        <f>'Adjusted price'!S38*'Adjusted Consumption'!S60</f>
        <v>7.2371944826781887E-2</v>
      </c>
      <c r="T42" s="66">
        <f>'Adjusted price'!T38*'Adjusted Consumption'!T60</f>
        <v>8.9747684340504522E-2</v>
      </c>
      <c r="U42" s="66">
        <f>'Adjusted price'!U38*'Adjusted Consumption'!U60</f>
        <v>0.1058581696506392</v>
      </c>
      <c r="V42" s="66">
        <f>'Adjusted price'!V38*'Adjusted Consumption'!V60</f>
        <v>0.12476206634453006</v>
      </c>
      <c r="W42" s="66">
        <f>'Adjusted price'!W38*'Adjusted Consumption'!W60</f>
        <v>0.14481624912945207</v>
      </c>
      <c r="X42" s="66">
        <f>'Adjusted price'!X38*'Adjusted Consumption'!X60</f>
        <v>0.16240934807537716</v>
      </c>
      <c r="Y42" s="66">
        <f>'Adjusted price'!Y38*'Adjusted Consumption'!Y60</f>
        <v>0.179407983602132</v>
      </c>
      <c r="Z42" s="66">
        <f>'Adjusted price'!Z38*'Adjusted Consumption'!Z60</f>
        <v>0.19574244080428754</v>
      </c>
      <c r="AA42" s="66">
        <f>'Adjusted price'!AA38*'Adjusted Consumption'!AA60</f>
        <v>0.20924042653096073</v>
      </c>
      <c r="AB42" s="66">
        <f>'Adjusted price'!AB38*'Adjusted Consumption'!AB60</f>
        <v>0.22270557868022203</v>
      </c>
      <c r="AC42" s="66">
        <f>'Adjusted price'!AC38*'Adjusted Consumption'!AC60</f>
        <v>0.23463364542726614</v>
      </c>
      <c r="AD42" s="66">
        <f>'Adjusted price'!AD38*'Adjusted Consumption'!AD60</f>
        <v>0.24414587373092603</v>
      </c>
      <c r="AE42" s="66">
        <f>'Adjusted price'!AE38*'Adjusted Consumption'!AE60</f>
        <v>0.25340899222765262</v>
      </c>
      <c r="AF42" s="66">
        <f>'Adjusted price'!AF38*'Adjusted Consumption'!AF60</f>
        <v>0.25941910619019354</v>
      </c>
      <c r="AG42" s="66">
        <f>'Adjusted price'!AG38*'Adjusted Consumption'!AG60</f>
        <v>0.26921897859372124</v>
      </c>
      <c r="AH42" s="66">
        <f>'Adjusted price'!AH38*'Adjusted Consumption'!AH60</f>
        <v>0.27744838553276208</v>
      </c>
      <c r="AI42" s="66">
        <f>'Adjusted price'!AI38*'Adjusted Consumption'!AI60</f>
        <v>0.28509440984590678</v>
      </c>
      <c r="AJ42" s="66">
        <f>'Adjusted price'!AJ38*'Adjusted Consumption'!AJ60</f>
        <v>0.2922153168431581</v>
      </c>
      <c r="AK42" s="66">
        <f>'Adjusted price'!AK38*'Adjusted Consumption'!AK60</f>
        <v>0.29903621859868679</v>
      </c>
    </row>
    <row r="43" spans="1:37">
      <c r="A43" s="77" t="s">
        <v>4</v>
      </c>
      <c r="K43" s="85">
        <f>SUM(K35:K42)</f>
        <v>14.659534555643869</v>
      </c>
      <c r="L43" s="85">
        <f t="shared" ref="L43:AK43" si="3">SUM(L35:L42)</f>
        <v>10.533298384431109</v>
      </c>
      <c r="M43" s="85">
        <f t="shared" si="3"/>
        <v>10.580257646377559</v>
      </c>
      <c r="N43" s="85">
        <f t="shared" si="3"/>
        <v>11.897302203431492</v>
      </c>
      <c r="O43" s="85">
        <f t="shared" si="3"/>
        <v>11.943598026031555</v>
      </c>
      <c r="P43" s="85">
        <f t="shared" si="3"/>
        <v>12.506722088870237</v>
      </c>
      <c r="Q43" s="85">
        <f t="shared" si="3"/>
        <v>14.292962114296785</v>
      </c>
      <c r="R43" s="85">
        <f t="shared" si="3"/>
        <v>15.267535600172934</v>
      </c>
      <c r="S43" s="85">
        <f t="shared" si="3"/>
        <v>15.485876688068934</v>
      </c>
      <c r="T43" s="85">
        <f t="shared" si="3"/>
        <v>15.600671283444646</v>
      </c>
      <c r="U43" s="85">
        <f t="shared" si="3"/>
        <v>16.839867516093115</v>
      </c>
      <c r="V43" s="85">
        <f t="shared" si="3"/>
        <v>16.717201600873249</v>
      </c>
      <c r="W43" s="85">
        <f t="shared" si="3"/>
        <v>16.589841264190831</v>
      </c>
      <c r="X43" s="85">
        <f t="shared" si="3"/>
        <v>16.572416648951972</v>
      </c>
      <c r="Y43" s="85">
        <f t="shared" si="3"/>
        <v>16.596619593410853</v>
      </c>
      <c r="Z43" s="85">
        <f t="shared" si="3"/>
        <v>16.814670669359085</v>
      </c>
      <c r="AA43" s="85">
        <f t="shared" si="3"/>
        <v>16.507619953618423</v>
      </c>
      <c r="AB43" s="85">
        <f t="shared" si="3"/>
        <v>16.631560136335427</v>
      </c>
      <c r="AC43" s="85">
        <f t="shared" si="3"/>
        <v>16.663233622058428</v>
      </c>
      <c r="AD43" s="85">
        <f t="shared" si="3"/>
        <v>16.721837883682927</v>
      </c>
      <c r="AE43" s="85">
        <f t="shared" si="3"/>
        <v>16.815202395729376</v>
      </c>
      <c r="AF43" s="85">
        <f t="shared" si="3"/>
        <v>16.891258569415079</v>
      </c>
      <c r="AG43" s="85">
        <f t="shared" si="3"/>
        <v>16.979237761149143</v>
      </c>
      <c r="AH43" s="85">
        <f t="shared" si="3"/>
        <v>17.221609058124187</v>
      </c>
      <c r="AI43" s="85">
        <f t="shared" si="3"/>
        <v>17.352125124677166</v>
      </c>
      <c r="AJ43" s="85">
        <f t="shared" si="3"/>
        <v>17.500678633475868</v>
      </c>
      <c r="AK43" s="85">
        <f t="shared" si="3"/>
        <v>17.670150415005697</v>
      </c>
    </row>
    <row r="44" spans="1:37" ht="13.5" thickBot="1">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row>
    <row r="45" spans="1:37" ht="13.5" thickTop="1">
      <c r="A45" s="57" t="s">
        <v>355</v>
      </c>
      <c r="K45" s="86">
        <f t="shared" ref="K45:AK45" si="4">K43+K32+K19+K11</f>
        <v>25.88633865048407</v>
      </c>
      <c r="L45" s="86">
        <f t="shared" si="4"/>
        <v>21.193376287755118</v>
      </c>
      <c r="M45" s="86">
        <f t="shared" si="4"/>
        <v>20.673226476938211</v>
      </c>
      <c r="N45" s="86">
        <f t="shared" si="4"/>
        <v>22.661888573587454</v>
      </c>
      <c r="O45" s="86">
        <f t="shared" si="4"/>
        <v>22.973395193183073</v>
      </c>
      <c r="P45" s="86">
        <f t="shared" si="4"/>
        <v>23.350453031097818</v>
      </c>
      <c r="Q45" s="86">
        <f t="shared" si="4"/>
        <v>25.68886378927651</v>
      </c>
      <c r="R45" s="86">
        <f t="shared" si="4"/>
        <v>26.693106446097001</v>
      </c>
      <c r="S45" s="86">
        <f t="shared" si="4"/>
        <v>27.099358450842711</v>
      </c>
      <c r="T45" s="86">
        <f t="shared" si="4"/>
        <v>27.379304634907975</v>
      </c>
      <c r="U45" s="86">
        <f t="shared" si="4"/>
        <v>29.042773586985859</v>
      </c>
      <c r="V45" s="86">
        <f t="shared" si="4"/>
        <v>29.158309880690624</v>
      </c>
      <c r="W45" s="86">
        <f t="shared" si="4"/>
        <v>29.168703363503056</v>
      </c>
      <c r="X45" s="86">
        <f t="shared" si="4"/>
        <v>29.196630719201174</v>
      </c>
      <c r="Y45" s="86">
        <f t="shared" si="4"/>
        <v>29.254962976688354</v>
      </c>
      <c r="Z45" s="86">
        <f t="shared" si="4"/>
        <v>29.628187485481668</v>
      </c>
      <c r="AA45" s="86">
        <f t="shared" si="4"/>
        <v>29.08534837875002</v>
      </c>
      <c r="AB45" s="86">
        <f t="shared" si="4"/>
        <v>29.43292297416766</v>
      </c>
      <c r="AC45" s="86">
        <f t="shared" si="4"/>
        <v>29.62799496684249</v>
      </c>
      <c r="AD45" s="86">
        <f t="shared" si="4"/>
        <v>29.857729758104671</v>
      </c>
      <c r="AE45" s="86">
        <f t="shared" si="4"/>
        <v>30.128702584304463</v>
      </c>
      <c r="AF45" s="86">
        <f t="shared" si="4"/>
        <v>30.377322883227301</v>
      </c>
      <c r="AG45" s="86">
        <f t="shared" si="4"/>
        <v>30.610584908926867</v>
      </c>
      <c r="AH45" s="86">
        <f t="shared" si="4"/>
        <v>31.033730677295907</v>
      </c>
      <c r="AI45" s="86">
        <f t="shared" si="4"/>
        <v>31.32044032583854</v>
      </c>
      <c r="AJ45" s="86">
        <f t="shared" si="4"/>
        <v>31.612003012364063</v>
      </c>
      <c r="AK45" s="86">
        <f t="shared" si="4"/>
        <v>31.927727809054534</v>
      </c>
    </row>
    <row r="46" spans="1:37">
      <c r="A46" s="57" t="s">
        <v>1161</v>
      </c>
      <c r="K46" s="50">
        <f>K45-'Baseline expend'!K45</f>
        <v>0</v>
      </c>
      <c r="L46" s="50">
        <f>L45-'Baseline expend'!L45</f>
        <v>0</v>
      </c>
      <c r="M46" s="50">
        <f>M45-'Baseline expend'!M45</f>
        <v>0</v>
      </c>
      <c r="N46" s="50">
        <f>N45-'Baseline expend'!N45</f>
        <v>0</v>
      </c>
      <c r="O46" s="50">
        <f>O45-'Baseline expend'!O45</f>
        <v>0</v>
      </c>
      <c r="P46" s="50">
        <f>P45-'Baseline expend'!P45</f>
        <v>0</v>
      </c>
      <c r="Q46" s="50">
        <f>Q45-'Baseline expend'!Q45</f>
        <v>0.83743414768289171</v>
      </c>
      <c r="R46" s="50">
        <f>R45-'Baseline expend'!R45</f>
        <v>0.86547787882489402</v>
      </c>
      <c r="S46" s="50">
        <f>S45-'Baseline expend'!S45</f>
        <v>0.89770088379210833</v>
      </c>
      <c r="T46" s="50">
        <f>T45-'Baseline expend'!T45</f>
        <v>0.90222390459042145</v>
      </c>
      <c r="U46" s="50">
        <f>U45-'Baseline expend'!U45</f>
        <v>0.90287390325039496</v>
      </c>
      <c r="V46" s="50">
        <f>V45-'Baseline expend'!V45</f>
        <v>0.88985952300412308</v>
      </c>
      <c r="W46" s="50">
        <f>W45-'Baseline expend'!W45</f>
        <v>0.84956690313995509</v>
      </c>
      <c r="X46" s="50">
        <f>X45-'Baseline expend'!X45</f>
        <v>0.81840646083441015</v>
      </c>
      <c r="Y46" s="50">
        <f>Y45-'Baseline expend'!Y45</f>
        <v>0.77851656976149997</v>
      </c>
      <c r="Z46" s="50">
        <f>Z45-'Baseline expend'!Z45</f>
        <v>0.73787622475668968</v>
      </c>
      <c r="AA46" s="50">
        <f>AA45-'Baseline expend'!AA45</f>
        <v>0</v>
      </c>
      <c r="AB46" s="50">
        <f>AB45-'Baseline expend'!AB45</f>
        <v>0</v>
      </c>
      <c r="AC46" s="50">
        <f>AC45-'Baseline expend'!AC45</f>
        <v>0</v>
      </c>
      <c r="AD46" s="50">
        <f>AD45-'Baseline expend'!AD45</f>
        <v>0</v>
      </c>
      <c r="AE46" s="50">
        <f>AE45-'Baseline expend'!AE45</f>
        <v>0</v>
      </c>
      <c r="AF46" s="50">
        <f>AF45-'Baseline expend'!AF45</f>
        <v>0</v>
      </c>
      <c r="AG46" s="50">
        <f>AG45-'Baseline expend'!AG45</f>
        <v>0</v>
      </c>
      <c r="AH46" s="50">
        <f>AH45-'Baseline expend'!AH45</f>
        <v>0</v>
      </c>
      <c r="AI46" s="50">
        <f>AI45-'Baseline expend'!AI45</f>
        <v>0</v>
      </c>
      <c r="AJ46" s="50">
        <f>AJ45-'Baseline expend'!AJ45</f>
        <v>0</v>
      </c>
      <c r="AK46" s="50">
        <f>AK45-'Baseline expend'!AK45</f>
        <v>0</v>
      </c>
    </row>
    <row r="47" spans="1:37">
      <c r="A47" s="57" t="s">
        <v>1162</v>
      </c>
      <c r="K47" s="50">
        <f>Revenue!K87/1000</f>
        <v>1.851925475973235E-10</v>
      </c>
      <c r="L47" s="50">
        <f>Revenue!L87/1000</f>
        <v>8.5188571894768804E-9</v>
      </c>
      <c r="M47" s="50">
        <f>Revenue!M87/1000</f>
        <v>7.6812258118750912E-9</v>
      </c>
      <c r="N47" s="50">
        <f>Revenue!N87/1000</f>
        <v>1.1681789790085217E-8</v>
      </c>
      <c r="O47" s="50">
        <f>Revenue!O87/1000</f>
        <v>2.3390265893364493E-8</v>
      </c>
      <c r="P47" s="50">
        <f>Revenue!P87/1000</f>
        <v>4.0271768787402665E-8</v>
      </c>
      <c r="Q47" s="50">
        <f>Revenue!Q87/1000</f>
        <v>0.80060355987172305</v>
      </c>
      <c r="R47" s="50">
        <f>Revenue!R87/1000</f>
        <v>0.89298576078702807</v>
      </c>
      <c r="S47" s="50">
        <f>Revenue!S87/1000</f>
        <v>0.99332678996123225</v>
      </c>
      <c r="T47" s="50">
        <f>Revenue!T87/1000</f>
        <v>1.073120182883972</v>
      </c>
      <c r="U47" s="50">
        <f>Revenue!U87/1000</f>
        <v>1.1372045498211432</v>
      </c>
      <c r="V47" s="50">
        <f>Revenue!V87/1000</f>
        <v>1.1924784733743881</v>
      </c>
      <c r="W47" s="50">
        <f>Revenue!W87/1000</f>
        <v>1.2559686561301984</v>
      </c>
      <c r="X47" s="50">
        <f>Revenue!X87/1000</f>
        <v>1.3017197770124835</v>
      </c>
      <c r="Y47" s="50">
        <f>Revenue!Y87/1000</f>
        <v>1.3408968026355137</v>
      </c>
      <c r="Z47" s="50">
        <f>Revenue!Z87/1000</f>
        <v>1.3867715295098044</v>
      </c>
      <c r="AA47" s="50">
        <f>Revenue!AA87/1000</f>
        <v>4.412765481060946E-7</v>
      </c>
      <c r="AB47" s="50">
        <f>Revenue!AB87/1000</f>
        <v>4.6912161724447642E-7</v>
      </c>
      <c r="AC47" s="50">
        <f>Revenue!AC87/1000</f>
        <v>4.9546893733998223E-7</v>
      </c>
      <c r="AD47" s="50">
        <f>Revenue!AD87/1000</f>
        <v>5.2060703441858477E-7</v>
      </c>
      <c r="AE47" s="50">
        <f>Revenue!AE87/1000</f>
        <v>5.4479625184337897E-7</v>
      </c>
      <c r="AF47" s="50">
        <f>Revenue!AF87/1000</f>
        <v>5.6764274446841072E-7</v>
      </c>
      <c r="AG47" s="50">
        <f>Revenue!AG87/1000</f>
        <v>5.9001049482059135E-7</v>
      </c>
      <c r="AH47" s="50">
        <f>Revenue!AH87/1000</f>
        <v>6.1066574628897405E-7</v>
      </c>
      <c r="AI47" s="50">
        <f>Revenue!AI87/1000</f>
        <v>6.2997048540308856E-7</v>
      </c>
      <c r="AJ47" s="50">
        <f>Revenue!AJ87/1000</f>
        <v>6.4786557278247466E-7</v>
      </c>
      <c r="AK47" s="50">
        <f>Revenue!AK87/1000</f>
        <v>6.655663437938375E-7</v>
      </c>
    </row>
    <row r="48" spans="1:37">
      <c r="A48" s="57" t="s">
        <v>1163</v>
      </c>
      <c r="K48" s="454">
        <f>K47-K46</f>
        <v>1.851925475973235E-10</v>
      </c>
      <c r="L48" s="454">
        <f t="shared" ref="L48:AK48" si="5">L47-L46</f>
        <v>8.5188571894768804E-9</v>
      </c>
      <c r="M48" s="454">
        <f t="shared" si="5"/>
        <v>7.6812258118750912E-9</v>
      </c>
      <c r="N48" s="454">
        <f t="shared" si="5"/>
        <v>1.1681789790085217E-8</v>
      </c>
      <c r="O48" s="454">
        <f t="shared" si="5"/>
        <v>2.3390265893364493E-8</v>
      </c>
      <c r="P48" s="454">
        <f t="shared" si="5"/>
        <v>4.0271768787402665E-8</v>
      </c>
      <c r="Q48" s="454">
        <f t="shared" si="5"/>
        <v>-3.6830587811168658E-2</v>
      </c>
      <c r="R48" s="454">
        <f t="shared" si="5"/>
        <v>2.7507881962134051E-2</v>
      </c>
      <c r="S48" s="454">
        <f t="shared" si="5"/>
        <v>9.562590616912392E-2</v>
      </c>
      <c r="T48" s="454">
        <f t="shared" si="5"/>
        <v>0.17089627829355059</v>
      </c>
      <c r="U48" s="454">
        <f t="shared" si="5"/>
        <v>0.2343306465707482</v>
      </c>
      <c r="V48" s="454">
        <f t="shared" si="5"/>
        <v>0.30261895037026498</v>
      </c>
      <c r="W48" s="454">
        <f t="shared" si="5"/>
        <v>0.40640175299024328</v>
      </c>
      <c r="X48" s="454">
        <f t="shared" si="5"/>
        <v>0.48331331617807338</v>
      </c>
      <c r="Y48" s="454">
        <f t="shared" si="5"/>
        <v>0.56238023287401373</v>
      </c>
      <c r="Z48" s="454">
        <f t="shared" si="5"/>
        <v>0.64889530475311474</v>
      </c>
      <c r="AA48" s="454">
        <f t="shared" si="5"/>
        <v>4.412765481060946E-7</v>
      </c>
      <c r="AB48" s="454">
        <f t="shared" si="5"/>
        <v>4.6912161724447642E-7</v>
      </c>
      <c r="AC48" s="454">
        <f t="shared" si="5"/>
        <v>4.9546893733998223E-7</v>
      </c>
      <c r="AD48" s="454">
        <f t="shared" si="5"/>
        <v>5.2060703441858477E-7</v>
      </c>
      <c r="AE48" s="454">
        <f t="shared" si="5"/>
        <v>5.4479625184337897E-7</v>
      </c>
      <c r="AF48" s="454">
        <f t="shared" si="5"/>
        <v>5.6764274446841072E-7</v>
      </c>
      <c r="AG48" s="454">
        <f t="shared" si="5"/>
        <v>5.9001049482059135E-7</v>
      </c>
      <c r="AH48" s="454">
        <f t="shared" si="5"/>
        <v>6.1066574628897405E-7</v>
      </c>
      <c r="AI48" s="454">
        <f t="shared" si="5"/>
        <v>6.2997048540308856E-7</v>
      </c>
      <c r="AJ48" s="454">
        <f t="shared" si="5"/>
        <v>6.4786557278247466E-7</v>
      </c>
      <c r="AK48" s="454">
        <f t="shared" si="5"/>
        <v>6.655663437938375E-7</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AK130"/>
  <sheetViews>
    <sheetView tabSelected="1" topLeftCell="A100" workbookViewId="0">
      <pane xSplit="1" topLeftCell="H1" activePane="topRight" state="frozen"/>
      <selection pane="topRight" activeCell="S137" sqref="S137"/>
    </sheetView>
  </sheetViews>
  <sheetFormatPr defaultColWidth="9.140625" defaultRowHeight="12.75"/>
  <cols>
    <col min="1" max="1" width="31.140625" style="19" customWidth="1"/>
    <col min="2" max="8" width="8.7109375" style="19" customWidth="1"/>
    <col min="9" max="9" width="9.28515625" style="19" customWidth="1"/>
    <col min="10" max="11" width="8.7109375" style="19" customWidth="1"/>
    <col min="12" max="12" width="9.28515625" style="19" customWidth="1"/>
    <col min="13" max="13" width="9" style="19" customWidth="1"/>
    <col min="14" max="14" width="8.7109375" style="19" customWidth="1"/>
    <col min="15" max="23" width="9.140625" style="19" customWidth="1"/>
    <col min="24" max="37" width="8.7109375" style="19" customWidth="1"/>
    <col min="38" max="16384" width="9.140625" style="19"/>
  </cols>
  <sheetData>
    <row r="1" spans="1:37" ht="27">
      <c r="A1" s="176" t="s">
        <v>204</v>
      </c>
      <c r="B1" s="39"/>
      <c r="C1" s="39"/>
      <c r="D1" s="39"/>
      <c r="E1" s="39"/>
      <c r="F1" s="39"/>
      <c r="G1" s="39"/>
    </row>
    <row r="2" spans="1:37" ht="15" customHeight="1">
      <c r="A2" s="177"/>
      <c r="B2" s="177"/>
      <c r="C2" s="39"/>
      <c r="D2" s="39"/>
      <c r="E2" s="39"/>
      <c r="F2" s="39"/>
      <c r="G2" s="39"/>
    </row>
    <row r="3" spans="1:37" ht="15" customHeight="1">
      <c r="A3" s="177" t="s">
        <v>383</v>
      </c>
      <c r="C3" s="177" t="s">
        <v>1023</v>
      </c>
      <c r="D3" s="39"/>
      <c r="E3" s="39"/>
      <c r="F3" s="39"/>
      <c r="G3" s="39"/>
    </row>
    <row r="4" spans="1:37" ht="15" customHeight="1">
      <c r="A4" s="178" t="s">
        <v>380</v>
      </c>
      <c r="C4" s="177" t="s">
        <v>1212</v>
      </c>
      <c r="D4" s="39"/>
      <c r="E4" s="39"/>
      <c r="F4" s="39"/>
      <c r="G4" s="39"/>
    </row>
    <row r="5" spans="1:37" ht="15">
      <c r="C5" s="315"/>
      <c r="D5" s="55"/>
      <c r="E5" s="55"/>
      <c r="F5" s="55"/>
      <c r="G5" s="55"/>
      <c r="O5" s="577"/>
    </row>
    <row r="7" spans="1:37" s="175" customFormat="1" ht="13.5">
      <c r="A7" s="179" t="s">
        <v>205</v>
      </c>
      <c r="B7" s="179">
        <v>2005</v>
      </c>
      <c r="C7" s="179">
        <v>2006</v>
      </c>
      <c r="D7" s="179">
        <v>2007</v>
      </c>
      <c r="E7" s="179">
        <v>2008</v>
      </c>
      <c r="F7" s="179">
        <v>2009</v>
      </c>
      <c r="G7" s="179">
        <v>2010</v>
      </c>
      <c r="H7" s="179">
        <v>2011</v>
      </c>
      <c r="I7" s="179">
        <v>2012</v>
      </c>
      <c r="J7" s="179">
        <v>2013</v>
      </c>
      <c r="K7" s="179">
        <v>2014</v>
      </c>
      <c r="L7" s="179">
        <v>2015</v>
      </c>
      <c r="M7" s="179">
        <v>2016</v>
      </c>
      <c r="N7" s="179">
        <v>2017</v>
      </c>
      <c r="O7" s="179">
        <v>2018</v>
      </c>
      <c r="P7" s="179">
        <v>2019</v>
      </c>
      <c r="Q7" s="179">
        <v>2020</v>
      </c>
      <c r="R7" s="179">
        <v>2021</v>
      </c>
      <c r="S7" s="179">
        <v>2022</v>
      </c>
      <c r="T7" s="179">
        <v>2023</v>
      </c>
      <c r="U7" s="179">
        <v>2024</v>
      </c>
      <c r="V7" s="179">
        <v>2025</v>
      </c>
      <c r="W7" s="179">
        <v>2026</v>
      </c>
      <c r="X7" s="179">
        <v>2027</v>
      </c>
      <c r="Y7" s="179">
        <v>2028</v>
      </c>
      <c r="Z7" s="179">
        <v>2029</v>
      </c>
      <c r="AA7" s="179">
        <v>2030</v>
      </c>
      <c r="AB7" s="179">
        <v>2031</v>
      </c>
      <c r="AC7" s="179">
        <v>2032</v>
      </c>
      <c r="AD7" s="179">
        <v>2033</v>
      </c>
      <c r="AE7" s="179">
        <v>2034</v>
      </c>
      <c r="AF7" s="179">
        <v>2035</v>
      </c>
      <c r="AG7" s="179">
        <v>2036</v>
      </c>
      <c r="AH7" s="179">
        <v>2037</v>
      </c>
      <c r="AI7" s="179">
        <v>2038</v>
      </c>
      <c r="AJ7" s="179">
        <v>2039</v>
      </c>
      <c r="AK7" s="179">
        <v>2040</v>
      </c>
    </row>
    <row r="8" spans="1:37" ht="17.100000000000001" customHeight="1">
      <c r="A8" s="19" t="s">
        <v>23</v>
      </c>
    </row>
    <row r="9" spans="1:37">
      <c r="A9" s="19" t="s">
        <v>24</v>
      </c>
      <c r="B9" s="68"/>
      <c r="C9" s="68"/>
      <c r="D9" s="68"/>
      <c r="E9" s="68"/>
      <c r="F9" s="68"/>
      <c r="G9" s="68"/>
      <c r="H9" s="68"/>
      <c r="I9" s="68"/>
      <c r="J9" s="68"/>
      <c r="K9" s="68">
        <f>'Adjusted Consumption'!K8*ramps!L22*1000</f>
        <v>0</v>
      </c>
      <c r="L9" s="68">
        <f>'Adjusted Consumption'!L8*ramps!M22*1000</f>
        <v>0</v>
      </c>
      <c r="M9" s="68">
        <f>'Adjusted Consumption'!M8*ramps!N22*1000</f>
        <v>0</v>
      </c>
      <c r="N9" s="68">
        <f>'Adjusted Consumption'!N8*ramps!O22*1000</f>
        <v>0</v>
      </c>
      <c r="O9" s="68">
        <f>'Adjusted Consumption'!O8*ramps!P22*1000</f>
        <v>0</v>
      </c>
      <c r="P9" s="68">
        <f>'Adjusted Consumption'!P8*ramps!Q22*1000</f>
        <v>0</v>
      </c>
      <c r="Q9" s="68">
        <f>'Adjusted Consumption'!Q8*ramps!R22*1000</f>
        <v>6.0891492705019834</v>
      </c>
      <c r="R9" s="68">
        <f>'Adjusted Consumption'!R8*ramps!S22*1000</f>
        <v>6.7819488535771431</v>
      </c>
      <c r="S9" s="68">
        <f>'Adjusted Consumption'!S8*ramps!T22*1000</f>
        <v>7.426878951640302</v>
      </c>
      <c r="T9" s="68">
        <f>'Adjusted Consumption'!T8*ramps!U22*1000</f>
        <v>8.0306599647701802</v>
      </c>
      <c r="U9" s="68">
        <f>'Adjusted Consumption'!U8*ramps!V22*1000</f>
        <v>8.5874769476861328</v>
      </c>
      <c r="V9" s="68">
        <f>'Adjusted Consumption'!V8*ramps!W22*1000</f>
        <v>9.0909196972217785</v>
      </c>
      <c r="W9" s="68">
        <f>'Adjusted Consumption'!W8*ramps!X22*1000</f>
        <v>9.5460712830275476</v>
      </c>
      <c r="X9" s="68">
        <f>'Adjusted Consumption'!X8*ramps!Y22*1000</f>
        <v>9.954380736687563</v>
      </c>
      <c r="Y9" s="68">
        <f>'Adjusted Consumption'!Y8*ramps!Z22*1000</f>
        <v>10.302931219820714</v>
      </c>
      <c r="Z9" s="68">
        <f>'Adjusted Consumption'!Z8*ramps!AA22*1000</f>
        <v>10.691348139551385</v>
      </c>
      <c r="AA9" s="68">
        <f>'Adjusted Consumption'!AA8*ramps!AB22*1000</f>
        <v>0</v>
      </c>
      <c r="AB9" s="68">
        <f>'Adjusted Consumption'!AB8*ramps!AC22*1000</f>
        <v>0</v>
      </c>
      <c r="AC9" s="68">
        <f>'Adjusted Consumption'!AC8*ramps!AD22*1000</f>
        <v>0</v>
      </c>
      <c r="AD9" s="68">
        <f>'Adjusted Consumption'!AD8*ramps!AE22*1000</f>
        <v>0</v>
      </c>
      <c r="AE9" s="68">
        <f>'Adjusted Consumption'!AE8*ramps!AF22*1000</f>
        <v>0</v>
      </c>
      <c r="AF9" s="68">
        <f>'Adjusted Consumption'!AF8*ramps!AG22*1000</f>
        <v>0</v>
      </c>
      <c r="AG9" s="68">
        <f>'Adjusted Consumption'!AG8*ramps!AH22*1000</f>
        <v>0</v>
      </c>
      <c r="AH9" s="68">
        <f>'Adjusted Consumption'!AH8*ramps!AI22*1000</f>
        <v>0</v>
      </c>
      <c r="AI9" s="68">
        <f>'Adjusted Consumption'!AI8*ramps!AJ22*1000</f>
        <v>0</v>
      </c>
      <c r="AJ9" s="68">
        <f>'Adjusted Consumption'!AJ8*ramps!AK22*1000</f>
        <v>0</v>
      </c>
      <c r="AK9" s="68">
        <f>'Adjusted Consumption'!AK8*ramps!AL22*1000</f>
        <v>0</v>
      </c>
    </row>
    <row r="10" spans="1:37">
      <c r="A10" s="19" t="s">
        <v>56</v>
      </c>
      <c r="B10" s="68"/>
      <c r="C10" s="68"/>
      <c r="D10" s="68"/>
      <c r="E10" s="68"/>
      <c r="F10" s="68"/>
      <c r="G10" s="68"/>
      <c r="H10" s="68"/>
      <c r="I10" s="68"/>
      <c r="J10" s="68"/>
      <c r="K10" s="68">
        <v>0</v>
      </c>
      <c r="L10" s="68">
        <v>0</v>
      </c>
      <c r="M10" s="68">
        <v>0</v>
      </c>
      <c r="N10" s="68">
        <v>0</v>
      </c>
      <c r="O10" s="68">
        <v>0</v>
      </c>
      <c r="P10" s="68">
        <v>0</v>
      </c>
      <c r="Q10" s="68">
        <v>0</v>
      </c>
      <c r="R10" s="68">
        <v>0</v>
      </c>
      <c r="S10" s="68">
        <v>0</v>
      </c>
      <c r="T10" s="68">
        <v>0</v>
      </c>
      <c r="U10" s="68">
        <v>0</v>
      </c>
      <c r="V10" s="68">
        <v>0</v>
      </c>
      <c r="W10" s="68">
        <v>0</v>
      </c>
      <c r="X10" s="68">
        <v>0</v>
      </c>
      <c r="Y10" s="68">
        <v>0</v>
      </c>
      <c r="Z10" s="68">
        <v>0</v>
      </c>
      <c r="AA10" s="68">
        <v>0</v>
      </c>
      <c r="AB10" s="68">
        <v>0</v>
      </c>
      <c r="AC10" s="68">
        <v>0</v>
      </c>
      <c r="AD10" s="68">
        <v>0</v>
      </c>
      <c r="AE10" s="68">
        <v>0</v>
      </c>
      <c r="AF10" s="68">
        <v>0</v>
      </c>
      <c r="AG10" s="68">
        <v>0</v>
      </c>
      <c r="AH10" s="68">
        <v>0</v>
      </c>
      <c r="AI10" s="68">
        <v>0</v>
      </c>
      <c r="AJ10" s="68">
        <v>0</v>
      </c>
      <c r="AK10" s="68">
        <v>0</v>
      </c>
    </row>
    <row r="11" spans="1:37">
      <c r="A11" s="19" t="s">
        <v>25</v>
      </c>
      <c r="B11" s="68"/>
      <c r="C11" s="68"/>
      <c r="D11" s="68"/>
      <c r="E11" s="68"/>
      <c r="F11" s="68"/>
      <c r="G11" s="68"/>
      <c r="H11" s="68"/>
      <c r="I11" s="68"/>
      <c r="J11" s="68"/>
      <c r="K11" s="68">
        <f>'Adjusted Consumption'!K10*ramps!L20*1000</f>
        <v>0</v>
      </c>
      <c r="L11" s="68">
        <f>'Adjusted Consumption'!L10*ramps!M20*1000</f>
        <v>0</v>
      </c>
      <c r="M11" s="68">
        <f>'Adjusted Consumption'!M10*ramps!N20*1000</f>
        <v>0</v>
      </c>
      <c r="N11" s="68">
        <f>'Adjusted Consumption'!N10*ramps!O20*1000</f>
        <v>0</v>
      </c>
      <c r="O11" s="68">
        <f>'Adjusted Consumption'!O10*ramps!P20*1000</f>
        <v>0</v>
      </c>
      <c r="P11" s="68">
        <f>'Adjusted Consumption'!P10*ramps!Q20*1000</f>
        <v>0</v>
      </c>
      <c r="Q11" s="68">
        <f>'Adjusted Consumption'!Q10*ramps!R20*1000</f>
        <v>3.7426327591923365</v>
      </c>
      <c r="R11" s="68">
        <f>'Adjusted Consumption'!R10*ramps!S20*1000</f>
        <v>4.0781161232030883</v>
      </c>
      <c r="S11" s="68">
        <f>'Adjusted Consumption'!S10*ramps!T20*1000</f>
        <v>4.3899067449562184</v>
      </c>
      <c r="T11" s="68">
        <f>'Adjusted Consumption'!T10*ramps!U20*1000</f>
        <v>4.6825894382161506</v>
      </c>
      <c r="U11" s="68">
        <f>'Adjusted Consumption'!U10*ramps!V20*1000</f>
        <v>4.9486937538231368</v>
      </c>
      <c r="V11" s="68">
        <f>'Adjusted Consumption'!V10*ramps!W20*1000</f>
        <v>5.1807151119453447</v>
      </c>
      <c r="W11" s="68">
        <f>'Adjusted Consumption'!W10*ramps!X20*1000</f>
        <v>5.3805178738730568</v>
      </c>
      <c r="X11" s="68">
        <f>'Adjusted Consumption'!X10*ramps!Y20*1000</f>
        <v>5.5431356424446738</v>
      </c>
      <c r="Y11" s="68">
        <f>'Adjusted Consumption'!Y10*ramps!Z20*1000</f>
        <v>5.667244495754959</v>
      </c>
      <c r="Z11" s="68">
        <f>'Adjusted Consumption'!Z10*ramps!AA20*1000</f>
        <v>5.8076083018804514</v>
      </c>
      <c r="AA11" s="68">
        <f>'Adjusted Consumption'!AA10*ramps!AB20*1000</f>
        <v>0</v>
      </c>
      <c r="AB11" s="68">
        <f>'Adjusted Consumption'!AB10*ramps!AC20*1000</f>
        <v>0</v>
      </c>
      <c r="AC11" s="68">
        <f>'Adjusted Consumption'!AC10*ramps!AD20*1000</f>
        <v>0</v>
      </c>
      <c r="AD11" s="68">
        <f>'Adjusted Consumption'!AD10*ramps!AE20*1000</f>
        <v>0</v>
      </c>
      <c r="AE11" s="68">
        <f>'Adjusted Consumption'!AE10*ramps!AF20*1000</f>
        <v>0</v>
      </c>
      <c r="AF11" s="68">
        <f>'Adjusted Consumption'!AF10*ramps!AG20*1000</f>
        <v>0</v>
      </c>
      <c r="AG11" s="68">
        <f>'Adjusted Consumption'!AG10*ramps!AH20*1000</f>
        <v>0</v>
      </c>
      <c r="AH11" s="68">
        <f>'Adjusted Consumption'!AH10*ramps!AI20*1000</f>
        <v>0</v>
      </c>
      <c r="AI11" s="68">
        <f>'Adjusted Consumption'!AI10*ramps!AJ20*1000</f>
        <v>0</v>
      </c>
      <c r="AJ11" s="68">
        <f>'Adjusted Consumption'!AJ10*ramps!AK20*1000</f>
        <v>0</v>
      </c>
      <c r="AK11" s="68">
        <f>'Adjusted Consumption'!AK10*ramps!AL20*1000</f>
        <v>0</v>
      </c>
    </row>
    <row r="12" spans="1:37">
      <c r="A12" s="19" t="s">
        <v>26</v>
      </c>
      <c r="B12" s="68"/>
      <c r="C12" s="68"/>
      <c r="D12" s="68"/>
      <c r="E12" s="68"/>
      <c r="F12" s="68"/>
      <c r="G12" s="68"/>
      <c r="H12" s="68"/>
      <c r="I12" s="68"/>
      <c r="J12" s="68"/>
      <c r="K12" s="68">
        <f>'Adjusted Consumption'!K11*ramps!L17*1000</f>
        <v>0</v>
      </c>
      <c r="L12" s="68">
        <f>'Adjusted Consumption'!L11*ramps!M17*1000</f>
        <v>0</v>
      </c>
      <c r="M12" s="68">
        <f>'Adjusted Consumption'!M11*ramps!N17*1000</f>
        <v>0</v>
      </c>
      <c r="N12" s="68">
        <f>'Adjusted Consumption'!N11*ramps!O17*1000</f>
        <v>0</v>
      </c>
      <c r="O12" s="68">
        <f>'Adjusted Consumption'!O11*ramps!P17*1000</f>
        <v>0</v>
      </c>
      <c r="P12" s="68">
        <f>'Adjusted Consumption'!P11*ramps!Q17*1000</f>
        <v>0</v>
      </c>
      <c r="Q12" s="68">
        <f>'Adjusted Consumption'!Q11*ramps!R17*1000</f>
        <v>62.016848186283191</v>
      </c>
      <c r="R12" s="68">
        <f>'Adjusted Consumption'!R11*ramps!S17*1000</f>
        <v>69.942196459058565</v>
      </c>
      <c r="S12" s="68">
        <f>'Adjusted Consumption'!S11*ramps!T17*1000</f>
        <v>77.590586319521549</v>
      </c>
      <c r="T12" s="68">
        <f>'Adjusted Consumption'!T11*ramps!U17*1000</f>
        <v>84.784426352469978</v>
      </c>
      <c r="U12" s="68">
        <f>'Adjusted Consumption'!U11*ramps!V17*1000</f>
        <v>91.561935702955338</v>
      </c>
      <c r="V12" s="68">
        <f>'Adjusted Consumption'!V11*ramps!W17*1000</f>
        <v>97.749221021079862</v>
      </c>
      <c r="W12" s="68">
        <f>'Adjusted Consumption'!W11*ramps!X17*1000</f>
        <v>103.54012826045854</v>
      </c>
      <c r="X12" s="68">
        <f>'Adjusted Consumption'!X11*ramps!Y17*1000</f>
        <v>108.88010009355753</v>
      </c>
      <c r="Y12" s="68">
        <f>'Adjusted Consumption'!Y11*ramps!Z17*1000</f>
        <v>113.67043843034496</v>
      </c>
      <c r="Z12" s="68">
        <f>'Adjusted Consumption'!Z11*ramps!AA17*1000</f>
        <v>118.97797207829773</v>
      </c>
      <c r="AA12" s="68">
        <f>'Adjusted Consumption'!AA11*ramps!AB17*1000</f>
        <v>0</v>
      </c>
      <c r="AB12" s="68">
        <f>'Adjusted Consumption'!AB11*ramps!AC17*1000</f>
        <v>0</v>
      </c>
      <c r="AC12" s="68">
        <f>'Adjusted Consumption'!AC11*ramps!AD17*1000</f>
        <v>0</v>
      </c>
      <c r="AD12" s="68">
        <f>'Adjusted Consumption'!AD11*ramps!AE17*1000</f>
        <v>0</v>
      </c>
      <c r="AE12" s="68">
        <f>'Adjusted Consumption'!AE11*ramps!AF17*1000</f>
        <v>0</v>
      </c>
      <c r="AF12" s="68">
        <f>'Adjusted Consumption'!AF11*ramps!AG17*1000</f>
        <v>0</v>
      </c>
      <c r="AG12" s="68">
        <f>'Adjusted Consumption'!AG11*ramps!AH17*1000</f>
        <v>0</v>
      </c>
      <c r="AH12" s="68">
        <f>'Adjusted Consumption'!AH11*ramps!AI17*1000</f>
        <v>0</v>
      </c>
      <c r="AI12" s="68">
        <f>'Adjusted Consumption'!AI11*ramps!AJ17*1000</f>
        <v>0</v>
      </c>
      <c r="AJ12" s="68">
        <f>'Adjusted Consumption'!AJ11*ramps!AK17*1000</f>
        <v>0</v>
      </c>
      <c r="AK12" s="68">
        <f>'Adjusted Consumption'!AK11*ramps!AL17*1000</f>
        <v>0</v>
      </c>
    </row>
    <row r="13" spans="1:37">
      <c r="A13" s="19" t="s">
        <v>58</v>
      </c>
      <c r="B13" s="68"/>
      <c r="C13" s="68"/>
      <c r="D13" s="68"/>
      <c r="E13" s="68"/>
      <c r="F13" s="68"/>
      <c r="G13" s="68"/>
      <c r="H13" s="68"/>
      <c r="I13" s="68"/>
      <c r="J13" s="68"/>
      <c r="K13" s="68">
        <v>0</v>
      </c>
      <c r="L13" s="68">
        <v>0</v>
      </c>
      <c r="M13" s="68">
        <v>0</v>
      </c>
      <c r="N13" s="68">
        <v>0</v>
      </c>
      <c r="O13" s="68">
        <v>0</v>
      </c>
      <c r="P13" s="68">
        <v>0</v>
      </c>
      <c r="Q13" s="68">
        <v>0</v>
      </c>
      <c r="R13" s="68">
        <v>0</v>
      </c>
      <c r="S13" s="68">
        <v>0</v>
      </c>
      <c r="T13" s="68">
        <v>0</v>
      </c>
      <c r="U13" s="68">
        <v>0</v>
      </c>
      <c r="V13" s="68">
        <v>0</v>
      </c>
      <c r="W13" s="68">
        <v>0</v>
      </c>
      <c r="X13" s="68">
        <v>0</v>
      </c>
      <c r="Y13" s="68">
        <v>0</v>
      </c>
      <c r="Z13" s="68">
        <v>0</v>
      </c>
      <c r="AA13" s="68">
        <v>0</v>
      </c>
      <c r="AB13" s="68">
        <v>0</v>
      </c>
      <c r="AC13" s="68">
        <v>0</v>
      </c>
      <c r="AD13" s="68">
        <v>0</v>
      </c>
      <c r="AE13" s="68">
        <v>0</v>
      </c>
      <c r="AF13" s="68">
        <v>0</v>
      </c>
      <c r="AG13" s="68">
        <v>0</v>
      </c>
      <c r="AH13" s="68">
        <v>0</v>
      </c>
      <c r="AI13" s="68">
        <v>0</v>
      </c>
      <c r="AJ13" s="68">
        <v>0</v>
      </c>
      <c r="AK13" s="68">
        <v>0</v>
      </c>
    </row>
    <row r="14" spans="1:37">
      <c r="A14" s="19" t="s">
        <v>27</v>
      </c>
      <c r="B14" s="68"/>
      <c r="C14" s="68"/>
      <c r="D14" s="68"/>
      <c r="E14" s="68"/>
      <c r="F14" s="68"/>
      <c r="G14" s="68"/>
      <c r="H14" s="68"/>
      <c r="I14" s="68"/>
      <c r="J14" s="68"/>
      <c r="K14" s="68">
        <f>K83*'Adjusted Consumption'!K163</f>
        <v>0</v>
      </c>
      <c r="L14" s="68">
        <f>L83*'Adjusted Consumption'!L163</f>
        <v>0</v>
      </c>
      <c r="M14" s="68">
        <f>M83*'Adjusted Consumption'!M163</f>
        <v>0</v>
      </c>
      <c r="N14" s="68">
        <f>N83*'Adjusted Consumption'!N163</f>
        <v>0</v>
      </c>
      <c r="O14" s="68">
        <f>O83*'Adjusted Consumption'!O163</f>
        <v>0</v>
      </c>
      <c r="P14" s="68">
        <f>P83*'Adjusted Consumption'!P163</f>
        <v>0</v>
      </c>
      <c r="Q14" s="68">
        <f>Q83*'Adjusted Consumption'!Q163</f>
        <v>44.267184482719308</v>
      </c>
      <c r="R14" s="68">
        <f>R83*'Adjusted Consumption'!R163</f>
        <v>49.947722946702335</v>
      </c>
      <c r="S14" s="68">
        <f>S83*'Adjusted Consumption'!S163</f>
        <v>59.962099900132444</v>
      </c>
      <c r="T14" s="68">
        <f>T83*'Adjusted Consumption'!T163</f>
        <v>65.023869648911813</v>
      </c>
      <c r="U14" s="68">
        <f>U83*'Adjusted Consumption'!U163</f>
        <v>67.136982601593473</v>
      </c>
      <c r="V14" s="68">
        <f>V83*'Adjusted Consumption'!V163</f>
        <v>68.969680098965313</v>
      </c>
      <c r="W14" s="68">
        <f>W83*'Adjusted Consumption'!W163</f>
        <v>75.235679285717666</v>
      </c>
      <c r="X14" s="68">
        <f>X83*'Adjusted Consumption'!X163</f>
        <v>76.42930423073436</v>
      </c>
      <c r="Y14" s="68">
        <f>Y83*'Adjusted Consumption'!Y163</f>
        <v>77.085276186859545</v>
      </c>
      <c r="Z14" s="68">
        <f>Z83*'Adjusted Consumption'!Z163</f>
        <v>78.541389695485577</v>
      </c>
      <c r="AA14" s="68">
        <f>AA83*'Adjusted Consumption'!AA163</f>
        <v>0</v>
      </c>
      <c r="AB14" s="68">
        <f>AB83*'Adjusted Consumption'!AB163</f>
        <v>0</v>
      </c>
      <c r="AC14" s="68">
        <f>AC83*'Adjusted Consumption'!AC163</f>
        <v>0</v>
      </c>
      <c r="AD14" s="68">
        <f>AD83*'Adjusted Consumption'!AD163</f>
        <v>0</v>
      </c>
      <c r="AE14" s="68">
        <f>AE83*'Adjusted Consumption'!AE163</f>
        <v>0</v>
      </c>
      <c r="AF14" s="68">
        <f>AF83*'Adjusted Consumption'!AF163</f>
        <v>0</v>
      </c>
      <c r="AG14" s="68">
        <f>AG83*'Adjusted Consumption'!AG163</f>
        <v>0</v>
      </c>
      <c r="AH14" s="68">
        <f>AH83*'Adjusted Consumption'!AH163</f>
        <v>0</v>
      </c>
      <c r="AI14" s="68">
        <f>AI83*'Adjusted Consumption'!AI163</f>
        <v>0</v>
      </c>
      <c r="AJ14" s="68">
        <f>AJ83*'Adjusted Consumption'!AJ163</f>
        <v>0</v>
      </c>
      <c r="AK14" s="68">
        <f>AK83*'Adjusted Consumption'!AK163</f>
        <v>0</v>
      </c>
    </row>
    <row r="15" spans="1:37">
      <c r="A15" s="19" t="s">
        <v>28</v>
      </c>
      <c r="B15" s="68"/>
      <c r="C15" s="68"/>
      <c r="D15" s="68"/>
      <c r="E15" s="68"/>
      <c r="F15" s="68"/>
      <c r="G15" s="68"/>
      <c r="H15" s="68"/>
      <c r="I15" s="68"/>
      <c r="J15" s="68"/>
      <c r="K15" s="180">
        <f t="shared" ref="K15:AK15" si="0">SUM(K9:K14)</f>
        <v>0</v>
      </c>
      <c r="L15" s="180">
        <f t="shared" si="0"/>
        <v>0</v>
      </c>
      <c r="M15" s="180">
        <f t="shared" si="0"/>
        <v>0</v>
      </c>
      <c r="N15" s="180">
        <f t="shared" si="0"/>
        <v>0</v>
      </c>
      <c r="O15" s="180">
        <f t="shared" si="0"/>
        <v>0</v>
      </c>
      <c r="P15" s="180">
        <f t="shared" si="0"/>
        <v>0</v>
      </c>
      <c r="Q15" s="180">
        <f t="shared" si="0"/>
        <v>116.11581469869682</v>
      </c>
      <c r="R15" s="180">
        <f t="shared" si="0"/>
        <v>130.74998438254113</v>
      </c>
      <c r="S15" s="180">
        <f t="shared" si="0"/>
        <v>149.36947191625052</v>
      </c>
      <c r="T15" s="180">
        <f t="shared" si="0"/>
        <v>162.52154540436811</v>
      </c>
      <c r="U15" s="180">
        <f t="shared" si="0"/>
        <v>172.23508900605808</v>
      </c>
      <c r="V15" s="180">
        <f t="shared" si="0"/>
        <v>180.99053592921229</v>
      </c>
      <c r="W15" s="180">
        <f t="shared" si="0"/>
        <v>193.70239670307683</v>
      </c>
      <c r="X15" s="180">
        <f t="shared" si="0"/>
        <v>200.80692070342411</v>
      </c>
      <c r="Y15" s="180">
        <f t="shared" si="0"/>
        <v>206.72589033278018</v>
      </c>
      <c r="Z15" s="180">
        <f t="shared" si="0"/>
        <v>214.01831821521515</v>
      </c>
      <c r="AA15" s="180">
        <f t="shared" si="0"/>
        <v>0</v>
      </c>
      <c r="AB15" s="180">
        <f t="shared" si="0"/>
        <v>0</v>
      </c>
      <c r="AC15" s="180">
        <f t="shared" si="0"/>
        <v>0</v>
      </c>
      <c r="AD15" s="180">
        <f t="shared" si="0"/>
        <v>0</v>
      </c>
      <c r="AE15" s="180">
        <f t="shared" si="0"/>
        <v>0</v>
      </c>
      <c r="AF15" s="180">
        <f t="shared" si="0"/>
        <v>0</v>
      </c>
      <c r="AG15" s="180">
        <f t="shared" si="0"/>
        <v>0</v>
      </c>
      <c r="AH15" s="180">
        <f t="shared" si="0"/>
        <v>0</v>
      </c>
      <c r="AI15" s="180">
        <f t="shared" si="0"/>
        <v>0</v>
      </c>
      <c r="AJ15" s="180">
        <f t="shared" si="0"/>
        <v>0</v>
      </c>
      <c r="AK15" s="180">
        <f t="shared" si="0"/>
        <v>0</v>
      </c>
    </row>
    <row r="16" spans="1:37">
      <c r="B16" s="68"/>
      <c r="C16" s="68"/>
      <c r="D16" s="68"/>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row>
    <row r="17" spans="1:37" ht="17.100000000000001" customHeight="1">
      <c r="A17" s="19" t="s">
        <v>29</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row>
    <row r="18" spans="1:37">
      <c r="A18" s="19" t="s">
        <v>24</v>
      </c>
      <c r="B18" s="68"/>
      <c r="C18" s="68"/>
      <c r="D18" s="68"/>
      <c r="E18" s="68"/>
      <c r="F18" s="68"/>
      <c r="G18" s="68"/>
      <c r="H18" s="68"/>
      <c r="I18" s="68"/>
      <c r="J18" s="68"/>
      <c r="K18" s="68">
        <f>'Adjusted Consumption'!K17*ramps!L22*1000</f>
        <v>0</v>
      </c>
      <c r="L18" s="68">
        <f>'Adjusted Consumption'!L17*ramps!M22*1000</f>
        <v>0</v>
      </c>
      <c r="M18" s="68">
        <f>'Adjusted Consumption'!M17*ramps!N22*1000</f>
        <v>0</v>
      </c>
      <c r="N18" s="68">
        <f>'Adjusted Consumption'!N17*ramps!O22*1000</f>
        <v>0</v>
      </c>
      <c r="O18" s="68">
        <f>'Adjusted Consumption'!O17*ramps!P22*1000</f>
        <v>0</v>
      </c>
      <c r="P18" s="68">
        <f>'Adjusted Consumption'!P17*ramps!Q22*1000</f>
        <v>0</v>
      </c>
      <c r="Q18" s="68">
        <f>'Adjusted Consumption'!Q17*ramps!R22*1000</f>
        <v>3.0180999857787674</v>
      </c>
      <c r="R18" s="68">
        <f>'Adjusted Consumption'!R17*ramps!S22*1000</f>
        <v>3.5717655225907041</v>
      </c>
      <c r="S18" s="68">
        <f>'Adjusted Consumption'!S17*ramps!T22*1000</f>
        <v>4.1456980707400053</v>
      </c>
      <c r="T18" s="68">
        <f>'Adjusted Consumption'!T17*ramps!U22*1000</f>
        <v>4.5816289620738919</v>
      </c>
      <c r="U18" s="68">
        <f>'Adjusted Consumption'!U17*ramps!V22*1000</f>
        <v>4.9991311046172857</v>
      </c>
      <c r="V18" s="68">
        <f>'Adjusted Consumption'!V17*ramps!W22*1000</f>
        <v>5.4168854683825325</v>
      </c>
      <c r="W18" s="68">
        <f>'Adjusted Consumption'!W17*ramps!X22*1000</f>
        <v>5.8182423024559791</v>
      </c>
      <c r="X18" s="68">
        <f>'Adjusted Consumption'!X17*ramps!Y22*1000</f>
        <v>6.204446355726172</v>
      </c>
      <c r="Y18" s="68">
        <f>'Adjusted Consumption'!Y17*ramps!Z22*1000</f>
        <v>6.5614238699412164</v>
      </c>
      <c r="Z18" s="68">
        <f>'Adjusted Consumption'!Z17*ramps!AA22*1000</f>
        <v>6.9342444766668638</v>
      </c>
      <c r="AA18" s="68">
        <f>'Adjusted Consumption'!AA17*ramps!AB22*1000</f>
        <v>0</v>
      </c>
      <c r="AB18" s="68">
        <f>'Adjusted Consumption'!AB17*ramps!AC22*1000</f>
        <v>0</v>
      </c>
      <c r="AC18" s="68">
        <f>'Adjusted Consumption'!AC17*ramps!AD22*1000</f>
        <v>0</v>
      </c>
      <c r="AD18" s="68">
        <f>'Adjusted Consumption'!AD17*ramps!AE22*1000</f>
        <v>0</v>
      </c>
      <c r="AE18" s="68">
        <f>'Adjusted Consumption'!AE17*ramps!AF22*1000</f>
        <v>0</v>
      </c>
      <c r="AF18" s="68">
        <f>'Adjusted Consumption'!AF17*ramps!AG22*1000</f>
        <v>0</v>
      </c>
      <c r="AG18" s="68">
        <f>'Adjusted Consumption'!AG17*ramps!AH22*1000</f>
        <v>0</v>
      </c>
      <c r="AH18" s="68">
        <f>'Adjusted Consumption'!AH17*ramps!AI22*1000</f>
        <v>0</v>
      </c>
      <c r="AI18" s="68">
        <f>'Adjusted Consumption'!AI17*ramps!AJ22*1000</f>
        <v>0</v>
      </c>
      <c r="AJ18" s="68">
        <f>'Adjusted Consumption'!AJ17*ramps!AK22*1000</f>
        <v>0</v>
      </c>
      <c r="AK18" s="68">
        <f>'Adjusted Consumption'!AK17*ramps!AL22*1000</f>
        <v>0</v>
      </c>
    </row>
    <row r="19" spans="1:37">
      <c r="A19" s="19" t="s">
        <v>30</v>
      </c>
      <c r="B19" s="68"/>
      <c r="C19" s="68"/>
      <c r="D19" s="68"/>
      <c r="E19" s="68"/>
      <c r="F19" s="68"/>
      <c r="G19" s="68"/>
      <c r="H19" s="68"/>
      <c r="I19" s="68"/>
      <c r="J19" s="68"/>
      <c r="K19" s="68">
        <f>'Adjusted Consumption'!K18*ramps!L16*1000</f>
        <v>0</v>
      </c>
      <c r="L19" s="68">
        <f>'Adjusted Consumption'!L18*ramps!M16*1000</f>
        <v>0</v>
      </c>
      <c r="M19" s="68">
        <f>'Adjusted Consumption'!M18*ramps!N16*1000</f>
        <v>0</v>
      </c>
      <c r="N19" s="68">
        <f>'Adjusted Consumption'!N18*ramps!O16*1000</f>
        <v>0</v>
      </c>
      <c r="O19" s="68">
        <f>'Adjusted Consumption'!O18*ramps!P16*1000</f>
        <v>0</v>
      </c>
      <c r="P19" s="68">
        <f>'Adjusted Consumption'!P18*ramps!Q16*1000</f>
        <v>0</v>
      </c>
      <c r="Q19" s="68">
        <f>'Adjusted Consumption'!Q18*ramps!R16*1000</f>
        <v>6.2647756059335595</v>
      </c>
      <c r="R19" s="68">
        <f>'Adjusted Consumption'!R18*ramps!S16*1000</f>
        <v>6.4193067616676087</v>
      </c>
      <c r="S19" s="68">
        <f>'Adjusted Consumption'!S18*ramps!T16*1000</f>
        <v>6.5245526671203233</v>
      </c>
      <c r="T19" s="68">
        <f>'Adjusted Consumption'!T18*ramps!U16*1000</f>
        <v>7.0778528678274375</v>
      </c>
      <c r="U19" s="68">
        <f>'Adjusted Consumption'!U18*ramps!V16*1000</f>
        <v>7.571053853877741</v>
      </c>
      <c r="V19" s="68">
        <f>'Adjusted Consumption'!V18*ramps!W16*1000</f>
        <v>8.1365601495707711</v>
      </c>
      <c r="W19" s="68">
        <f>'Adjusted Consumption'!W18*ramps!X16*1000</f>
        <v>8.6673993426548837</v>
      </c>
      <c r="X19" s="68">
        <f>'Adjusted Consumption'!X18*ramps!Y16*1000</f>
        <v>9.1333416986707707</v>
      </c>
      <c r="Y19" s="68">
        <f>'Adjusted Consumption'!Y18*ramps!Z16*1000</f>
        <v>9.5435775477177831</v>
      </c>
      <c r="Z19" s="68">
        <f>'Adjusted Consumption'!Z18*ramps!AA16*1000</f>
        <v>9.9799049232161998</v>
      </c>
      <c r="AA19" s="68">
        <f>'Adjusted Consumption'!AA18*ramps!AB16*1000</f>
        <v>0</v>
      </c>
      <c r="AB19" s="68">
        <f>'Adjusted Consumption'!AB18*ramps!AC16*1000</f>
        <v>0</v>
      </c>
      <c r="AC19" s="68">
        <f>'Adjusted Consumption'!AC18*ramps!AD16*1000</f>
        <v>0</v>
      </c>
      <c r="AD19" s="68">
        <f>'Adjusted Consumption'!AD18*ramps!AE16*1000</f>
        <v>0</v>
      </c>
      <c r="AE19" s="68">
        <f>'Adjusted Consumption'!AE18*ramps!AF16*1000</f>
        <v>0</v>
      </c>
      <c r="AF19" s="68">
        <f>'Adjusted Consumption'!AF18*ramps!AG16*1000</f>
        <v>0</v>
      </c>
      <c r="AG19" s="68">
        <f>'Adjusted Consumption'!AG18*ramps!AH16*1000</f>
        <v>0</v>
      </c>
      <c r="AH19" s="68">
        <f>'Adjusted Consumption'!AH18*ramps!AI16*1000</f>
        <v>0</v>
      </c>
      <c r="AI19" s="68">
        <f>'Adjusted Consumption'!AI18*ramps!AJ16*1000</f>
        <v>0</v>
      </c>
      <c r="AJ19" s="68">
        <f>'Adjusted Consumption'!AJ18*ramps!AK16*1000</f>
        <v>0</v>
      </c>
      <c r="AK19" s="68">
        <f>'Adjusted Consumption'!AK18*ramps!AL16*1000</f>
        <v>0</v>
      </c>
    </row>
    <row r="20" spans="1:37">
      <c r="A20" s="19" t="s">
        <v>56</v>
      </c>
      <c r="B20" s="68"/>
      <c r="C20" s="68"/>
      <c r="D20" s="68"/>
      <c r="E20" s="68"/>
      <c r="F20" s="68"/>
      <c r="G20" s="68"/>
      <c r="H20" s="68"/>
      <c r="I20" s="68"/>
      <c r="J20" s="68"/>
      <c r="K20" s="68">
        <v>0</v>
      </c>
      <c r="L20" s="68">
        <v>0</v>
      </c>
      <c r="M20" s="68">
        <v>0</v>
      </c>
      <c r="N20" s="68">
        <v>0</v>
      </c>
      <c r="O20" s="68">
        <v>0</v>
      </c>
      <c r="P20" s="68">
        <v>0</v>
      </c>
      <c r="Q20" s="68">
        <v>0</v>
      </c>
      <c r="R20" s="68">
        <v>0</v>
      </c>
      <c r="S20" s="68">
        <v>0</v>
      </c>
      <c r="T20" s="68">
        <v>0</v>
      </c>
      <c r="U20" s="68">
        <v>0</v>
      </c>
      <c r="V20" s="68">
        <v>0</v>
      </c>
      <c r="W20" s="68">
        <v>0</v>
      </c>
      <c r="X20" s="68">
        <v>0</v>
      </c>
      <c r="Y20" s="68">
        <v>0</v>
      </c>
      <c r="Z20" s="68">
        <v>0</v>
      </c>
      <c r="AA20" s="68">
        <v>0</v>
      </c>
      <c r="AB20" s="68">
        <v>0</v>
      </c>
      <c r="AC20" s="68">
        <v>0</v>
      </c>
      <c r="AD20" s="68">
        <v>0</v>
      </c>
      <c r="AE20" s="68">
        <v>0</v>
      </c>
      <c r="AF20" s="68">
        <v>0</v>
      </c>
      <c r="AG20" s="68">
        <v>0</v>
      </c>
      <c r="AH20" s="68">
        <v>0</v>
      </c>
      <c r="AI20" s="68">
        <v>0</v>
      </c>
      <c r="AJ20" s="68">
        <v>0</v>
      </c>
      <c r="AK20" s="68">
        <v>0</v>
      </c>
    </row>
    <row r="21" spans="1:37">
      <c r="A21" s="19" t="s">
        <v>25</v>
      </c>
      <c r="B21" s="68"/>
      <c r="C21" s="68"/>
      <c r="D21" s="68"/>
      <c r="E21" s="68"/>
      <c r="F21" s="68"/>
      <c r="G21" s="68"/>
      <c r="H21" s="68"/>
      <c r="I21" s="68"/>
      <c r="J21" s="68"/>
      <c r="K21" s="68">
        <f>'Adjusted Consumption'!K20*ramps!L20*1000</f>
        <v>0</v>
      </c>
      <c r="L21" s="68">
        <f>'Adjusted Consumption'!L20*ramps!M20*1000</f>
        <v>0</v>
      </c>
      <c r="M21" s="68">
        <f>'Adjusted Consumption'!M20*ramps!N20*1000</f>
        <v>0</v>
      </c>
      <c r="N21" s="68">
        <f>'Adjusted Consumption'!N20*ramps!O20*1000</f>
        <v>0</v>
      </c>
      <c r="O21" s="68">
        <f>'Adjusted Consumption'!O20*ramps!P20*1000</f>
        <v>0</v>
      </c>
      <c r="P21" s="68">
        <f>'Adjusted Consumption'!P20*ramps!Q20*1000</f>
        <v>0</v>
      </c>
      <c r="Q21" s="68">
        <f>'Adjusted Consumption'!Q20*ramps!R20*1000</f>
        <v>8.1487551159882052</v>
      </c>
      <c r="R21" s="68">
        <f>'Adjusted Consumption'!R20*ramps!S20*1000</f>
        <v>9.0424665973282661</v>
      </c>
      <c r="S21" s="68">
        <f>'Adjusted Consumption'!S20*ramps!T20*1000</f>
        <v>9.9425386849873334</v>
      </c>
      <c r="T21" s="68">
        <f>'Adjusted Consumption'!T20*ramps!U20*1000</f>
        <v>10.784987054901949</v>
      </c>
      <c r="U21" s="68">
        <f>'Adjusted Consumption'!U20*ramps!V20*1000</f>
        <v>11.559875183413544</v>
      </c>
      <c r="V21" s="68">
        <f>'Adjusted Consumption'!V20*ramps!W20*1000</f>
        <v>12.266385700569465</v>
      </c>
      <c r="W21" s="68">
        <f>'Adjusted Consumption'!W20*ramps!X20*1000</f>
        <v>12.922869227364371</v>
      </c>
      <c r="X21" s="68">
        <f>'Adjusted Consumption'!X20*ramps!Y20*1000</f>
        <v>13.512524640590888</v>
      </c>
      <c r="Y21" s="68">
        <f>'Adjusted Consumption'!Y20*ramps!Z20*1000</f>
        <v>14.021892767264008</v>
      </c>
      <c r="Z21" s="68">
        <f>'Adjusted Consumption'!Z20*ramps!AA20*1000</f>
        <v>14.580098976500752</v>
      </c>
      <c r="AA21" s="68">
        <f>'Adjusted Consumption'!AA20*ramps!AB20*1000</f>
        <v>0</v>
      </c>
      <c r="AB21" s="68">
        <f>'Adjusted Consumption'!AB20*ramps!AC20*1000</f>
        <v>0</v>
      </c>
      <c r="AC21" s="68">
        <f>'Adjusted Consumption'!AC20*ramps!AD20*1000</f>
        <v>0</v>
      </c>
      <c r="AD21" s="68">
        <f>'Adjusted Consumption'!AD20*ramps!AE20*1000</f>
        <v>0</v>
      </c>
      <c r="AE21" s="68">
        <f>'Adjusted Consumption'!AE20*ramps!AF20*1000</f>
        <v>0</v>
      </c>
      <c r="AF21" s="68">
        <f>'Adjusted Consumption'!AF20*ramps!AG20*1000</f>
        <v>0</v>
      </c>
      <c r="AG21" s="68">
        <f>'Adjusted Consumption'!AG20*ramps!AH20*1000</f>
        <v>0</v>
      </c>
      <c r="AH21" s="68">
        <f>'Adjusted Consumption'!AH20*ramps!AI20*1000</f>
        <v>0</v>
      </c>
      <c r="AI21" s="68">
        <f>'Adjusted Consumption'!AI20*ramps!AJ20*1000</f>
        <v>0</v>
      </c>
      <c r="AJ21" s="68">
        <f>'Adjusted Consumption'!AJ20*ramps!AK20*1000</f>
        <v>0</v>
      </c>
      <c r="AK21" s="68">
        <f>'Adjusted Consumption'!AK20*ramps!AL20*1000</f>
        <v>0</v>
      </c>
    </row>
    <row r="22" spans="1:37">
      <c r="A22" s="19" t="s">
        <v>31</v>
      </c>
      <c r="B22" s="68"/>
      <c r="C22" s="68"/>
      <c r="D22" s="68"/>
      <c r="E22" s="68"/>
      <c r="F22" s="68"/>
      <c r="G22" s="68"/>
      <c r="H22" s="68"/>
      <c r="I22" s="68"/>
      <c r="J22" s="68"/>
      <c r="K22" s="68">
        <f>'Adjusted Consumption'!K21*ramps!L24*1000</f>
        <v>0</v>
      </c>
      <c r="L22" s="68">
        <f>'Adjusted Consumption'!L21*ramps!M24*1000</f>
        <v>0</v>
      </c>
      <c r="M22" s="68">
        <f>'Adjusted Consumption'!M21*ramps!N24*1000</f>
        <v>0</v>
      </c>
      <c r="N22" s="68">
        <f>'Adjusted Consumption'!N21*ramps!O24*1000</f>
        <v>0</v>
      </c>
      <c r="O22" s="68">
        <f>'Adjusted Consumption'!O21*ramps!P24*1000</f>
        <v>0</v>
      </c>
      <c r="P22" s="68">
        <f>'Adjusted Consumption'!P21*ramps!Q24*1000</f>
        <v>0</v>
      </c>
      <c r="Q22" s="68">
        <f>'Adjusted Consumption'!Q21*ramps!R24*1000</f>
        <v>0</v>
      </c>
      <c r="R22" s="68">
        <f>'Adjusted Consumption'!R21*ramps!S24*1000</f>
        <v>0</v>
      </c>
      <c r="S22" s="68">
        <f>'Adjusted Consumption'!S21*ramps!T24*1000</f>
        <v>0</v>
      </c>
      <c r="T22" s="68">
        <f>'Adjusted Consumption'!T21*ramps!U24*1000</f>
        <v>0</v>
      </c>
      <c r="U22" s="68">
        <f>'Adjusted Consumption'!U21*ramps!V24*1000</f>
        <v>0</v>
      </c>
      <c r="V22" s="68">
        <f>'Adjusted Consumption'!V21*ramps!W24*1000</f>
        <v>0</v>
      </c>
      <c r="W22" s="68">
        <f>'Adjusted Consumption'!W21*ramps!X24*1000</f>
        <v>0</v>
      </c>
      <c r="X22" s="68">
        <f>'Adjusted Consumption'!X21*ramps!Y24*1000</f>
        <v>0</v>
      </c>
      <c r="Y22" s="68">
        <f>'Adjusted Consumption'!Y21*ramps!Z24*1000</f>
        <v>0</v>
      </c>
      <c r="Z22" s="68">
        <f>'Adjusted Consumption'!Z21*ramps!AA24*1000</f>
        <v>0</v>
      </c>
      <c r="AA22" s="68">
        <f>'Adjusted Consumption'!AA21*ramps!AB24*1000</f>
        <v>0</v>
      </c>
      <c r="AB22" s="68">
        <f>'Adjusted Consumption'!AB21*ramps!AC24*1000</f>
        <v>0</v>
      </c>
      <c r="AC22" s="68">
        <f>'Adjusted Consumption'!AC21*ramps!AD24*1000</f>
        <v>0</v>
      </c>
      <c r="AD22" s="68">
        <f>'Adjusted Consumption'!AD21*ramps!AE24*1000</f>
        <v>0</v>
      </c>
      <c r="AE22" s="68">
        <f>'Adjusted Consumption'!AE21*ramps!AF24*1000</f>
        <v>0</v>
      </c>
      <c r="AF22" s="68">
        <f>'Adjusted Consumption'!AF21*ramps!AG24*1000</f>
        <v>0</v>
      </c>
      <c r="AG22" s="68">
        <f>'Adjusted Consumption'!AG21*ramps!AH24*1000</f>
        <v>0</v>
      </c>
      <c r="AH22" s="68">
        <f>'Adjusted Consumption'!AH21*ramps!AI24*1000</f>
        <v>0</v>
      </c>
      <c r="AI22" s="68">
        <f>'Adjusted Consumption'!AI21*ramps!AJ24*1000</f>
        <v>0</v>
      </c>
      <c r="AJ22" s="68">
        <f>'Adjusted Consumption'!AJ21*ramps!AK24*1000</f>
        <v>0</v>
      </c>
      <c r="AK22" s="68">
        <f>'Adjusted Consumption'!AK21*ramps!AL24*1000</f>
        <v>0</v>
      </c>
    </row>
    <row r="23" spans="1:37">
      <c r="A23" s="19" t="s">
        <v>26</v>
      </c>
      <c r="B23" s="68"/>
      <c r="C23" s="68"/>
      <c r="D23" s="68"/>
      <c r="E23" s="68"/>
      <c r="F23" s="68"/>
      <c r="G23" s="68"/>
      <c r="H23" s="68"/>
      <c r="I23" s="68"/>
      <c r="J23" s="68"/>
      <c r="K23" s="68">
        <f>'Adjusted Consumption'!K22*ramps!L17*1000</f>
        <v>0</v>
      </c>
      <c r="L23" s="68">
        <f>'Adjusted Consumption'!L22*ramps!M17*1000</f>
        <v>0</v>
      </c>
      <c r="M23" s="68">
        <f>'Adjusted Consumption'!M22*ramps!N17*1000</f>
        <v>0</v>
      </c>
      <c r="N23" s="68">
        <f>'Adjusted Consumption'!N22*ramps!O17*1000</f>
        <v>0</v>
      </c>
      <c r="O23" s="68">
        <f>'Adjusted Consumption'!O22*ramps!P17*1000</f>
        <v>0</v>
      </c>
      <c r="P23" s="68">
        <f>'Adjusted Consumption'!P22*ramps!Q17*1000</f>
        <v>0</v>
      </c>
      <c r="Q23" s="68">
        <f>'Adjusted Consumption'!Q22*ramps!R17*1000</f>
        <v>43.442006205459691</v>
      </c>
      <c r="R23" s="68">
        <f>'Adjusted Consumption'!R22*ramps!S17*1000</f>
        <v>48.848570489509434</v>
      </c>
      <c r="S23" s="68">
        <f>'Adjusted Consumption'!S22*ramps!T17*1000</f>
        <v>54.045691989751859</v>
      </c>
      <c r="T23" s="68">
        <f>'Adjusted Consumption'!T22*ramps!U17*1000</f>
        <v>58.991016578916813</v>
      </c>
      <c r="U23" s="68">
        <f>'Adjusted Consumption'!U22*ramps!V17*1000</f>
        <v>63.687409366481653</v>
      </c>
      <c r="V23" s="68">
        <f>'Adjusted Consumption'!V22*ramps!W17*1000</f>
        <v>68.098844945970058</v>
      </c>
      <c r="W23" s="68">
        <f>'Adjusted Consumption'!W22*ramps!X17*1000</f>
        <v>72.396812121573674</v>
      </c>
      <c r="X23" s="68">
        <f>'Adjusted Consumption'!X22*ramps!Y17*1000</f>
        <v>76.487520543635242</v>
      </c>
      <c r="Y23" s="68">
        <f>'Adjusted Consumption'!Y22*ramps!Z17*1000</f>
        <v>80.339088696794022</v>
      </c>
      <c r="Z23" s="68">
        <f>'Adjusted Consumption'!Z22*ramps!AA17*1000</f>
        <v>84.581118428952152</v>
      </c>
      <c r="AA23" s="68">
        <f>'Adjusted Consumption'!AA22*ramps!AB17*1000</f>
        <v>0</v>
      </c>
      <c r="AB23" s="68">
        <f>'Adjusted Consumption'!AB22*ramps!AC17*1000</f>
        <v>0</v>
      </c>
      <c r="AC23" s="68">
        <f>'Adjusted Consumption'!AC22*ramps!AD17*1000</f>
        <v>0</v>
      </c>
      <c r="AD23" s="68">
        <f>'Adjusted Consumption'!AD22*ramps!AE17*1000</f>
        <v>0</v>
      </c>
      <c r="AE23" s="68">
        <f>'Adjusted Consumption'!AE22*ramps!AF17*1000</f>
        <v>0</v>
      </c>
      <c r="AF23" s="68">
        <f>'Adjusted Consumption'!AF22*ramps!AG17*1000</f>
        <v>0</v>
      </c>
      <c r="AG23" s="68">
        <f>'Adjusted Consumption'!AG22*ramps!AH17*1000</f>
        <v>0</v>
      </c>
      <c r="AH23" s="68">
        <f>'Adjusted Consumption'!AH22*ramps!AI17*1000</f>
        <v>0</v>
      </c>
      <c r="AI23" s="68">
        <f>'Adjusted Consumption'!AI22*ramps!AJ17*1000</f>
        <v>0</v>
      </c>
      <c r="AJ23" s="68">
        <f>'Adjusted Consumption'!AJ22*ramps!AK17*1000</f>
        <v>0</v>
      </c>
      <c r="AK23" s="68">
        <f>'Adjusted Consumption'!AK22*ramps!AL17*1000</f>
        <v>0</v>
      </c>
    </row>
    <row r="24" spans="1:37">
      <c r="A24" s="19" t="s">
        <v>57</v>
      </c>
      <c r="B24" s="68"/>
      <c r="C24" s="68"/>
      <c r="D24" s="68"/>
      <c r="E24" s="68"/>
      <c r="F24" s="68"/>
      <c r="G24" s="68"/>
      <c r="H24" s="68"/>
      <c r="I24" s="68"/>
      <c r="J24" s="68"/>
      <c r="K24" s="68">
        <f>'Adjusted Consumption'!K23*ramps!L18*1000</f>
        <v>0</v>
      </c>
      <c r="L24" s="68">
        <f>'Adjusted Consumption'!L23*ramps!M18*1000</f>
        <v>0</v>
      </c>
      <c r="M24" s="68">
        <f>'Adjusted Consumption'!M23*ramps!N18*1000</f>
        <v>0</v>
      </c>
      <c r="N24" s="68">
        <f>'Adjusted Consumption'!N23*ramps!O18*1000</f>
        <v>0</v>
      </c>
      <c r="O24" s="68">
        <f>'Adjusted Consumption'!O23*ramps!P18*1000</f>
        <v>0</v>
      </c>
      <c r="P24" s="68">
        <f>'Adjusted Consumption'!P23*ramps!Q18*1000</f>
        <v>0</v>
      </c>
      <c r="Q24" s="68">
        <f>'Adjusted Consumption'!Q23*ramps!R18*1000</f>
        <v>0</v>
      </c>
      <c r="R24" s="68">
        <f>'Adjusted Consumption'!R23*ramps!S18*1000</f>
        <v>0</v>
      </c>
      <c r="S24" s="68">
        <f>'Adjusted Consumption'!S23*ramps!T18*1000</f>
        <v>0</v>
      </c>
      <c r="T24" s="68">
        <f>'Adjusted Consumption'!T23*ramps!U18*1000</f>
        <v>0</v>
      </c>
      <c r="U24" s="68">
        <f>'Adjusted Consumption'!U23*ramps!V18*1000</f>
        <v>0</v>
      </c>
      <c r="V24" s="68">
        <f>'Adjusted Consumption'!V23*ramps!W18*1000</f>
        <v>0</v>
      </c>
      <c r="W24" s="68">
        <f>'Adjusted Consumption'!W23*ramps!X18*1000</f>
        <v>0</v>
      </c>
      <c r="X24" s="68">
        <f>'Adjusted Consumption'!X23*ramps!Y18*1000</f>
        <v>0</v>
      </c>
      <c r="Y24" s="68">
        <f>'Adjusted Consumption'!Y23*ramps!Z18*1000</f>
        <v>0</v>
      </c>
      <c r="Z24" s="68">
        <f>'Adjusted Consumption'!Z23*ramps!AA18*1000</f>
        <v>0</v>
      </c>
      <c r="AA24" s="68">
        <f>'Adjusted Consumption'!AA23*ramps!AB18*1000</f>
        <v>0</v>
      </c>
      <c r="AB24" s="68">
        <f>'Adjusted Consumption'!AB23*ramps!AC18*1000</f>
        <v>0</v>
      </c>
      <c r="AC24" s="68">
        <f>'Adjusted Consumption'!AC23*ramps!AD18*1000</f>
        <v>0</v>
      </c>
      <c r="AD24" s="68">
        <f>'Adjusted Consumption'!AD23*ramps!AE18*1000</f>
        <v>0</v>
      </c>
      <c r="AE24" s="68">
        <f>'Adjusted Consumption'!AE23*ramps!AF18*1000</f>
        <v>0</v>
      </c>
      <c r="AF24" s="68">
        <f>'Adjusted Consumption'!AF23*ramps!AG18*1000</f>
        <v>0</v>
      </c>
      <c r="AG24" s="68">
        <f>'Adjusted Consumption'!AG23*ramps!AH18*1000</f>
        <v>0</v>
      </c>
      <c r="AH24" s="68">
        <f>'Adjusted Consumption'!AH23*ramps!AI18*1000</f>
        <v>0</v>
      </c>
      <c r="AI24" s="68">
        <f>'Adjusted Consumption'!AI23*ramps!AJ18*1000</f>
        <v>0</v>
      </c>
      <c r="AJ24" s="68">
        <f>'Adjusted Consumption'!AJ23*ramps!AK18*1000</f>
        <v>0</v>
      </c>
      <c r="AK24" s="68">
        <f>'Adjusted Consumption'!AK23*ramps!AL18*1000</f>
        <v>0</v>
      </c>
    </row>
    <row r="25" spans="1:37">
      <c r="A25" s="19" t="s">
        <v>59</v>
      </c>
      <c r="B25" s="68"/>
      <c r="C25" s="68"/>
      <c r="D25" s="68"/>
      <c r="E25" s="68"/>
      <c r="F25" s="68"/>
      <c r="G25" s="68"/>
      <c r="H25" s="68"/>
      <c r="I25" s="68"/>
      <c r="J25" s="68"/>
      <c r="K25" s="68">
        <v>0</v>
      </c>
      <c r="L25" s="68">
        <v>0</v>
      </c>
      <c r="M25" s="68">
        <v>0</v>
      </c>
      <c r="N25" s="68">
        <v>0</v>
      </c>
      <c r="O25" s="68">
        <v>0</v>
      </c>
      <c r="P25" s="68">
        <v>0</v>
      </c>
      <c r="Q25" s="68">
        <v>0</v>
      </c>
      <c r="R25" s="68">
        <v>0</v>
      </c>
      <c r="S25" s="68">
        <v>0</v>
      </c>
      <c r="T25" s="68">
        <v>0</v>
      </c>
      <c r="U25" s="68">
        <v>0</v>
      </c>
      <c r="V25" s="68">
        <v>0</v>
      </c>
      <c r="W25" s="68">
        <v>0</v>
      </c>
      <c r="X25" s="68">
        <v>0</v>
      </c>
      <c r="Y25" s="68">
        <v>0</v>
      </c>
      <c r="Z25" s="68">
        <v>0</v>
      </c>
      <c r="AA25" s="68">
        <v>0</v>
      </c>
      <c r="AB25" s="68">
        <v>0</v>
      </c>
      <c r="AC25" s="68">
        <v>0</v>
      </c>
      <c r="AD25" s="68">
        <v>0</v>
      </c>
      <c r="AE25" s="68">
        <v>0</v>
      </c>
      <c r="AF25" s="68">
        <v>0</v>
      </c>
      <c r="AG25" s="68">
        <v>0</v>
      </c>
      <c r="AH25" s="68">
        <v>0</v>
      </c>
      <c r="AI25" s="68">
        <v>0</v>
      </c>
      <c r="AJ25" s="68">
        <v>0</v>
      </c>
      <c r="AK25" s="68">
        <v>0</v>
      </c>
    </row>
    <row r="26" spans="1:37">
      <c r="A26" s="19" t="s">
        <v>27</v>
      </c>
      <c r="B26" s="68"/>
      <c r="C26" s="68"/>
      <c r="D26" s="68"/>
      <c r="E26" s="68"/>
      <c r="F26" s="68"/>
      <c r="G26" s="68"/>
      <c r="H26" s="68"/>
      <c r="I26" s="68"/>
      <c r="J26" s="68"/>
      <c r="K26" s="68">
        <f>K83*'Adjusted Consumption'!K164</f>
        <v>0</v>
      </c>
      <c r="L26" s="68">
        <f>L83*'Adjusted Consumption'!L164</f>
        <v>0</v>
      </c>
      <c r="M26" s="68">
        <f>M83*'Adjusted Consumption'!M164</f>
        <v>0</v>
      </c>
      <c r="N26" s="68">
        <f>N83*'Adjusted Consumption'!N164</f>
        <v>0</v>
      </c>
      <c r="O26" s="68">
        <f>O83*'Adjusted Consumption'!O164</f>
        <v>0</v>
      </c>
      <c r="P26" s="68">
        <f>P83*'Adjusted Consumption'!P164</f>
        <v>0</v>
      </c>
      <c r="Q26" s="68">
        <f>Q83*'Adjusted Consumption'!Q164</f>
        <v>39.477150257229724</v>
      </c>
      <c r="R26" s="68">
        <f>R83*'Adjusted Consumption'!R164</f>
        <v>44.501347900726181</v>
      </c>
      <c r="S26" s="68">
        <f>S83*'Adjusted Consumption'!S164</f>
        <v>53.361111442788378</v>
      </c>
      <c r="T26" s="68">
        <f>T83*'Adjusted Consumption'!T164</f>
        <v>57.775684015359865</v>
      </c>
      <c r="U26" s="68">
        <f>U83*'Adjusted Consumption'!U164</f>
        <v>59.619654051491587</v>
      </c>
      <c r="V26" s="68">
        <f>V83*'Adjusted Consumption'!V164</f>
        <v>61.319160692353378</v>
      </c>
      <c r="W26" s="68">
        <f>W83*'Adjusted Consumption'!W164</f>
        <v>66.973887573395871</v>
      </c>
      <c r="X26" s="68">
        <f>X83*'Adjusted Consumption'!X164</f>
        <v>68.573402850287636</v>
      </c>
      <c r="Y26" s="68">
        <f>Y83*'Adjusted Consumption'!Y164</f>
        <v>70.1097845260377</v>
      </c>
      <c r="Z26" s="68">
        <f>Z83*'Adjusted Consumption'!Z164</f>
        <v>72.353071966304526</v>
      </c>
      <c r="AA26" s="68">
        <f>AA83*'Adjusted Consumption'!AA164</f>
        <v>0</v>
      </c>
      <c r="AB26" s="68">
        <f>AB83*'Adjusted Consumption'!AB164</f>
        <v>0</v>
      </c>
      <c r="AC26" s="68">
        <f>AC83*'Adjusted Consumption'!AC164</f>
        <v>0</v>
      </c>
      <c r="AD26" s="68">
        <f>AD83*'Adjusted Consumption'!AD164</f>
        <v>0</v>
      </c>
      <c r="AE26" s="68">
        <f>AE83*'Adjusted Consumption'!AE164</f>
        <v>0</v>
      </c>
      <c r="AF26" s="68">
        <f>AF83*'Adjusted Consumption'!AF164</f>
        <v>0</v>
      </c>
      <c r="AG26" s="68">
        <f>AG83*'Adjusted Consumption'!AG164</f>
        <v>0</v>
      </c>
      <c r="AH26" s="68">
        <f>AH83*'Adjusted Consumption'!AH164</f>
        <v>0</v>
      </c>
      <c r="AI26" s="68">
        <f>AI83*'Adjusted Consumption'!AI164</f>
        <v>0</v>
      </c>
      <c r="AJ26" s="68">
        <f>AJ83*'Adjusted Consumption'!AJ164</f>
        <v>0</v>
      </c>
      <c r="AK26" s="68">
        <f>AK83*'Adjusted Consumption'!AK164</f>
        <v>0</v>
      </c>
    </row>
    <row r="27" spans="1:37">
      <c r="A27" s="19" t="s">
        <v>28</v>
      </c>
      <c r="B27" s="68"/>
      <c r="C27" s="68"/>
      <c r="D27" s="68"/>
      <c r="E27" s="68"/>
      <c r="F27" s="68"/>
      <c r="G27" s="68"/>
      <c r="H27" s="68"/>
      <c r="I27" s="68"/>
      <c r="J27" s="68"/>
      <c r="K27" s="180">
        <f t="shared" ref="K27:AF27" si="1">SUM(K18:K26)</f>
        <v>0</v>
      </c>
      <c r="L27" s="180">
        <f t="shared" si="1"/>
        <v>0</v>
      </c>
      <c r="M27" s="180">
        <f t="shared" si="1"/>
        <v>0</v>
      </c>
      <c r="N27" s="180">
        <f t="shared" si="1"/>
        <v>0</v>
      </c>
      <c r="O27" s="180">
        <f t="shared" si="1"/>
        <v>0</v>
      </c>
      <c r="P27" s="180">
        <f t="shared" si="1"/>
        <v>0</v>
      </c>
      <c r="Q27" s="180">
        <f t="shared" si="1"/>
        <v>100.35078717038995</v>
      </c>
      <c r="R27" s="180">
        <f t="shared" si="1"/>
        <v>112.38345727182221</v>
      </c>
      <c r="S27" s="180">
        <f t="shared" si="1"/>
        <v>128.01959285538788</v>
      </c>
      <c r="T27" s="180">
        <f t="shared" si="1"/>
        <v>139.21116947907996</v>
      </c>
      <c r="U27" s="180">
        <f t="shared" si="1"/>
        <v>147.4371235598818</v>
      </c>
      <c r="V27" s="180">
        <f t="shared" si="1"/>
        <v>155.23783695684619</v>
      </c>
      <c r="W27" s="180">
        <f t="shared" si="1"/>
        <v>166.77921056744478</v>
      </c>
      <c r="X27" s="180">
        <f t="shared" si="1"/>
        <v>173.9112360889107</v>
      </c>
      <c r="Y27" s="180">
        <f t="shared" si="1"/>
        <v>180.57576740775471</v>
      </c>
      <c r="Z27" s="180">
        <f t="shared" si="1"/>
        <v>188.42843877164049</v>
      </c>
      <c r="AA27" s="180">
        <f t="shared" si="1"/>
        <v>0</v>
      </c>
      <c r="AB27" s="180">
        <f t="shared" si="1"/>
        <v>0</v>
      </c>
      <c r="AC27" s="180">
        <f t="shared" si="1"/>
        <v>0</v>
      </c>
      <c r="AD27" s="180">
        <f t="shared" si="1"/>
        <v>0</v>
      </c>
      <c r="AE27" s="180">
        <f t="shared" si="1"/>
        <v>0</v>
      </c>
      <c r="AF27" s="180">
        <f t="shared" si="1"/>
        <v>0</v>
      </c>
      <c r="AG27" s="180">
        <f>SUM(AG18:AG26)</f>
        <v>0</v>
      </c>
      <c r="AH27" s="180">
        <f>SUM(AH18:AH26)</f>
        <v>0</v>
      </c>
      <c r="AI27" s="180">
        <f>SUM(AI18:AI26)</f>
        <v>0</v>
      </c>
      <c r="AJ27" s="180">
        <f>SUM(AJ18:AJ26)</f>
        <v>0</v>
      </c>
      <c r="AK27" s="180">
        <f>SUM(AK18:AK26)</f>
        <v>0</v>
      </c>
    </row>
    <row r="28" spans="1:37">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row>
    <row r="29" spans="1:37" ht="20.45" customHeight="1">
      <c r="A29" s="19" t="s">
        <v>32</v>
      </c>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row>
    <row r="30" spans="1:37">
      <c r="A30" s="19" t="s">
        <v>24</v>
      </c>
      <c r="B30" s="68"/>
      <c r="C30" s="68"/>
      <c r="D30" s="68"/>
      <c r="E30" s="68"/>
      <c r="F30" s="68"/>
      <c r="G30" s="68"/>
      <c r="H30" s="68"/>
      <c r="I30" s="68"/>
      <c r="J30" s="68"/>
      <c r="K30" s="68">
        <f>'Adjusted Consumption'!K29*ramps!L22*1000</f>
        <v>0</v>
      </c>
      <c r="L30" s="68">
        <f>'Adjusted Consumption'!L29*ramps!M22*1000</f>
        <v>0</v>
      </c>
      <c r="M30" s="68">
        <f>'Adjusted Consumption'!M29*ramps!N22*1000</f>
        <v>0</v>
      </c>
      <c r="N30" s="68">
        <f>'Adjusted Consumption'!N29*ramps!O22*1000</f>
        <v>0</v>
      </c>
      <c r="O30" s="68">
        <f>'Adjusted Consumption'!O29*ramps!P22*1000</f>
        <v>0</v>
      </c>
      <c r="P30" s="68">
        <f>'Adjusted Consumption'!P29*ramps!Q22*1000</f>
        <v>0</v>
      </c>
      <c r="Q30" s="68">
        <f>'Adjusted Consumption'!Q29*ramps!R22*1000</f>
        <v>5.8932038050742648</v>
      </c>
      <c r="R30" s="68">
        <f>'Adjusted Consumption'!R29*ramps!S22*1000</f>
        <v>6.8541275116964737</v>
      </c>
      <c r="S30" s="68">
        <f>'Adjusted Consumption'!S29*ramps!T22*1000</f>
        <v>7.8052800646292599</v>
      </c>
      <c r="T30" s="68">
        <f>'Adjusted Consumption'!T29*ramps!U22*1000</f>
        <v>8.7904864681968533</v>
      </c>
      <c r="U30" s="68">
        <f>'Adjusted Consumption'!U29*ramps!V22*1000</f>
        <v>9.8001143422593593</v>
      </c>
      <c r="V30" s="68">
        <f>'Adjusted Consumption'!V29*ramps!W22*1000</f>
        <v>10.609350932171363</v>
      </c>
      <c r="W30" s="68">
        <f>'Adjusted Consumption'!W29*ramps!X22*1000</f>
        <v>11.334606154329665</v>
      </c>
      <c r="X30" s="68">
        <f>'Adjusted Consumption'!X29*ramps!Y22*1000</f>
        <v>12.074556568071515</v>
      </c>
      <c r="Y30" s="68">
        <f>'Adjusted Consumption'!Y29*ramps!Z22*1000</f>
        <v>12.825780977204138</v>
      </c>
      <c r="Z30" s="68">
        <f>'Adjusted Consumption'!Z29*ramps!AA22*1000</f>
        <v>13.615548662858261</v>
      </c>
      <c r="AA30" s="68">
        <f>'Adjusted Consumption'!AA29*ramps!AB22*1000</f>
        <v>0</v>
      </c>
      <c r="AB30" s="68">
        <f>'Adjusted Consumption'!AB29*ramps!AC22*1000</f>
        <v>0</v>
      </c>
      <c r="AC30" s="68">
        <f>'Adjusted Consumption'!AC29*ramps!AD22*1000</f>
        <v>0</v>
      </c>
      <c r="AD30" s="68">
        <f>'Adjusted Consumption'!AD29*ramps!AE22*1000</f>
        <v>0</v>
      </c>
      <c r="AE30" s="68">
        <f>'Adjusted Consumption'!AE29*ramps!AF22*1000</f>
        <v>0</v>
      </c>
      <c r="AF30" s="68">
        <f>'Adjusted Consumption'!AF29*ramps!AG22*1000</f>
        <v>0</v>
      </c>
      <c r="AG30" s="68">
        <f>'Adjusted Consumption'!AG29*ramps!AH22*1000</f>
        <v>0</v>
      </c>
      <c r="AH30" s="68">
        <f>'Adjusted Consumption'!AH29*ramps!AI22*1000</f>
        <v>0</v>
      </c>
      <c r="AI30" s="68">
        <f>'Adjusted Consumption'!AI29*ramps!AJ22*1000</f>
        <v>0</v>
      </c>
      <c r="AJ30" s="68">
        <f>'Adjusted Consumption'!AJ29*ramps!AK22*1000</f>
        <v>0</v>
      </c>
      <c r="AK30" s="68">
        <f>'Adjusted Consumption'!AK29*ramps!AL22*1000</f>
        <v>0</v>
      </c>
    </row>
    <row r="31" spans="1:37">
      <c r="A31" s="19" t="s">
        <v>30</v>
      </c>
      <c r="B31" s="68"/>
      <c r="C31" s="68"/>
      <c r="D31" s="68"/>
      <c r="E31" s="68"/>
      <c r="F31" s="68"/>
      <c r="G31" s="68"/>
      <c r="H31" s="68"/>
      <c r="I31" s="68"/>
      <c r="J31" s="68"/>
      <c r="K31" s="68">
        <f>'Adjusted Consumption'!K30*ramps!L16*1000</f>
        <v>0</v>
      </c>
      <c r="L31" s="68">
        <f>'Adjusted Consumption'!L30*ramps!M16*1000</f>
        <v>0</v>
      </c>
      <c r="M31" s="68">
        <f>'Adjusted Consumption'!M30*ramps!N16*1000</f>
        <v>0</v>
      </c>
      <c r="N31" s="68">
        <f>'Adjusted Consumption'!N30*ramps!O16*1000</f>
        <v>0</v>
      </c>
      <c r="O31" s="68">
        <f>'Adjusted Consumption'!O30*ramps!P16*1000</f>
        <v>0</v>
      </c>
      <c r="P31" s="68">
        <f>'Adjusted Consumption'!P30*ramps!Q16*1000</f>
        <v>0</v>
      </c>
      <c r="Q31" s="68">
        <f>'Adjusted Consumption'!Q30*ramps!R16*1000</f>
        <v>5.9038990340144464</v>
      </c>
      <c r="R31" s="68">
        <f>'Adjusted Consumption'!R30*ramps!S16*1000</f>
        <v>6.7272887724811241</v>
      </c>
      <c r="S31" s="68">
        <f>'Adjusted Consumption'!S30*ramps!T16*1000</f>
        <v>7.530403930446937</v>
      </c>
      <c r="T31" s="68">
        <f>'Adjusted Consumption'!T30*ramps!U16*1000</f>
        <v>8.2907415380169969</v>
      </c>
      <c r="U31" s="68">
        <f>'Adjusted Consumption'!U30*ramps!V16*1000</f>
        <v>9.0188072800455608</v>
      </c>
      <c r="V31" s="68">
        <f>'Adjusted Consumption'!V30*ramps!W16*1000</f>
        <v>9.690658318997972</v>
      </c>
      <c r="W31" s="68">
        <f>'Adjusted Consumption'!W30*ramps!X16*1000</f>
        <v>10.341856430278652</v>
      </c>
      <c r="X31" s="68">
        <f>'Adjusted Consumption'!X30*ramps!Y16*1000</f>
        <v>10.969618010180145</v>
      </c>
      <c r="Y31" s="68">
        <f>'Adjusted Consumption'!Y30*ramps!Z16*1000</f>
        <v>11.494528150542905</v>
      </c>
      <c r="Z31" s="68">
        <f>'Adjusted Consumption'!Z30*ramps!AA16*1000</f>
        <v>12.104530831575138</v>
      </c>
      <c r="AA31" s="68">
        <f>'Adjusted Consumption'!AA30*ramps!AB16*1000</f>
        <v>0</v>
      </c>
      <c r="AB31" s="68">
        <f>'Adjusted Consumption'!AB30*ramps!AC16*1000</f>
        <v>0</v>
      </c>
      <c r="AC31" s="68">
        <f>'Adjusted Consumption'!AC30*ramps!AD16*1000</f>
        <v>0</v>
      </c>
      <c r="AD31" s="68">
        <f>'Adjusted Consumption'!AD30*ramps!AE16*1000</f>
        <v>0</v>
      </c>
      <c r="AE31" s="68">
        <f>'Adjusted Consumption'!AE30*ramps!AF16*1000</f>
        <v>0</v>
      </c>
      <c r="AF31" s="68">
        <f>'Adjusted Consumption'!AF30*ramps!AG16*1000</f>
        <v>0</v>
      </c>
      <c r="AG31" s="68">
        <f>'Adjusted Consumption'!AG30*ramps!AH16*1000</f>
        <v>0</v>
      </c>
      <c r="AH31" s="68">
        <f>'Adjusted Consumption'!AH30*ramps!AI16*1000</f>
        <v>0</v>
      </c>
      <c r="AI31" s="68">
        <f>'Adjusted Consumption'!AI30*ramps!AJ16*1000</f>
        <v>0</v>
      </c>
      <c r="AJ31" s="68">
        <f>'Adjusted Consumption'!AJ30*ramps!AK16*1000</f>
        <v>0</v>
      </c>
      <c r="AK31" s="68">
        <f>'Adjusted Consumption'!AK30*ramps!AL16*1000</f>
        <v>0</v>
      </c>
    </row>
    <row r="32" spans="1:37">
      <c r="A32" s="19" t="s">
        <v>25</v>
      </c>
      <c r="B32" s="68"/>
      <c r="C32" s="68"/>
      <c r="D32" s="68"/>
      <c r="E32" s="68"/>
      <c r="F32" s="68"/>
      <c r="G32" s="68"/>
      <c r="H32" s="68"/>
      <c r="I32" s="68"/>
      <c r="J32" s="68"/>
      <c r="K32" s="68">
        <f>'Adjusted Consumption'!K31*ramps!L20*1000</f>
        <v>0</v>
      </c>
      <c r="L32" s="68">
        <f>'Adjusted Consumption'!L31*ramps!M20*1000</f>
        <v>0</v>
      </c>
      <c r="M32" s="68">
        <f>'Adjusted Consumption'!M31*ramps!N20*1000</f>
        <v>0</v>
      </c>
      <c r="N32" s="68">
        <f>'Adjusted Consumption'!N31*ramps!O20*1000</f>
        <v>0</v>
      </c>
      <c r="O32" s="68">
        <f>'Adjusted Consumption'!O31*ramps!P20*1000</f>
        <v>0</v>
      </c>
      <c r="P32" s="68">
        <f>'Adjusted Consumption'!P31*ramps!Q20*1000</f>
        <v>0</v>
      </c>
      <c r="Q32" s="68">
        <f>'Adjusted Consumption'!Q31*ramps!R20*1000</f>
        <v>17.265549298606043</v>
      </c>
      <c r="R32" s="68">
        <f>'Adjusted Consumption'!R31*ramps!S20*1000</f>
        <v>19.73295818703394</v>
      </c>
      <c r="S32" s="68">
        <f>'Adjusted Consumption'!S31*ramps!T20*1000</f>
        <v>22.143459572918172</v>
      </c>
      <c r="T32" s="68">
        <f>'Adjusted Consumption'!T31*ramps!U20*1000</f>
        <v>24.458551297144737</v>
      </c>
      <c r="U32" s="68">
        <f>'Adjusted Consumption'!U31*ramps!V20*1000</f>
        <v>26.762602002390498</v>
      </c>
      <c r="V32" s="68">
        <f>'Adjusted Consumption'!V31*ramps!W20*1000</f>
        <v>28.832310675237093</v>
      </c>
      <c r="W32" s="68">
        <f>'Adjusted Consumption'!W31*ramps!X20*1000</f>
        <v>30.780188716577197</v>
      </c>
      <c r="X32" s="68">
        <f>'Adjusted Consumption'!X31*ramps!Y20*1000</f>
        <v>32.591097634182596</v>
      </c>
      <c r="Y32" s="68">
        <f>'Adjusted Consumption'!Y31*ramps!Z20*1000</f>
        <v>34.304861899251016</v>
      </c>
      <c r="Z32" s="68">
        <f>'Adjusted Consumption'!Z31*ramps!AA20*1000</f>
        <v>36.103989196916082</v>
      </c>
      <c r="AA32" s="68">
        <f>'Adjusted Consumption'!AA31*ramps!AB20*1000</f>
        <v>0</v>
      </c>
      <c r="AB32" s="68">
        <f>'Adjusted Consumption'!AB31*ramps!AC20*1000</f>
        <v>0</v>
      </c>
      <c r="AC32" s="68">
        <f>'Adjusted Consumption'!AC31*ramps!AD20*1000</f>
        <v>0</v>
      </c>
      <c r="AD32" s="68">
        <f>'Adjusted Consumption'!AD31*ramps!AE20*1000</f>
        <v>0</v>
      </c>
      <c r="AE32" s="68">
        <f>'Adjusted Consumption'!AE31*ramps!AF20*1000</f>
        <v>0</v>
      </c>
      <c r="AF32" s="68">
        <f>'Adjusted Consumption'!AF31*ramps!AG20*1000</f>
        <v>0</v>
      </c>
      <c r="AG32" s="68">
        <f>'Adjusted Consumption'!AG31*ramps!AH20*1000</f>
        <v>0</v>
      </c>
      <c r="AH32" s="68">
        <f>'Adjusted Consumption'!AH31*ramps!AI20*1000</f>
        <v>0</v>
      </c>
      <c r="AI32" s="68">
        <f>'Adjusted Consumption'!AI31*ramps!AJ20*1000</f>
        <v>0</v>
      </c>
      <c r="AJ32" s="68">
        <f>'Adjusted Consumption'!AJ31*ramps!AK20*1000</f>
        <v>0</v>
      </c>
      <c r="AK32" s="68">
        <f>'Adjusted Consumption'!AK31*ramps!AL20*1000</f>
        <v>0</v>
      </c>
    </row>
    <row r="33" spans="1:37">
      <c r="A33" s="19" t="s">
        <v>31</v>
      </c>
      <c r="B33" s="68"/>
      <c r="C33" s="68"/>
      <c r="D33" s="68"/>
      <c r="E33" s="68"/>
      <c r="F33" s="68"/>
      <c r="G33" s="68"/>
      <c r="H33" s="68"/>
      <c r="I33" s="68"/>
      <c r="J33" s="68"/>
      <c r="K33" s="68">
        <f>'Adjusted Consumption'!K32*ramps!L24*1000</f>
        <v>0</v>
      </c>
      <c r="L33" s="68">
        <f>'Adjusted Consumption'!L32*ramps!M24*1000</f>
        <v>0</v>
      </c>
      <c r="M33" s="68">
        <f>'Adjusted Consumption'!M32*ramps!N24*1000</f>
        <v>0</v>
      </c>
      <c r="N33" s="68">
        <f>'Adjusted Consumption'!N32*ramps!O24*1000</f>
        <v>0</v>
      </c>
      <c r="O33" s="68">
        <f>'Adjusted Consumption'!O32*ramps!P24*1000</f>
        <v>0</v>
      </c>
      <c r="P33" s="68">
        <f>'Adjusted Consumption'!P32*ramps!Q24*1000</f>
        <v>0</v>
      </c>
      <c r="Q33" s="68">
        <f>'Adjusted Consumption'!Q32*ramps!R24*1000</f>
        <v>0</v>
      </c>
      <c r="R33" s="68">
        <f>'Adjusted Consumption'!R32*ramps!S24*1000</f>
        <v>0</v>
      </c>
      <c r="S33" s="68">
        <f>'Adjusted Consumption'!S32*ramps!T24*1000</f>
        <v>0</v>
      </c>
      <c r="T33" s="68">
        <f>'Adjusted Consumption'!T32*ramps!U24*1000</f>
        <v>0</v>
      </c>
      <c r="U33" s="68">
        <f>'Adjusted Consumption'!U32*ramps!V24*1000</f>
        <v>0</v>
      </c>
      <c r="V33" s="68">
        <f>'Adjusted Consumption'!V32*ramps!W24*1000</f>
        <v>0</v>
      </c>
      <c r="W33" s="68">
        <f>'Adjusted Consumption'!W32*ramps!X24*1000</f>
        <v>0</v>
      </c>
      <c r="X33" s="68">
        <f>'Adjusted Consumption'!X32*ramps!Y24*1000</f>
        <v>0</v>
      </c>
      <c r="Y33" s="68">
        <f>'Adjusted Consumption'!Y32*ramps!Z24*1000</f>
        <v>0</v>
      </c>
      <c r="Z33" s="68">
        <f>'Adjusted Consumption'!Z32*ramps!AA24*1000</f>
        <v>0</v>
      </c>
      <c r="AA33" s="68">
        <f>'Adjusted Consumption'!AA32*ramps!AB24*1000</f>
        <v>0</v>
      </c>
      <c r="AB33" s="68">
        <f>'Adjusted Consumption'!AB32*ramps!AC24*1000</f>
        <v>0</v>
      </c>
      <c r="AC33" s="68">
        <f>'Adjusted Consumption'!AC32*ramps!AD24*1000</f>
        <v>0</v>
      </c>
      <c r="AD33" s="68">
        <f>'Adjusted Consumption'!AD32*ramps!AE24*1000</f>
        <v>0</v>
      </c>
      <c r="AE33" s="68">
        <f>'Adjusted Consumption'!AE32*ramps!AF24*1000</f>
        <v>0</v>
      </c>
      <c r="AF33" s="68">
        <f>'Adjusted Consumption'!AF32*ramps!AG24*1000</f>
        <v>0</v>
      </c>
      <c r="AG33" s="68">
        <f>'Adjusted Consumption'!AG32*ramps!AH24*1000</f>
        <v>0</v>
      </c>
      <c r="AH33" s="68">
        <f>'Adjusted Consumption'!AH32*ramps!AI24*1000</f>
        <v>0</v>
      </c>
      <c r="AI33" s="68">
        <f>'Adjusted Consumption'!AI32*ramps!AJ24*1000</f>
        <v>0</v>
      </c>
      <c r="AJ33" s="68">
        <f>'Adjusted Consumption'!AJ32*ramps!AK24*1000</f>
        <v>0</v>
      </c>
      <c r="AK33" s="68">
        <f>'Adjusted Consumption'!AK32*ramps!AL24*1000</f>
        <v>0</v>
      </c>
    </row>
    <row r="34" spans="1:37">
      <c r="A34" s="19" t="s">
        <v>60</v>
      </c>
      <c r="B34" s="68"/>
      <c r="C34" s="68"/>
      <c r="D34" s="68"/>
      <c r="E34" s="68"/>
      <c r="F34" s="68"/>
      <c r="G34" s="68"/>
      <c r="H34" s="68"/>
      <c r="I34" s="68"/>
      <c r="J34" s="68"/>
      <c r="K34" s="68">
        <v>0</v>
      </c>
      <c r="L34" s="68">
        <v>0</v>
      </c>
      <c r="M34" s="68">
        <v>0</v>
      </c>
      <c r="N34" s="68">
        <v>0</v>
      </c>
      <c r="O34" s="68">
        <v>0</v>
      </c>
      <c r="P34" s="68">
        <v>0</v>
      </c>
      <c r="Q34" s="68">
        <v>0</v>
      </c>
      <c r="R34" s="68">
        <v>0</v>
      </c>
      <c r="S34" s="68">
        <v>0</v>
      </c>
      <c r="T34" s="68">
        <v>0</v>
      </c>
      <c r="U34" s="68">
        <v>0</v>
      </c>
      <c r="V34" s="68">
        <v>0</v>
      </c>
      <c r="W34" s="68">
        <v>0</v>
      </c>
      <c r="X34" s="68">
        <v>0</v>
      </c>
      <c r="Y34" s="68">
        <v>0</v>
      </c>
      <c r="Z34" s="68">
        <v>0</v>
      </c>
      <c r="AA34" s="68">
        <v>0</v>
      </c>
      <c r="AB34" s="68">
        <v>0</v>
      </c>
      <c r="AC34" s="68">
        <v>0</v>
      </c>
      <c r="AD34" s="68">
        <v>0</v>
      </c>
      <c r="AE34" s="68">
        <v>0</v>
      </c>
      <c r="AF34" s="68">
        <v>0</v>
      </c>
      <c r="AG34" s="68">
        <v>0</v>
      </c>
      <c r="AH34" s="68">
        <v>0</v>
      </c>
      <c r="AI34" s="68">
        <v>0</v>
      </c>
      <c r="AJ34" s="68">
        <v>0</v>
      </c>
      <c r="AK34" s="68">
        <v>0</v>
      </c>
    </row>
    <row r="35" spans="1:37">
      <c r="A35" s="19" t="s">
        <v>33</v>
      </c>
      <c r="B35" s="68"/>
      <c r="C35" s="68"/>
      <c r="D35" s="68"/>
      <c r="E35" s="68"/>
      <c r="F35" s="68"/>
      <c r="G35" s="68"/>
      <c r="H35" s="68"/>
      <c r="I35" s="68"/>
      <c r="J35" s="68"/>
      <c r="K35" s="68">
        <v>0</v>
      </c>
      <c r="L35" s="68">
        <v>0</v>
      </c>
      <c r="M35" s="68">
        <v>0</v>
      </c>
      <c r="N35" s="68">
        <v>0</v>
      </c>
      <c r="O35" s="68">
        <v>0</v>
      </c>
      <c r="P35" s="68">
        <v>0</v>
      </c>
      <c r="Q35" s="68">
        <v>0</v>
      </c>
      <c r="R35" s="68">
        <v>0</v>
      </c>
      <c r="S35" s="68">
        <v>0</v>
      </c>
      <c r="T35" s="68">
        <v>0</v>
      </c>
      <c r="U35" s="68">
        <v>0</v>
      </c>
      <c r="V35" s="68">
        <v>0</v>
      </c>
      <c r="W35" s="68">
        <v>0</v>
      </c>
      <c r="X35" s="68">
        <v>0</v>
      </c>
      <c r="Y35" s="68">
        <v>0</v>
      </c>
      <c r="Z35" s="68">
        <v>0</v>
      </c>
      <c r="AA35" s="68">
        <v>0</v>
      </c>
      <c r="AB35" s="68">
        <v>0</v>
      </c>
      <c r="AC35" s="68">
        <v>0</v>
      </c>
      <c r="AD35" s="68">
        <v>0</v>
      </c>
      <c r="AE35" s="68">
        <v>0</v>
      </c>
      <c r="AF35" s="68">
        <v>0</v>
      </c>
      <c r="AG35" s="68">
        <v>0</v>
      </c>
      <c r="AH35" s="68">
        <v>0</v>
      </c>
      <c r="AI35" s="68">
        <v>0</v>
      </c>
      <c r="AJ35" s="68">
        <v>0</v>
      </c>
      <c r="AK35" s="68">
        <v>0</v>
      </c>
    </row>
    <row r="36" spans="1:37">
      <c r="A36" s="19" t="s">
        <v>26</v>
      </c>
      <c r="B36" s="68"/>
      <c r="C36" s="68"/>
      <c r="D36" s="68"/>
      <c r="E36" s="68"/>
      <c r="F36" s="68"/>
      <c r="G36" s="68"/>
      <c r="H36" s="68"/>
      <c r="I36" s="68"/>
      <c r="J36" s="68"/>
      <c r="K36" s="68">
        <f>'Adjusted Consumption'!K35*ramps!L17*1000</f>
        <v>0</v>
      </c>
      <c r="L36" s="68">
        <f>'Adjusted Consumption'!L35*ramps!M17*1000</f>
        <v>0</v>
      </c>
      <c r="M36" s="68">
        <f>'Adjusted Consumption'!M35*ramps!N17*1000</f>
        <v>0</v>
      </c>
      <c r="N36" s="68">
        <f>'Adjusted Consumption'!N35*ramps!O17*1000</f>
        <v>0</v>
      </c>
      <c r="O36" s="68">
        <f>'Adjusted Consumption'!O35*ramps!P17*1000</f>
        <v>0</v>
      </c>
      <c r="P36" s="68">
        <f>'Adjusted Consumption'!P35*ramps!Q17*1000</f>
        <v>0</v>
      </c>
      <c r="Q36" s="68">
        <f>'Adjusted Consumption'!Q35*ramps!R17*1000</f>
        <v>58.938112306892691</v>
      </c>
      <c r="R36" s="68">
        <f>'Adjusted Consumption'!R35*ramps!S17*1000</f>
        <v>67.098680727157728</v>
      </c>
      <c r="S36" s="68">
        <f>'Adjusted Consumption'!S35*ramps!T17*1000</f>
        <v>74.539577135044922</v>
      </c>
      <c r="T36" s="68">
        <f>'Adjusted Consumption'!T35*ramps!U17*1000</f>
        <v>81.238840245062278</v>
      </c>
      <c r="U36" s="68">
        <f>'Adjusted Consumption'!U35*ramps!V17*1000</f>
        <v>86.22353702172218</v>
      </c>
      <c r="V36" s="68">
        <f>'Adjusted Consumption'!V35*ramps!W17*1000</f>
        <v>90.703867403848662</v>
      </c>
      <c r="W36" s="68">
        <f>'Adjusted Consumption'!W35*ramps!X17*1000</f>
        <v>94.550640121307538</v>
      </c>
      <c r="X36" s="68">
        <f>'Adjusted Consumption'!X35*ramps!Y17*1000</f>
        <v>98.078090581731132</v>
      </c>
      <c r="Y36" s="68">
        <f>'Adjusted Consumption'!Y35*ramps!Z17*1000</f>
        <v>100.94483386416567</v>
      </c>
      <c r="Z36" s="68">
        <f>'Adjusted Consumption'!Z35*ramps!AA17*1000</f>
        <v>103.83702861517071</v>
      </c>
      <c r="AA36" s="68">
        <f>'Adjusted Consumption'!AA35*ramps!AB17*1000</f>
        <v>0</v>
      </c>
      <c r="AB36" s="68">
        <f>'Adjusted Consumption'!AB35*ramps!AC17*1000</f>
        <v>0</v>
      </c>
      <c r="AC36" s="68">
        <f>'Adjusted Consumption'!AC35*ramps!AD17*1000</f>
        <v>0</v>
      </c>
      <c r="AD36" s="68">
        <f>'Adjusted Consumption'!AD35*ramps!AE17*1000</f>
        <v>0</v>
      </c>
      <c r="AE36" s="68">
        <f>'Adjusted Consumption'!AE35*ramps!AF17*1000</f>
        <v>0</v>
      </c>
      <c r="AF36" s="68">
        <f>'Adjusted Consumption'!AF35*ramps!AG17*1000</f>
        <v>0</v>
      </c>
      <c r="AG36" s="68">
        <f>'Adjusted Consumption'!AG35*ramps!AH17*1000</f>
        <v>0</v>
      </c>
      <c r="AH36" s="68">
        <f>'Adjusted Consumption'!AH35*ramps!AI17*1000</f>
        <v>0</v>
      </c>
      <c r="AI36" s="68">
        <f>'Adjusted Consumption'!AI35*ramps!AJ17*1000</f>
        <v>0</v>
      </c>
      <c r="AJ36" s="68">
        <f>'Adjusted Consumption'!AJ35*ramps!AK17*1000</f>
        <v>0</v>
      </c>
      <c r="AK36" s="68">
        <f>'Adjusted Consumption'!AK35*ramps!AL17*1000</f>
        <v>0</v>
      </c>
    </row>
    <row r="37" spans="1:37">
      <c r="A37" s="19" t="s">
        <v>61</v>
      </c>
      <c r="B37" s="68"/>
      <c r="C37" s="68"/>
      <c r="D37" s="68"/>
      <c r="E37" s="68"/>
      <c r="F37" s="68"/>
      <c r="G37" s="68"/>
      <c r="H37" s="68"/>
      <c r="I37" s="68"/>
      <c r="J37" s="68"/>
      <c r="K37" s="68">
        <f>'Adjusted Consumption'!K36*ramps!L17*1000</f>
        <v>0</v>
      </c>
      <c r="L37" s="68">
        <f>'Adjusted Consumption'!L36*ramps!M17*1000</f>
        <v>0</v>
      </c>
      <c r="M37" s="68">
        <f>'Adjusted Consumption'!M36*ramps!N17*1000</f>
        <v>0</v>
      </c>
      <c r="N37" s="68">
        <f>'Adjusted Consumption'!N36*ramps!O17*1000</f>
        <v>0</v>
      </c>
      <c r="O37" s="68">
        <f>'Adjusted Consumption'!O36*ramps!P17*1000</f>
        <v>0</v>
      </c>
      <c r="P37" s="68">
        <f>'Adjusted Consumption'!P36*ramps!Q17*1000</f>
        <v>0</v>
      </c>
      <c r="Q37" s="68">
        <f>'Adjusted Consumption'!Q36*ramps!R17*1000</f>
        <v>0</v>
      </c>
      <c r="R37" s="68">
        <f>'Adjusted Consumption'!R36*ramps!S17*1000</f>
        <v>0</v>
      </c>
      <c r="S37" s="68">
        <f>'Adjusted Consumption'!S36*ramps!T17*1000</f>
        <v>0</v>
      </c>
      <c r="T37" s="68">
        <f>'Adjusted Consumption'!T36*ramps!U17*1000</f>
        <v>0</v>
      </c>
      <c r="U37" s="68">
        <f>'Adjusted Consumption'!U36*ramps!V17*1000</f>
        <v>0</v>
      </c>
      <c r="V37" s="68">
        <f>'Adjusted Consumption'!V36*ramps!W17*1000</f>
        <v>0</v>
      </c>
      <c r="W37" s="68">
        <f>'Adjusted Consumption'!W36*ramps!X17*1000</f>
        <v>0</v>
      </c>
      <c r="X37" s="68">
        <f>'Adjusted Consumption'!X36*ramps!Y17*1000</f>
        <v>0</v>
      </c>
      <c r="Y37" s="68">
        <f>'Adjusted Consumption'!Y36*ramps!Z17*1000</f>
        <v>0</v>
      </c>
      <c r="Z37" s="68">
        <f>'Adjusted Consumption'!Z36*ramps!AA17*1000</f>
        <v>0</v>
      </c>
      <c r="AA37" s="68">
        <f>'Adjusted Consumption'!AA36*ramps!AB17*1000</f>
        <v>0</v>
      </c>
      <c r="AB37" s="68">
        <f>'Adjusted Consumption'!AB36*ramps!AC17*1000</f>
        <v>0</v>
      </c>
      <c r="AC37" s="68">
        <f>'Adjusted Consumption'!AC36*ramps!AD17*1000</f>
        <v>0</v>
      </c>
      <c r="AD37" s="68">
        <f>'Adjusted Consumption'!AD36*ramps!AE17*1000</f>
        <v>0</v>
      </c>
      <c r="AE37" s="68">
        <f>'Adjusted Consumption'!AE36*ramps!AF17*1000</f>
        <v>0</v>
      </c>
      <c r="AF37" s="68">
        <f>'Adjusted Consumption'!AF36*ramps!AG17*1000</f>
        <v>0</v>
      </c>
      <c r="AG37" s="68">
        <f>'Adjusted Consumption'!AG36*ramps!AH17*1000</f>
        <v>0</v>
      </c>
      <c r="AH37" s="68">
        <f>'Adjusted Consumption'!AH36*ramps!AI17*1000</f>
        <v>0</v>
      </c>
      <c r="AI37" s="68">
        <f>'Adjusted Consumption'!AI36*ramps!AJ17*1000</f>
        <v>0</v>
      </c>
      <c r="AJ37" s="68">
        <f>'Adjusted Consumption'!AJ36*ramps!AK17*1000</f>
        <v>0</v>
      </c>
      <c r="AK37" s="68">
        <f>'Adjusted Consumption'!AK36*ramps!AL17*1000</f>
        <v>0</v>
      </c>
    </row>
    <row r="38" spans="1:37">
      <c r="A38" s="19" t="s">
        <v>35</v>
      </c>
      <c r="B38" s="68"/>
      <c r="C38" s="68"/>
      <c r="D38" s="68"/>
      <c r="E38" s="68"/>
      <c r="F38" s="68"/>
      <c r="G38" s="68"/>
      <c r="H38" s="68"/>
      <c r="I38" s="68"/>
      <c r="J38" s="68"/>
      <c r="K38" s="68">
        <f>'Adjusted Consumption'!K37*ramps!L17*1000</f>
        <v>0</v>
      </c>
      <c r="L38" s="68">
        <f>'Adjusted Consumption'!L37*ramps!M17*1000</f>
        <v>0</v>
      </c>
      <c r="M38" s="68">
        <f>'Adjusted Consumption'!M37*ramps!N17*1000</f>
        <v>0</v>
      </c>
      <c r="N38" s="68">
        <f>'Adjusted Consumption'!N37*ramps!O17*1000</f>
        <v>0</v>
      </c>
      <c r="O38" s="68">
        <f>'Adjusted Consumption'!O37*ramps!P17*1000</f>
        <v>0</v>
      </c>
      <c r="P38" s="68">
        <f>'Adjusted Consumption'!P37*ramps!Q17*1000</f>
        <v>0</v>
      </c>
      <c r="Q38" s="68">
        <f>'Adjusted Consumption'!Q37*ramps!R17*1000</f>
        <v>0</v>
      </c>
      <c r="R38" s="68">
        <f>'Adjusted Consumption'!R37*ramps!S17*1000</f>
        <v>0</v>
      </c>
      <c r="S38" s="68">
        <f>'Adjusted Consumption'!S37*ramps!T17*1000</f>
        <v>0</v>
      </c>
      <c r="T38" s="68">
        <f>'Adjusted Consumption'!T37*ramps!U17*1000</f>
        <v>0</v>
      </c>
      <c r="U38" s="68">
        <f>'Adjusted Consumption'!U37*ramps!V17*1000</f>
        <v>0</v>
      </c>
      <c r="V38" s="68">
        <f>'Adjusted Consumption'!V37*ramps!W17*1000</f>
        <v>0</v>
      </c>
      <c r="W38" s="68">
        <f>'Adjusted Consumption'!W37*ramps!X17*1000</f>
        <v>0</v>
      </c>
      <c r="X38" s="68">
        <f>'Adjusted Consumption'!X37*ramps!Y17*1000</f>
        <v>0</v>
      </c>
      <c r="Y38" s="68">
        <f>'Adjusted Consumption'!Y37*ramps!Z17*1000</f>
        <v>0</v>
      </c>
      <c r="Z38" s="68">
        <f>'Adjusted Consumption'!Z37*ramps!AA17*1000</f>
        <v>0</v>
      </c>
      <c r="AA38" s="68">
        <f>'Adjusted Consumption'!AA37*ramps!AB17*1000</f>
        <v>0</v>
      </c>
      <c r="AB38" s="68">
        <f>'Adjusted Consumption'!AB37*ramps!AC17*1000</f>
        <v>0</v>
      </c>
      <c r="AC38" s="68">
        <f>'Adjusted Consumption'!AC37*ramps!AD17*1000</f>
        <v>0</v>
      </c>
      <c r="AD38" s="68">
        <f>'Adjusted Consumption'!AD37*ramps!AE17*1000</f>
        <v>0</v>
      </c>
      <c r="AE38" s="68">
        <f>'Adjusted Consumption'!AE37*ramps!AF17*1000</f>
        <v>0</v>
      </c>
      <c r="AF38" s="68">
        <f>'Adjusted Consumption'!AF37*ramps!AG17*1000</f>
        <v>0</v>
      </c>
      <c r="AG38" s="68">
        <f>'Adjusted Consumption'!AG37*ramps!AH17*1000</f>
        <v>0</v>
      </c>
      <c r="AH38" s="68">
        <f>'Adjusted Consumption'!AH37*ramps!AI17*1000</f>
        <v>0</v>
      </c>
      <c r="AI38" s="68">
        <f>'Adjusted Consumption'!AI37*ramps!AJ17*1000</f>
        <v>0</v>
      </c>
      <c r="AJ38" s="68">
        <f>'Adjusted Consumption'!AJ37*ramps!AK17*1000</f>
        <v>0</v>
      </c>
      <c r="AK38" s="68">
        <f>'Adjusted Consumption'!AK37*ramps!AL17*1000</f>
        <v>0</v>
      </c>
    </row>
    <row r="39" spans="1:37">
      <c r="A39" s="19" t="s">
        <v>62</v>
      </c>
      <c r="B39" s="68"/>
      <c r="C39" s="68"/>
      <c r="D39" s="68"/>
      <c r="E39" s="68"/>
      <c r="F39" s="68"/>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row>
    <row r="40" spans="1:37">
      <c r="A40" s="19" t="s">
        <v>36</v>
      </c>
      <c r="B40" s="68"/>
      <c r="C40" s="68"/>
      <c r="D40" s="68"/>
      <c r="E40" s="68"/>
      <c r="F40" s="68"/>
      <c r="G40" s="68"/>
      <c r="H40" s="68"/>
      <c r="I40" s="68"/>
      <c r="J40" s="68"/>
      <c r="K40" s="68">
        <f>'Adjusted Consumption'!K39*ramps!L18*1000</f>
        <v>0</v>
      </c>
      <c r="L40" s="68">
        <f>'Adjusted Consumption'!L39*ramps!M18*1000</f>
        <v>0</v>
      </c>
      <c r="M40" s="68">
        <f>'Adjusted Consumption'!M39*ramps!N18*1000</f>
        <v>0</v>
      </c>
      <c r="N40" s="68">
        <f>'Adjusted Consumption'!N39*ramps!O18*1000</f>
        <v>0</v>
      </c>
      <c r="O40" s="68">
        <f>'Adjusted Consumption'!O39*ramps!P18*1000</f>
        <v>0</v>
      </c>
      <c r="P40" s="68">
        <f>'Adjusted Consumption'!P39*ramps!Q18*1000</f>
        <v>0</v>
      </c>
      <c r="Q40" s="68">
        <f>'Adjusted Consumption'!Q39*ramps!R18*1000</f>
        <v>0</v>
      </c>
      <c r="R40" s="68">
        <f>'Adjusted Consumption'!R39*ramps!S18*1000</f>
        <v>0</v>
      </c>
      <c r="S40" s="68">
        <f>'Adjusted Consumption'!S39*ramps!T18*1000</f>
        <v>0</v>
      </c>
      <c r="T40" s="68">
        <f>'Adjusted Consumption'!T39*ramps!U18*1000</f>
        <v>0</v>
      </c>
      <c r="U40" s="68">
        <f>'Adjusted Consumption'!U39*ramps!V18*1000</f>
        <v>0</v>
      </c>
      <c r="V40" s="68">
        <f>'Adjusted Consumption'!V39*ramps!W18*1000</f>
        <v>0</v>
      </c>
      <c r="W40" s="68">
        <f>'Adjusted Consumption'!W39*ramps!X18*1000</f>
        <v>0</v>
      </c>
      <c r="X40" s="68">
        <f>'Adjusted Consumption'!X39*ramps!Y18*1000</f>
        <v>0</v>
      </c>
      <c r="Y40" s="68">
        <f>'Adjusted Consumption'!Y39*ramps!Z18*1000</f>
        <v>0</v>
      </c>
      <c r="Z40" s="68">
        <f>'Adjusted Consumption'!Z39*ramps!AA18*1000</f>
        <v>0</v>
      </c>
      <c r="AA40" s="68">
        <f>'Adjusted Consumption'!AA39*ramps!AB18*1000</f>
        <v>0</v>
      </c>
      <c r="AB40" s="68">
        <f>'Adjusted Consumption'!AB39*ramps!AC18*1000</f>
        <v>0</v>
      </c>
      <c r="AC40" s="68">
        <f>'Adjusted Consumption'!AC39*ramps!AD18*1000</f>
        <v>0</v>
      </c>
      <c r="AD40" s="68">
        <f>'Adjusted Consumption'!AD39*ramps!AE18*1000</f>
        <v>0</v>
      </c>
      <c r="AE40" s="68">
        <f>'Adjusted Consumption'!AE39*ramps!AF18*1000</f>
        <v>0</v>
      </c>
      <c r="AF40" s="68">
        <f>'Adjusted Consumption'!AF39*ramps!AG18*1000</f>
        <v>0</v>
      </c>
      <c r="AG40" s="68">
        <f>'Adjusted Consumption'!AG39*ramps!AH18*1000</f>
        <v>0</v>
      </c>
      <c r="AH40" s="68">
        <f>'Adjusted Consumption'!AH39*ramps!AI18*1000</f>
        <v>0</v>
      </c>
      <c r="AI40" s="68">
        <f>'Adjusted Consumption'!AI39*ramps!AJ18*1000</f>
        <v>0</v>
      </c>
      <c r="AJ40" s="68">
        <f>'Adjusted Consumption'!AJ39*ramps!AK18*1000</f>
        <v>0</v>
      </c>
      <c r="AK40" s="68">
        <f>'Adjusted Consumption'!AK39*ramps!AL18*1000</f>
        <v>0</v>
      </c>
    </row>
    <row r="41" spans="1:37">
      <c r="A41" s="19" t="s">
        <v>37</v>
      </c>
      <c r="B41" s="68"/>
      <c r="C41" s="68"/>
      <c r="D41" s="68"/>
      <c r="E41" s="68"/>
      <c r="F41" s="68"/>
      <c r="G41" s="68"/>
      <c r="H41" s="68"/>
      <c r="I41" s="68"/>
      <c r="J41" s="68"/>
      <c r="K41" s="68">
        <f>'Adjusted Consumption'!K40*ramps!L18*1000</f>
        <v>0</v>
      </c>
      <c r="L41" s="68">
        <f>'Adjusted Consumption'!L40*ramps!M18*1000</f>
        <v>0</v>
      </c>
      <c r="M41" s="68">
        <f>'Adjusted Consumption'!M40*ramps!N18*1000</f>
        <v>0</v>
      </c>
      <c r="N41" s="68">
        <f>'Adjusted Consumption'!N40*ramps!O18*1000</f>
        <v>0</v>
      </c>
      <c r="O41" s="68">
        <f>'Adjusted Consumption'!O40*ramps!P18*1000</f>
        <v>0</v>
      </c>
      <c r="P41" s="68">
        <f>'Adjusted Consumption'!P40*ramps!Q18*1000</f>
        <v>0</v>
      </c>
      <c r="Q41" s="68">
        <f>'Adjusted Consumption'!Q40*ramps!R18*1000</f>
        <v>1.4203941575713199</v>
      </c>
      <c r="R41" s="68">
        <f>'Adjusted Consumption'!R40*ramps!S18*1000</f>
        <v>1.6072690747413112</v>
      </c>
      <c r="S41" s="68">
        <f>'Adjusted Consumption'!S40*ramps!T18*1000</f>
        <v>1.7798453777752958</v>
      </c>
      <c r="T41" s="68">
        <f>'Adjusted Consumption'!T40*ramps!U18*1000</f>
        <v>1.9343776731918199</v>
      </c>
      <c r="U41" s="68">
        <f>'Adjusted Consumption'!U40*ramps!V18*1000</f>
        <v>2.0775842892043039</v>
      </c>
      <c r="V41" s="68">
        <f>'Adjusted Consumption'!V40*ramps!W18*1000</f>
        <v>2.1758728203283537</v>
      </c>
      <c r="W41" s="68">
        <f>'Adjusted Consumption'!W40*ramps!X18*1000</f>
        <v>2.2505313674445149</v>
      </c>
      <c r="X41" s="68">
        <f>'Adjusted Consumption'!X40*ramps!Y18*1000</f>
        <v>2.3025344776160117</v>
      </c>
      <c r="Y41" s="68">
        <f>'Adjusted Consumption'!Y40*ramps!Z18*1000</f>
        <v>2.3330708956105584</v>
      </c>
      <c r="Z41" s="68">
        <f>'Adjusted Consumption'!Z40*ramps!AA18*1000</f>
        <v>2.3409083333399994</v>
      </c>
      <c r="AA41" s="68">
        <f>'Adjusted Consumption'!AA40*ramps!AB18*1000</f>
        <v>0</v>
      </c>
      <c r="AB41" s="68">
        <f>'Adjusted Consumption'!AB40*ramps!AC18*1000</f>
        <v>0</v>
      </c>
      <c r="AC41" s="68">
        <f>'Adjusted Consumption'!AC40*ramps!AD18*1000</f>
        <v>0</v>
      </c>
      <c r="AD41" s="68">
        <f>'Adjusted Consumption'!AD40*ramps!AE18*1000</f>
        <v>0</v>
      </c>
      <c r="AE41" s="68">
        <f>'Adjusted Consumption'!AE40*ramps!AF18*1000</f>
        <v>0</v>
      </c>
      <c r="AF41" s="68">
        <f>'Adjusted Consumption'!AF40*ramps!AG18*1000</f>
        <v>0</v>
      </c>
      <c r="AG41" s="68">
        <f>'Adjusted Consumption'!AG40*ramps!AH18*1000</f>
        <v>0</v>
      </c>
      <c r="AH41" s="68">
        <f>'Adjusted Consumption'!AH40*ramps!AI18*1000</f>
        <v>0</v>
      </c>
      <c r="AI41" s="68">
        <f>'Adjusted Consumption'!AI40*ramps!AJ18*1000</f>
        <v>0</v>
      </c>
      <c r="AJ41" s="68">
        <f>'Adjusted Consumption'!AJ40*ramps!AK18*1000</f>
        <v>0</v>
      </c>
      <c r="AK41" s="68">
        <f>'Adjusted Consumption'!AK40*ramps!AL18*1000</f>
        <v>0</v>
      </c>
    </row>
    <row r="42" spans="1:37">
      <c r="A42" s="19" t="s">
        <v>63</v>
      </c>
      <c r="B42" s="68"/>
      <c r="C42" s="68"/>
      <c r="D42" s="68"/>
      <c r="E42" s="68"/>
      <c r="F42" s="68"/>
      <c r="G42" s="68"/>
      <c r="H42" s="68"/>
      <c r="I42" s="68"/>
      <c r="J42" s="68"/>
      <c r="K42" s="68">
        <f>'Adjusted Consumption'!K41*ramps!L18*1000</f>
        <v>0</v>
      </c>
      <c r="L42" s="68">
        <f>'Adjusted Consumption'!L41*ramps!M18*1000</f>
        <v>0</v>
      </c>
      <c r="M42" s="68">
        <f>'Adjusted Consumption'!M41*ramps!N18*1000</f>
        <v>0</v>
      </c>
      <c r="N42" s="68">
        <f>'Adjusted Consumption'!N41*ramps!O18*1000</f>
        <v>0</v>
      </c>
      <c r="O42" s="68">
        <f>'Adjusted Consumption'!O41*ramps!P18*1000</f>
        <v>0</v>
      </c>
      <c r="P42" s="68">
        <f>'Adjusted Consumption'!P41*ramps!Q18*1000</f>
        <v>0</v>
      </c>
      <c r="Q42" s="68">
        <f>'Adjusted Consumption'!Q41*ramps!R18*1000</f>
        <v>0</v>
      </c>
      <c r="R42" s="68">
        <f>'Adjusted Consumption'!R41*ramps!S18*1000</f>
        <v>0</v>
      </c>
      <c r="S42" s="68">
        <f>'Adjusted Consumption'!S41*ramps!T18*1000</f>
        <v>0</v>
      </c>
      <c r="T42" s="68">
        <f>'Adjusted Consumption'!T41*ramps!U18*1000</f>
        <v>0</v>
      </c>
      <c r="U42" s="68">
        <f>'Adjusted Consumption'!U41*ramps!V18*1000</f>
        <v>0</v>
      </c>
      <c r="V42" s="68">
        <f>'Adjusted Consumption'!V41*ramps!W18*1000</f>
        <v>0</v>
      </c>
      <c r="W42" s="68">
        <f>'Adjusted Consumption'!W41*ramps!X18*1000</f>
        <v>0</v>
      </c>
      <c r="X42" s="68">
        <f>'Adjusted Consumption'!X41*ramps!Y18*1000</f>
        <v>0</v>
      </c>
      <c r="Y42" s="68">
        <f>'Adjusted Consumption'!Y41*ramps!Z18*1000</f>
        <v>0</v>
      </c>
      <c r="Z42" s="68">
        <f>'Adjusted Consumption'!Z41*ramps!AA18*1000</f>
        <v>0</v>
      </c>
      <c r="AA42" s="68">
        <f>'Adjusted Consumption'!AA41*ramps!AB18*1000</f>
        <v>0</v>
      </c>
      <c r="AB42" s="68">
        <f>'Adjusted Consumption'!AB41*ramps!AC18*1000</f>
        <v>0</v>
      </c>
      <c r="AC42" s="68">
        <f>'Adjusted Consumption'!AC41*ramps!AD18*1000</f>
        <v>0</v>
      </c>
      <c r="AD42" s="68">
        <f>'Adjusted Consumption'!AD41*ramps!AE18*1000</f>
        <v>0</v>
      </c>
      <c r="AE42" s="68">
        <f>'Adjusted Consumption'!AE41*ramps!AF18*1000</f>
        <v>0</v>
      </c>
      <c r="AF42" s="68">
        <f>'Adjusted Consumption'!AF41*ramps!AG18*1000</f>
        <v>0</v>
      </c>
      <c r="AG42" s="68">
        <f>'Adjusted Consumption'!AG41*ramps!AH18*1000</f>
        <v>0</v>
      </c>
      <c r="AH42" s="68">
        <f>'Adjusted Consumption'!AH41*ramps!AI18*1000</f>
        <v>0</v>
      </c>
      <c r="AI42" s="68">
        <f>'Adjusted Consumption'!AI41*ramps!AJ18*1000</f>
        <v>0</v>
      </c>
      <c r="AJ42" s="68">
        <f>'Adjusted Consumption'!AJ41*ramps!AK18*1000</f>
        <v>0</v>
      </c>
      <c r="AK42" s="68">
        <f>'Adjusted Consumption'!AK41*ramps!AL18*1000</f>
        <v>0</v>
      </c>
    </row>
    <row r="43" spans="1:37">
      <c r="A43" s="19" t="s">
        <v>64</v>
      </c>
      <c r="B43" s="68"/>
      <c r="C43" s="68"/>
      <c r="D43" s="68"/>
      <c r="E43" s="68"/>
      <c r="F43" s="68"/>
      <c r="G43" s="68"/>
      <c r="H43" s="68"/>
      <c r="I43" s="68"/>
      <c r="J43" s="68"/>
      <c r="K43" s="68">
        <f>'Adjusted Consumption'!K42*ramps!L18*1000</f>
        <v>0</v>
      </c>
      <c r="L43" s="68">
        <f>'Adjusted Consumption'!L42*ramps!M18*1000</f>
        <v>0</v>
      </c>
      <c r="M43" s="68">
        <f>'Adjusted Consumption'!M42*ramps!N18*1000</f>
        <v>0</v>
      </c>
      <c r="N43" s="68">
        <f>'Adjusted Consumption'!N42*ramps!O18*1000</f>
        <v>0</v>
      </c>
      <c r="O43" s="68">
        <f>'Adjusted Consumption'!O42*ramps!P18*1000</f>
        <v>0</v>
      </c>
      <c r="P43" s="68">
        <f>'Adjusted Consumption'!P42*ramps!Q18*1000</f>
        <v>0</v>
      </c>
      <c r="Q43" s="68">
        <f>'Adjusted Consumption'!Q42*ramps!R18*1000</f>
        <v>0</v>
      </c>
      <c r="R43" s="68">
        <f>'Adjusted Consumption'!R42*ramps!S18*1000</f>
        <v>0</v>
      </c>
      <c r="S43" s="68">
        <f>'Adjusted Consumption'!S42*ramps!T18*1000</f>
        <v>0</v>
      </c>
      <c r="T43" s="68">
        <f>'Adjusted Consumption'!T42*ramps!U18*1000</f>
        <v>0</v>
      </c>
      <c r="U43" s="68">
        <f>'Adjusted Consumption'!U42*ramps!V18*1000</f>
        <v>0</v>
      </c>
      <c r="V43" s="68">
        <f>'Adjusted Consumption'!V42*ramps!W18*1000</f>
        <v>0</v>
      </c>
      <c r="W43" s="68">
        <f>'Adjusted Consumption'!W42*ramps!X18*1000</f>
        <v>0</v>
      </c>
      <c r="X43" s="68">
        <f>'Adjusted Consumption'!X42*ramps!Y18*1000</f>
        <v>0</v>
      </c>
      <c r="Y43" s="68">
        <f>'Adjusted Consumption'!Y42*ramps!Z18*1000</f>
        <v>0</v>
      </c>
      <c r="Z43" s="68">
        <f>'Adjusted Consumption'!Z42*ramps!AA18*1000</f>
        <v>0</v>
      </c>
      <c r="AA43" s="68">
        <f>'Adjusted Consumption'!AA42*ramps!AB18*1000</f>
        <v>0</v>
      </c>
      <c r="AB43" s="68">
        <f>'Adjusted Consumption'!AB42*ramps!AC18*1000</f>
        <v>0</v>
      </c>
      <c r="AC43" s="68">
        <f>'Adjusted Consumption'!AC42*ramps!AD18*1000</f>
        <v>0</v>
      </c>
      <c r="AD43" s="68">
        <f>'Adjusted Consumption'!AD42*ramps!AE18*1000</f>
        <v>0</v>
      </c>
      <c r="AE43" s="68">
        <f>'Adjusted Consumption'!AE42*ramps!AF18*1000</f>
        <v>0</v>
      </c>
      <c r="AF43" s="68">
        <f>'Adjusted Consumption'!AF42*ramps!AG18*1000</f>
        <v>0</v>
      </c>
      <c r="AG43" s="68">
        <f>'Adjusted Consumption'!AG42*ramps!AH18*1000</f>
        <v>0</v>
      </c>
      <c r="AH43" s="68">
        <f>'Adjusted Consumption'!AH42*ramps!AI18*1000</f>
        <v>0</v>
      </c>
      <c r="AI43" s="68">
        <f>'Adjusted Consumption'!AI42*ramps!AJ18*1000</f>
        <v>0</v>
      </c>
      <c r="AJ43" s="68">
        <f>'Adjusted Consumption'!AJ42*ramps!AK18*1000</f>
        <v>0</v>
      </c>
      <c r="AK43" s="68">
        <f>'Adjusted Consumption'!AK42*ramps!AL18*1000</f>
        <v>0</v>
      </c>
    </row>
    <row r="44" spans="1:37">
      <c r="A44" s="19" t="s">
        <v>65</v>
      </c>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row>
    <row r="45" spans="1:37">
      <c r="A45" s="19" t="s">
        <v>66</v>
      </c>
      <c r="B45" s="68"/>
      <c r="C45" s="68"/>
      <c r="D45" s="68"/>
      <c r="E45" s="68"/>
      <c r="F45" s="68"/>
      <c r="G45" s="68"/>
      <c r="H45" s="68"/>
      <c r="I45" s="68"/>
      <c r="J45" s="68"/>
      <c r="K45" s="68">
        <v>0</v>
      </c>
      <c r="L45" s="68">
        <v>0</v>
      </c>
      <c r="M45" s="68">
        <v>0</v>
      </c>
      <c r="N45" s="68">
        <v>0</v>
      </c>
      <c r="O45" s="68">
        <v>0</v>
      </c>
      <c r="P45" s="68">
        <v>0</v>
      </c>
      <c r="Q45" s="68">
        <v>0</v>
      </c>
      <c r="R45" s="68">
        <v>0</v>
      </c>
      <c r="S45" s="68">
        <v>0</v>
      </c>
      <c r="T45" s="68">
        <v>0</v>
      </c>
      <c r="U45" s="68">
        <v>0</v>
      </c>
      <c r="V45" s="68">
        <v>0</v>
      </c>
      <c r="W45" s="68">
        <v>0</v>
      </c>
      <c r="X45" s="68">
        <v>0</v>
      </c>
      <c r="Y45" s="68">
        <v>0</v>
      </c>
      <c r="Z45" s="68">
        <v>0</v>
      </c>
      <c r="AA45" s="68">
        <v>0</v>
      </c>
      <c r="AB45" s="68">
        <v>0</v>
      </c>
      <c r="AC45" s="68">
        <v>0</v>
      </c>
      <c r="AD45" s="68">
        <v>0</v>
      </c>
      <c r="AE45" s="68">
        <v>0</v>
      </c>
      <c r="AF45" s="68">
        <v>0</v>
      </c>
      <c r="AG45" s="68">
        <v>0</v>
      </c>
      <c r="AH45" s="68">
        <v>0</v>
      </c>
      <c r="AI45" s="68">
        <v>0</v>
      </c>
      <c r="AJ45" s="68">
        <v>0</v>
      </c>
      <c r="AK45" s="68">
        <v>0</v>
      </c>
    </row>
    <row r="46" spans="1:37">
      <c r="A46" s="19" t="s">
        <v>67</v>
      </c>
      <c r="B46" s="68"/>
      <c r="C46" s="68"/>
      <c r="D46" s="68"/>
      <c r="E46" s="68"/>
      <c r="F46" s="68"/>
      <c r="G46" s="68"/>
      <c r="H46" s="68"/>
      <c r="I46" s="68"/>
      <c r="J46" s="68"/>
      <c r="K46" s="68">
        <v>0</v>
      </c>
      <c r="L46" s="68">
        <v>0</v>
      </c>
      <c r="M46" s="68">
        <v>0</v>
      </c>
      <c r="N46" s="68">
        <v>0</v>
      </c>
      <c r="O46" s="68">
        <v>0</v>
      </c>
      <c r="P46" s="68">
        <v>0</v>
      </c>
      <c r="Q46" s="68">
        <v>0</v>
      </c>
      <c r="R46" s="68">
        <v>0</v>
      </c>
      <c r="S46" s="68">
        <v>0</v>
      </c>
      <c r="T46" s="68">
        <v>0</v>
      </c>
      <c r="U46" s="68">
        <v>0</v>
      </c>
      <c r="V46" s="68">
        <v>0</v>
      </c>
      <c r="W46" s="68">
        <v>0</v>
      </c>
      <c r="X46" s="68">
        <v>0</v>
      </c>
      <c r="Y46" s="68">
        <v>0</v>
      </c>
      <c r="Z46" s="68">
        <v>0</v>
      </c>
      <c r="AA46" s="68">
        <v>0</v>
      </c>
      <c r="AB46" s="68">
        <v>0</v>
      </c>
      <c r="AC46" s="68">
        <v>0</v>
      </c>
      <c r="AD46" s="68">
        <v>0</v>
      </c>
      <c r="AE46" s="68">
        <v>0</v>
      </c>
      <c r="AF46" s="68">
        <v>0</v>
      </c>
      <c r="AG46" s="68">
        <v>0</v>
      </c>
      <c r="AH46" s="68">
        <v>0</v>
      </c>
      <c r="AI46" s="68">
        <v>0</v>
      </c>
      <c r="AJ46" s="68">
        <v>0</v>
      </c>
      <c r="AK46" s="68">
        <v>0</v>
      </c>
    </row>
    <row r="47" spans="1:37">
      <c r="A47" s="19" t="s">
        <v>27</v>
      </c>
      <c r="B47" s="68"/>
      <c r="C47" s="68"/>
      <c r="D47" s="68"/>
      <c r="E47" s="68"/>
      <c r="F47" s="68"/>
      <c r="G47" s="68"/>
      <c r="H47" s="68"/>
      <c r="I47" s="68"/>
      <c r="J47" s="68"/>
      <c r="K47" s="68">
        <f>K83*'Adjusted Consumption'!K165</f>
        <v>0</v>
      </c>
      <c r="L47" s="68">
        <f>L83*'Adjusted Consumption'!L165</f>
        <v>0</v>
      </c>
      <c r="M47" s="68">
        <f>M83*'Adjusted Consumption'!M165</f>
        <v>0</v>
      </c>
      <c r="N47" s="68">
        <f>N83*'Adjusted Consumption'!N165</f>
        <v>0</v>
      </c>
      <c r="O47" s="68">
        <f>O83*'Adjusted Consumption'!O165</f>
        <v>0</v>
      </c>
      <c r="P47" s="68">
        <f>P83*'Adjusted Consumption'!P165</f>
        <v>0</v>
      </c>
      <c r="Q47" s="68">
        <f>Q83*'Adjusted Consumption'!Q165</f>
        <v>29.200774414849754</v>
      </c>
      <c r="R47" s="68">
        <f>R83*'Adjusted Consumption'!R165</f>
        <v>33.626569291593022</v>
      </c>
      <c r="S47" s="68">
        <f>S83*'Adjusted Consumption'!S165</f>
        <v>41.214239051481897</v>
      </c>
      <c r="T47" s="68">
        <f>T83*'Adjusted Consumption'!T165</f>
        <v>45.673955775939575</v>
      </c>
      <c r="U47" s="68">
        <f>U83*'Adjusted Consumption'!U165</f>
        <v>48.279238913209035</v>
      </c>
      <c r="V47" s="68">
        <f>V83*'Adjusted Consumption'!V165</f>
        <v>50.836135465343688</v>
      </c>
      <c r="W47" s="68">
        <f>W83*'Adjusted Consumption'!W165</f>
        <v>56.829133683141997</v>
      </c>
      <c r="X47" s="68">
        <f>X83*'Adjusted Consumption'!X165</f>
        <v>59.279393015263771</v>
      </c>
      <c r="Y47" s="68">
        <f>Y83*'Adjusted Consumption'!Y165</f>
        <v>61.360010958988767</v>
      </c>
      <c r="Z47" s="68">
        <f>Z83*'Adjusted Consumption'!Z165</f>
        <v>63.882845224909211</v>
      </c>
      <c r="AA47" s="68">
        <f>AA83*'Adjusted Consumption'!AA165</f>
        <v>0</v>
      </c>
      <c r="AB47" s="68">
        <f>AB83*'Adjusted Consumption'!AB165</f>
        <v>0</v>
      </c>
      <c r="AC47" s="68">
        <f>AC83*'Adjusted Consumption'!AC165</f>
        <v>0</v>
      </c>
      <c r="AD47" s="68">
        <f>AD83*'Adjusted Consumption'!AD165</f>
        <v>0</v>
      </c>
      <c r="AE47" s="68">
        <f>AE83*'Adjusted Consumption'!AE165</f>
        <v>0</v>
      </c>
      <c r="AF47" s="68">
        <f>AF83*'Adjusted Consumption'!AF165</f>
        <v>0</v>
      </c>
      <c r="AG47" s="68">
        <f>AG83*'Adjusted Consumption'!AG165</f>
        <v>0</v>
      </c>
      <c r="AH47" s="68">
        <f>AH83*'Adjusted Consumption'!AH165</f>
        <v>0</v>
      </c>
      <c r="AI47" s="68">
        <f>AI83*'Adjusted Consumption'!AI165</f>
        <v>0</v>
      </c>
      <c r="AJ47" s="68">
        <f>AJ83*'Adjusted Consumption'!AJ165</f>
        <v>0</v>
      </c>
      <c r="AK47" s="68">
        <f>AK83*'Adjusted Consumption'!AK165</f>
        <v>0</v>
      </c>
    </row>
    <row r="48" spans="1:37">
      <c r="A48" s="19" t="s">
        <v>4</v>
      </c>
      <c r="B48" s="68"/>
      <c r="C48" s="68"/>
      <c r="D48" s="68"/>
      <c r="E48" s="68"/>
      <c r="F48" s="68"/>
      <c r="G48" s="68"/>
      <c r="H48" s="68"/>
      <c r="I48" s="68"/>
      <c r="J48" s="68"/>
      <c r="K48" s="180">
        <f>SUM(K30:K47)</f>
        <v>0</v>
      </c>
      <c r="L48" s="180">
        <f t="shared" ref="L48:AK48" si="2">SUM(L30:L47)</f>
        <v>0</v>
      </c>
      <c r="M48" s="180">
        <f>SUM(M30:M47)</f>
        <v>0</v>
      </c>
      <c r="N48" s="180">
        <f>SUM(N30:N47)</f>
        <v>0</v>
      </c>
      <c r="O48" s="180">
        <f t="shared" si="2"/>
        <v>0</v>
      </c>
      <c r="P48" s="180">
        <f t="shared" si="2"/>
        <v>0</v>
      </c>
      <c r="Q48" s="180">
        <f>SUM(Q30:Q47)</f>
        <v>118.62193301700853</v>
      </c>
      <c r="R48" s="180">
        <f t="shared" si="2"/>
        <v>135.64689356470359</v>
      </c>
      <c r="S48" s="180">
        <f t="shared" si="2"/>
        <v>155.01280513229648</v>
      </c>
      <c r="T48" s="180">
        <f t="shared" si="2"/>
        <v>170.38695299755227</v>
      </c>
      <c r="U48" s="180">
        <f t="shared" si="2"/>
        <v>182.16188384883094</v>
      </c>
      <c r="V48" s="180">
        <f t="shared" si="2"/>
        <v>192.84819561592712</v>
      </c>
      <c r="W48" s="180">
        <f t="shared" si="2"/>
        <v>206.08695647307957</v>
      </c>
      <c r="X48" s="180">
        <f t="shared" si="2"/>
        <v>215.29529028704516</v>
      </c>
      <c r="Y48" s="180">
        <f t="shared" si="2"/>
        <v>223.26308674576305</v>
      </c>
      <c r="Z48" s="180">
        <f t="shared" si="2"/>
        <v>231.88485086476939</v>
      </c>
      <c r="AA48" s="180">
        <f t="shared" si="2"/>
        <v>0</v>
      </c>
      <c r="AB48" s="180">
        <f t="shared" si="2"/>
        <v>0</v>
      </c>
      <c r="AC48" s="180">
        <f t="shared" si="2"/>
        <v>0</v>
      </c>
      <c r="AD48" s="180">
        <f t="shared" si="2"/>
        <v>0</v>
      </c>
      <c r="AE48" s="180">
        <f t="shared" si="2"/>
        <v>0</v>
      </c>
      <c r="AF48" s="180">
        <f t="shared" si="2"/>
        <v>0</v>
      </c>
      <c r="AG48" s="180">
        <f t="shared" si="2"/>
        <v>0</v>
      </c>
      <c r="AH48" s="180">
        <f t="shared" si="2"/>
        <v>0</v>
      </c>
      <c r="AI48" s="180">
        <f t="shared" si="2"/>
        <v>0</v>
      </c>
      <c r="AJ48" s="180">
        <f t="shared" si="2"/>
        <v>0</v>
      </c>
      <c r="AK48" s="180">
        <f t="shared" si="2"/>
        <v>0</v>
      </c>
    </row>
    <row r="49" spans="1:37">
      <c r="A49" s="57"/>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row>
    <row r="50" spans="1:37" ht="16.350000000000001" customHeight="1">
      <c r="A50" s="19" t="s">
        <v>38</v>
      </c>
      <c r="B50" s="68"/>
      <c r="C50" s="68"/>
      <c r="D50" s="68"/>
      <c r="E50" s="68"/>
      <c r="F50" s="68"/>
      <c r="G50" s="68"/>
      <c r="H50" s="68"/>
      <c r="I50" s="68"/>
      <c r="J50" s="68"/>
      <c r="K50" s="68"/>
      <c r="L50" s="68"/>
      <c r="M50" s="68"/>
      <c r="N50" s="68"/>
      <c r="O50"/>
      <c r="P50"/>
      <c r="Q50"/>
      <c r="R50"/>
      <c r="S50"/>
      <c r="T50"/>
      <c r="U50"/>
      <c r="V50"/>
      <c r="W50"/>
      <c r="X50"/>
      <c r="Y50"/>
      <c r="Z50"/>
      <c r="AA50"/>
      <c r="AB50"/>
      <c r="AC50"/>
      <c r="AD50"/>
      <c r="AE50"/>
      <c r="AF50"/>
      <c r="AG50"/>
      <c r="AH50"/>
      <c r="AI50"/>
      <c r="AJ50"/>
      <c r="AK50"/>
    </row>
    <row r="51" spans="1:37">
      <c r="A51" s="19" t="s">
        <v>24</v>
      </c>
      <c r="B51" s="68"/>
      <c r="C51" s="68"/>
      <c r="D51" s="68"/>
      <c r="E51" s="68"/>
      <c r="F51" s="68"/>
      <c r="G51" s="68"/>
      <c r="H51" s="68"/>
      <c r="I51" s="68"/>
      <c r="J51" s="68"/>
      <c r="K51" s="68">
        <f>'Adjusted Consumption'!K50*ramps!L22*1000</f>
        <v>0</v>
      </c>
      <c r="L51" s="68">
        <f>'Adjusted Consumption'!L50*ramps!M22*1000</f>
        <v>0</v>
      </c>
      <c r="M51" s="68">
        <f>'Adjusted Consumption'!M50*ramps!N22*1000</f>
        <v>0</v>
      </c>
      <c r="N51" s="68">
        <f>'Adjusted Consumption'!N50*ramps!O22*1000</f>
        <v>0</v>
      </c>
      <c r="O51" s="68">
        <f>'Adjusted Consumption'!O50*ramps!P22*1000</f>
        <v>0</v>
      </c>
      <c r="P51" s="68">
        <f>'Adjusted Consumption'!P50*ramps!Q22*1000</f>
        <v>0</v>
      </c>
      <c r="Q51" s="68">
        <f>'Adjusted Consumption'!Q50*ramps!R22*1000</f>
        <v>0.16759286574597387</v>
      </c>
      <c r="R51" s="68">
        <f>'Adjusted Consumption'!R50*ramps!S22*1000</f>
        <v>0.19324325249072394</v>
      </c>
      <c r="S51" s="68">
        <f>'Adjusted Consumption'!S50*ramps!T22*1000</f>
        <v>0.20957456792956319</v>
      </c>
      <c r="T51" s="68">
        <f>'Adjusted Consumption'!T50*ramps!U22*1000</f>
        <v>0.22575633343231566</v>
      </c>
      <c r="U51" s="68">
        <f>'Adjusted Consumption'!U50*ramps!V22*1000</f>
        <v>0.2422363428265176</v>
      </c>
      <c r="V51" s="68">
        <f>'Adjusted Consumption'!V50*ramps!W22*1000</f>
        <v>0.25538317439768982</v>
      </c>
      <c r="W51" s="68">
        <f>'Adjusted Consumption'!W50*ramps!X22*1000</f>
        <v>0.26983725249392931</v>
      </c>
      <c r="X51" s="68">
        <f>'Adjusted Consumption'!X50*ramps!Y22*1000</f>
        <v>0.28774271352324565</v>
      </c>
      <c r="Y51" s="68">
        <f>'Adjusted Consumption'!Y50*ramps!Z22*1000</f>
        <v>0.30564225222073232</v>
      </c>
      <c r="Z51" s="68">
        <f>'Adjusted Consumption'!Z50*ramps!AA22*1000</f>
        <v>0.32455321313672619</v>
      </c>
      <c r="AA51" s="68">
        <f>'Adjusted Consumption'!AA50*ramps!AB22*1000</f>
        <v>0</v>
      </c>
      <c r="AB51" s="68">
        <f>'Adjusted Consumption'!AB50*ramps!AC22*1000</f>
        <v>0</v>
      </c>
      <c r="AC51" s="68">
        <f>'Adjusted Consumption'!AC50*ramps!AD22*1000</f>
        <v>0</v>
      </c>
      <c r="AD51" s="68">
        <f>'Adjusted Consumption'!AD50*ramps!AE22*1000</f>
        <v>0</v>
      </c>
      <c r="AE51" s="68">
        <f>'Adjusted Consumption'!AE50*ramps!AF22*1000</f>
        <v>0</v>
      </c>
      <c r="AF51" s="68">
        <f>'Adjusted Consumption'!AF50*ramps!AG22*1000</f>
        <v>0</v>
      </c>
      <c r="AG51" s="68">
        <f>'Adjusted Consumption'!AG50*ramps!AH22*1000</f>
        <v>0</v>
      </c>
      <c r="AH51" s="68">
        <f>'Adjusted Consumption'!AH50*ramps!AI22*1000</f>
        <v>0</v>
      </c>
      <c r="AI51" s="68">
        <f>'Adjusted Consumption'!AI50*ramps!AJ22*1000</f>
        <v>0</v>
      </c>
      <c r="AJ51" s="68">
        <f>'Adjusted Consumption'!AJ50*ramps!AK22*1000</f>
        <v>0</v>
      </c>
      <c r="AK51" s="68">
        <f>'Adjusted Consumption'!AK50*ramps!AL22*1000</f>
        <v>0</v>
      </c>
    </row>
    <row r="52" spans="1:37">
      <c r="A52" s="19" t="s">
        <v>68</v>
      </c>
      <c r="B52" s="68"/>
      <c r="C52" s="68"/>
      <c r="D52" s="68"/>
      <c r="E52" s="68"/>
      <c r="F52" s="68"/>
      <c r="G52" s="68"/>
      <c r="H52" s="68"/>
      <c r="I52" s="68"/>
      <c r="J52" s="68"/>
      <c r="K52" s="68">
        <f>'Adjusted Consumption'!K51*ramps!L23*1000</f>
        <v>0</v>
      </c>
      <c r="L52" s="68">
        <f>'Adjusted Consumption'!L51*ramps!M23*1000</f>
        <v>0</v>
      </c>
      <c r="M52" s="68">
        <f>'Adjusted Consumption'!M51*ramps!N23*1000</f>
        <v>0</v>
      </c>
      <c r="N52" s="68">
        <f>'Adjusted Consumption'!N51*ramps!O23*1000</f>
        <v>0</v>
      </c>
      <c r="O52" s="68">
        <f>'Adjusted Consumption'!O51*ramps!P23*1000</f>
        <v>0</v>
      </c>
      <c r="P52" s="68">
        <f>'Adjusted Consumption'!P51*ramps!Q23*1000</f>
        <v>0</v>
      </c>
      <c r="Q52" s="68">
        <f>'Adjusted Consumption'!Q51*ramps!R23*1000</f>
        <v>0.25309895956099454</v>
      </c>
      <c r="R52" s="68">
        <f>'Adjusted Consumption'!R51*ramps!S23*1000</f>
        <v>0.33939441279016019</v>
      </c>
      <c r="S52" s="68">
        <f>'Adjusted Consumption'!S51*ramps!T23*1000</f>
        <v>0.4796917464715984</v>
      </c>
      <c r="T52" s="68">
        <f>'Adjusted Consumption'!T51*ramps!U23*1000</f>
        <v>0.75217470312093726</v>
      </c>
      <c r="U52" s="68">
        <f>'Adjusted Consumption'!U51*ramps!V23*1000</f>
        <v>1.0619372606625079</v>
      </c>
      <c r="V52" s="68">
        <f>'Adjusted Consumption'!V51*ramps!W23*1000</f>
        <v>1.4411234623761497</v>
      </c>
      <c r="W52" s="68">
        <f>'Adjusted Consumption'!W51*ramps!X23*1000</f>
        <v>1.6015487638156307</v>
      </c>
      <c r="X52" s="68">
        <f>'Adjusted Consumption'!X51*ramps!Y23*1000</f>
        <v>1.8576676699191172</v>
      </c>
      <c r="Y52" s="68">
        <f>'Adjusted Consumption'!Y51*ramps!Z23*1000</f>
        <v>2.0203198758329477</v>
      </c>
      <c r="Z52" s="68">
        <f>'Adjusted Consumption'!Z51*ramps!AA23*1000</f>
        <v>2.1750092097819449</v>
      </c>
      <c r="AA52" s="68">
        <f>'Adjusted Consumption'!AA51*ramps!AB23*1000</f>
        <v>0</v>
      </c>
      <c r="AB52" s="68">
        <f>'Adjusted Consumption'!AB51*ramps!AC23*1000</f>
        <v>0</v>
      </c>
      <c r="AC52" s="68">
        <f>'Adjusted Consumption'!AC51*ramps!AD23*1000</f>
        <v>0</v>
      </c>
      <c r="AD52" s="68">
        <f>'Adjusted Consumption'!AD51*ramps!AE23*1000</f>
        <v>0</v>
      </c>
      <c r="AE52" s="68">
        <f>'Adjusted Consumption'!AE51*ramps!AF23*1000</f>
        <v>0</v>
      </c>
      <c r="AF52" s="68">
        <f>'Adjusted Consumption'!AF51*ramps!AG23*1000</f>
        <v>0</v>
      </c>
      <c r="AG52" s="68">
        <f>'Adjusted Consumption'!AG51*ramps!AH23*1000</f>
        <v>0</v>
      </c>
      <c r="AH52" s="68">
        <f>'Adjusted Consumption'!AH51*ramps!AI23*1000</f>
        <v>0</v>
      </c>
      <c r="AI52" s="68">
        <f>'Adjusted Consumption'!AI51*ramps!AJ23*1000</f>
        <v>0</v>
      </c>
      <c r="AJ52" s="68">
        <f>'Adjusted Consumption'!AJ51*ramps!AK23*1000</f>
        <v>0</v>
      </c>
      <c r="AK52" s="68">
        <f>'Adjusted Consumption'!AK51*ramps!AL23*1000</f>
        <v>0</v>
      </c>
    </row>
    <row r="53" spans="1:37">
      <c r="A53" s="19" t="s">
        <v>30</v>
      </c>
      <c r="B53" s="68"/>
      <c r="C53" s="68"/>
      <c r="D53" s="68"/>
      <c r="E53" s="68"/>
      <c r="F53" s="68"/>
      <c r="G53" s="68"/>
      <c r="H53" s="68"/>
      <c r="I53" s="68"/>
      <c r="J53" s="68"/>
      <c r="K53" s="68">
        <f>'Adjusted Consumption'!K52*1000*(ramps!L16-ramps!L12/parameters!$C$33)</f>
        <v>0</v>
      </c>
      <c r="L53" s="68">
        <f>'Adjusted Consumption'!L52*1000*(ramps!M16-ramps!M12/parameters!$C$33)</f>
        <v>0</v>
      </c>
      <c r="M53" s="68">
        <f>'Adjusted Consumption'!M52*1000*(ramps!N16-ramps!N12/parameters!$C$33)</f>
        <v>0</v>
      </c>
      <c r="N53" s="68">
        <f>'Adjusted Consumption'!N52*1000*(ramps!O16-ramps!O12/parameters!$C$33)</f>
        <v>0</v>
      </c>
      <c r="O53" s="68">
        <f>'Adjusted Consumption'!O52*1000*((ramps!P16-ramps!P12/parameters!$C$33)*ramps!P91)</f>
        <v>0</v>
      </c>
      <c r="P53" s="68">
        <f>'Adjusted Consumption'!P52*1000*((ramps!Q16-ramps!Q12/parameters!$C$33)*ramps!Q91)</f>
        <v>0</v>
      </c>
      <c r="Q53" s="68">
        <f>'Adjusted Consumption'!Q52*1000*((ramps!R16-ramps!R12/parameters!$C$33)*ramps!R91)</f>
        <v>323.37881750963214</v>
      </c>
      <c r="R53" s="68">
        <f>'Adjusted Consumption'!R52*1000*((ramps!S16-ramps!S12/parameters!$C$33)*ramps!S91)</f>
        <v>356.87448349416405</v>
      </c>
      <c r="S53" s="68">
        <f>'Adjusted Consumption'!S52*1000*((ramps!T16-ramps!T12/parameters!$C$33)*ramps!T91)</f>
        <v>385.82854764863339</v>
      </c>
      <c r="T53" s="68">
        <f>'Adjusted Consumption'!T52*1000*((ramps!U16-ramps!U12/parameters!$C$33)*ramps!U91)</f>
        <v>409.38048387608416</v>
      </c>
      <c r="U53" s="68">
        <f>'Adjusted Consumption'!U52*1000*((ramps!V16-ramps!V12/parameters!$C$33)*ramps!V91)</f>
        <v>428.437141503936</v>
      </c>
      <c r="V53" s="68">
        <f>'Adjusted Consumption'!V52*1000*((ramps!W16-ramps!W12/parameters!$C$33)*ramps!W91)</f>
        <v>442.69962621679736</v>
      </c>
      <c r="W53" s="68">
        <f>'Adjusted Consumption'!W52*1000*((ramps!X16-ramps!X12/parameters!$C$33)*ramps!X91)</f>
        <v>456.00197835542275</v>
      </c>
      <c r="X53" s="68">
        <f>'Adjusted Consumption'!X52*1000*((ramps!Y16-ramps!Y12/parameters!$C$33)*ramps!Y91)</f>
        <v>467.20442377411979</v>
      </c>
      <c r="Y53" s="68">
        <f>'Adjusted Consumption'!Y52*1000*((ramps!Z16-ramps!Z12/parameters!$C$33)*ramps!Z91)</f>
        <v>476.33451925450663</v>
      </c>
      <c r="Z53" s="68">
        <f>'Adjusted Consumption'!Z52*1000*((ramps!AA16-ramps!AA12/parameters!$C$33)*ramps!AA91)</f>
        <v>487.82587515354703</v>
      </c>
      <c r="AA53" s="68">
        <f>'Adjusted Consumption'!AA52*1000*((ramps!AB16-ramps!AB12/parameters!$C$33)*ramps!AB91)</f>
        <v>0</v>
      </c>
      <c r="AB53" s="68">
        <f>'Adjusted Consumption'!AB52*1000*((ramps!AC16-ramps!AC12/parameters!$C$33)*ramps!AC91)</f>
        <v>0</v>
      </c>
      <c r="AC53" s="68">
        <f>'Adjusted Consumption'!AC52*1000*((ramps!AD16-ramps!AD12/parameters!$C$33)*ramps!AD91)</f>
        <v>0</v>
      </c>
      <c r="AD53" s="68">
        <f>'Adjusted Consumption'!AD52*1000*((ramps!AE16-ramps!AE12/parameters!$C$33)*ramps!AE91)</f>
        <v>0</v>
      </c>
      <c r="AE53" s="68">
        <f>'Adjusted Consumption'!AE52*1000*((ramps!AF16-ramps!AF12/parameters!$C$33)*ramps!AF91)</f>
        <v>0</v>
      </c>
      <c r="AF53" s="68">
        <f>'Adjusted Consumption'!AF52*1000*((ramps!AG16-ramps!AG12/parameters!$C$33)*ramps!AG91)</f>
        <v>0</v>
      </c>
      <c r="AG53" s="68">
        <f>'Adjusted Consumption'!AG52*1000*((ramps!AH16-ramps!AH12/parameters!$C$33)*ramps!AH91)</f>
        <v>0</v>
      </c>
      <c r="AH53" s="68">
        <f>'Adjusted Consumption'!AH52*1000*((ramps!AI16-ramps!AI12/parameters!$C$33)*ramps!AI91)</f>
        <v>0</v>
      </c>
      <c r="AI53" s="68">
        <f>'Adjusted Consumption'!AI52*1000*((ramps!AJ16-ramps!AJ12/parameters!$C$33)*ramps!AJ91)</f>
        <v>0</v>
      </c>
      <c r="AJ53" s="68">
        <f>'Adjusted Consumption'!AJ52*1000*((ramps!AK16-ramps!AK12/parameters!$C$33)*ramps!AK91)</f>
        <v>0</v>
      </c>
      <c r="AK53" s="68">
        <f>'Adjusted Consumption'!AK52*1000*((ramps!AL16-ramps!AL12/parameters!$C$33)*ramps!AL91)</f>
        <v>0</v>
      </c>
    </row>
    <row r="54" spans="1:37">
      <c r="A54" s="19" t="s">
        <v>39</v>
      </c>
      <c r="B54" s="68"/>
      <c r="C54" s="68"/>
      <c r="D54" s="68"/>
      <c r="E54" s="68"/>
      <c r="F54" s="68"/>
      <c r="G54" s="68"/>
      <c r="H54" s="68"/>
      <c r="I54" s="68"/>
      <c r="J54" s="68"/>
      <c r="K54" s="68">
        <f>'Adjusted Consumption'!K53*ramps!L21*1000</f>
        <v>0</v>
      </c>
      <c r="L54" s="68">
        <f>'Adjusted Consumption'!L53*ramps!M21*1000</f>
        <v>0</v>
      </c>
      <c r="M54" s="68">
        <f>'Adjusted Consumption'!M53*ramps!N21*1000</f>
        <v>0</v>
      </c>
      <c r="N54" s="68">
        <f>'Adjusted Consumption'!N53*ramps!O21*1000</f>
        <v>0</v>
      </c>
      <c r="O54" s="68">
        <f>'Adjusted Consumption'!O53*ramps!P21*1000</f>
        <v>0</v>
      </c>
      <c r="P54" s="68">
        <f>'Adjusted Consumption'!P53*ramps!Q21*1000</f>
        <v>0</v>
      </c>
      <c r="Q54" s="68">
        <f>'Adjusted Consumption'!Q53*ramps!R21*1000</f>
        <v>0</v>
      </c>
      <c r="R54" s="68">
        <f>'Adjusted Consumption'!R53*ramps!S21*1000</f>
        <v>0</v>
      </c>
      <c r="S54" s="68">
        <f>'Adjusted Consumption'!S53*ramps!T21*1000</f>
        <v>0</v>
      </c>
      <c r="T54" s="68">
        <f>'Adjusted Consumption'!T53*ramps!U21*1000</f>
        <v>0</v>
      </c>
      <c r="U54" s="68">
        <f>'Adjusted Consumption'!U53*ramps!V21*1000</f>
        <v>0</v>
      </c>
      <c r="V54" s="68">
        <f>'Adjusted Consumption'!V53*ramps!W21*1000</f>
        <v>0</v>
      </c>
      <c r="W54" s="68">
        <f>'Adjusted Consumption'!W53*ramps!X21*1000</f>
        <v>0</v>
      </c>
      <c r="X54" s="68">
        <f>'Adjusted Consumption'!X53*ramps!Y21*1000</f>
        <v>0</v>
      </c>
      <c r="Y54" s="68">
        <f>'Adjusted Consumption'!Y53*ramps!Z21*1000</f>
        <v>0</v>
      </c>
      <c r="Z54" s="68">
        <f>'Adjusted Consumption'!Z53*ramps!AA21*1000</f>
        <v>0</v>
      </c>
      <c r="AA54" s="68">
        <f>'Adjusted Consumption'!AA53*ramps!AB21*1000</f>
        <v>0</v>
      </c>
      <c r="AB54" s="68">
        <f>'Adjusted Consumption'!AB53*ramps!AC21*1000</f>
        <v>0</v>
      </c>
      <c r="AC54" s="68">
        <f>'Adjusted Consumption'!AC53*ramps!AD21*1000</f>
        <v>0</v>
      </c>
      <c r="AD54" s="68">
        <f>'Adjusted Consumption'!AD53*ramps!AE21*1000</f>
        <v>0</v>
      </c>
      <c r="AE54" s="68">
        <f>'Adjusted Consumption'!AE53*ramps!AF21*1000</f>
        <v>0</v>
      </c>
      <c r="AF54" s="68">
        <f>'Adjusted Consumption'!AF53*ramps!AG21*1000</f>
        <v>0</v>
      </c>
      <c r="AG54" s="68">
        <f>'Adjusted Consumption'!AG53*ramps!AH21*1000</f>
        <v>0</v>
      </c>
      <c r="AH54" s="68">
        <f>'Adjusted Consumption'!AH53*ramps!AI21*1000</f>
        <v>0</v>
      </c>
      <c r="AI54" s="68">
        <f>'Adjusted Consumption'!AI53*ramps!AJ21*1000</f>
        <v>0</v>
      </c>
      <c r="AJ54" s="68">
        <f>'Adjusted Consumption'!AJ53*ramps!AK21*1000</f>
        <v>0</v>
      </c>
      <c r="AK54" s="68">
        <f>'Adjusted Consumption'!AK53*ramps!AL21*1000</f>
        <v>0</v>
      </c>
    </row>
    <row r="55" spans="1:37">
      <c r="A55" s="19" t="s">
        <v>40</v>
      </c>
      <c r="B55" s="68"/>
      <c r="C55" s="68"/>
      <c r="D55" s="68"/>
      <c r="E55" s="68"/>
      <c r="F55" s="68"/>
      <c r="G55" s="68"/>
      <c r="H55" s="68"/>
      <c r="I55" s="68"/>
      <c r="J55" s="68"/>
      <c r="K55" s="68">
        <f>'Adjusted Consumption'!K54*1000*(ramps!L19-ramps!L13/parameters!$C$39)</f>
        <v>0</v>
      </c>
      <c r="L55" s="68">
        <f>'Adjusted Consumption'!L54*1000*(ramps!M19-ramps!M13/parameters!$C$39)</f>
        <v>0</v>
      </c>
      <c r="M55" s="68">
        <f>'Adjusted Consumption'!M54*1000*(ramps!N19-ramps!N13/parameters!$C$39)</f>
        <v>0</v>
      </c>
      <c r="N55" s="68">
        <f>'Adjusted Consumption'!N54*1000*(ramps!O19-ramps!O13/parameters!$C$39)</f>
        <v>0</v>
      </c>
      <c r="O55" s="68">
        <f>'Adjusted Consumption'!O54*1000*((ramps!P19-ramps!P13/parameters!$C$39)*ramps!P92)</f>
        <v>0</v>
      </c>
      <c r="P55" s="68">
        <f>'Adjusted Consumption'!P54*1000*((ramps!Q19-ramps!Q13/parameters!$C$39)*ramps!Q92)</f>
        <v>0</v>
      </c>
      <c r="Q55" s="68">
        <f>'Adjusted Consumption'!Q54*1000*((ramps!R19-ramps!R13/parameters!$C$39)*ramps!R92)</f>
        <v>133.02145858560598</v>
      </c>
      <c r="R55" s="68">
        <f>'Adjusted Consumption'!R54*1000*((ramps!S19-ramps!S13/parameters!$C$39)*ramps!S92)</f>
        <v>146.40510446459459</v>
      </c>
      <c r="S55" s="68">
        <f>'Adjusted Consumption'!S54*1000*((ramps!T19-ramps!T13/parameters!$C$39)*ramps!T92)</f>
        <v>162.38051152296822</v>
      </c>
      <c r="T55" s="68">
        <f>'Adjusted Consumption'!T54*1000*((ramps!U19-ramps!U13/parameters!$C$39)*ramps!U92)</f>
        <v>177.08527193242301</v>
      </c>
      <c r="U55" s="68">
        <f>'Adjusted Consumption'!U54*1000*((ramps!V19-ramps!V13/parameters!$C$39)*ramps!V92)</f>
        <v>190.67574393422666</v>
      </c>
      <c r="V55" s="68">
        <f>'Adjusted Consumption'!V54*1000*((ramps!W19-ramps!W13/parameters!$C$39)*ramps!W92)</f>
        <v>202.62997041008205</v>
      </c>
      <c r="W55" s="68">
        <f>'Adjusted Consumption'!W54*1000*((ramps!X19-ramps!X13/parameters!$C$39)*ramps!X92)</f>
        <v>213.62268251808868</v>
      </c>
      <c r="X55" s="68">
        <f>'Adjusted Consumption'!X54*1000*((ramps!Y19-ramps!Y13/parameters!$C$39)*ramps!Y92)</f>
        <v>223.03078539207041</v>
      </c>
      <c r="Y55" s="68">
        <f>'Adjusted Consumption'!Y54*1000*((ramps!Z19-ramps!Z13/parameters!$C$39)*ramps!Z92)</f>
        <v>230.98945524224203</v>
      </c>
      <c r="Z55" s="68">
        <f>'Adjusted Consumption'!Z54*1000*((ramps!AA19-ramps!AA13/parameters!$C$39)*ramps!AA92)</f>
        <v>239.95989918017315</v>
      </c>
      <c r="AA55" s="68">
        <f>'Adjusted Consumption'!AA54*1000*((ramps!AB19-ramps!AB13/parameters!$C$39)*ramps!AB92)</f>
        <v>0</v>
      </c>
      <c r="AB55" s="68">
        <f>'Adjusted Consumption'!AB54*1000*((ramps!AC19-ramps!AC13/parameters!$C$39)*ramps!AC92)</f>
        <v>0</v>
      </c>
      <c r="AC55" s="68">
        <f>'Adjusted Consumption'!AC54*1000*((ramps!AD19-ramps!AD13/parameters!$C$39)*ramps!AD92)</f>
        <v>0</v>
      </c>
      <c r="AD55" s="68">
        <f>'Adjusted Consumption'!AD54*1000*((ramps!AE19-ramps!AE13/parameters!$C$39)*ramps!AE92)</f>
        <v>0</v>
      </c>
      <c r="AE55" s="68">
        <f>'Adjusted Consumption'!AE54*1000*((ramps!AF19-ramps!AF13/parameters!$C$39)*ramps!AF92)</f>
        <v>0</v>
      </c>
      <c r="AF55" s="68">
        <f>'Adjusted Consumption'!AF54*1000*((ramps!AG19-ramps!AG13/parameters!$C$39)*ramps!AG92)</f>
        <v>0</v>
      </c>
      <c r="AG55" s="68">
        <f>'Adjusted Consumption'!AG54*1000*((ramps!AH19-ramps!AH13/parameters!$C$39)*ramps!AH92)</f>
        <v>0</v>
      </c>
      <c r="AH55" s="68">
        <f>'Adjusted Consumption'!AH54*1000*((ramps!AI19-ramps!AI13/parameters!$C$39)*ramps!AI92)</f>
        <v>0</v>
      </c>
      <c r="AI55" s="68">
        <f>'Adjusted Consumption'!AI54*1000*((ramps!AJ19-ramps!AJ13/parameters!$C$39)*ramps!AJ92)</f>
        <v>0</v>
      </c>
      <c r="AJ55" s="68">
        <f>'Adjusted Consumption'!AJ54*1000*((ramps!AK19-ramps!AK13/parameters!$C$39)*ramps!AK92)</f>
        <v>0</v>
      </c>
      <c r="AK55" s="68">
        <f>'Adjusted Consumption'!AK54*1000*((ramps!AL19-ramps!AL13/parameters!$C$39)*ramps!AL92)</f>
        <v>0</v>
      </c>
    </row>
    <row r="56" spans="1:37">
      <c r="A56" s="19" t="s">
        <v>31</v>
      </c>
      <c r="B56" s="68"/>
      <c r="C56" s="68"/>
      <c r="D56" s="68"/>
      <c r="E56" s="68"/>
      <c r="F56" s="68"/>
      <c r="G56" s="68"/>
      <c r="H56" s="68"/>
      <c r="I56" s="68"/>
      <c r="J56" s="68"/>
      <c r="K56" s="68">
        <f>'Adjusted Consumption'!K55*ramps!L24*1000</f>
        <v>0</v>
      </c>
      <c r="L56" s="68">
        <f>'Adjusted Consumption'!L55*ramps!M24*1000</f>
        <v>0</v>
      </c>
      <c r="M56" s="68">
        <f>'Adjusted Consumption'!M55*ramps!N24*1000</f>
        <v>0</v>
      </c>
      <c r="N56" s="68">
        <f>'Adjusted Consumption'!N55*ramps!O24*1000</f>
        <v>0</v>
      </c>
      <c r="O56" s="68">
        <f>'Adjusted Consumption'!O55*ramps!P24*1000</f>
        <v>0</v>
      </c>
      <c r="P56" s="68">
        <f>'Adjusted Consumption'!P55*ramps!Q24*1000</f>
        <v>0</v>
      </c>
      <c r="Q56" s="68">
        <f>'Adjusted Consumption'!Q55*ramps!R24*1000</f>
        <v>0</v>
      </c>
      <c r="R56" s="68">
        <f>'Adjusted Consumption'!R55*ramps!S24*1000</f>
        <v>0</v>
      </c>
      <c r="S56" s="68">
        <f>'Adjusted Consumption'!S55*ramps!T24*1000</f>
        <v>0</v>
      </c>
      <c r="T56" s="68">
        <f>'Adjusted Consumption'!T55*ramps!U24*1000</f>
        <v>0</v>
      </c>
      <c r="U56" s="68">
        <f>'Adjusted Consumption'!U55*ramps!V24*1000</f>
        <v>0</v>
      </c>
      <c r="V56" s="68">
        <f>'Adjusted Consumption'!V55*ramps!W24*1000</f>
        <v>0</v>
      </c>
      <c r="W56" s="68">
        <f>'Adjusted Consumption'!W55*ramps!X24*1000</f>
        <v>0</v>
      </c>
      <c r="X56" s="68">
        <f>'Adjusted Consumption'!X55*ramps!Y24*1000</f>
        <v>0</v>
      </c>
      <c r="Y56" s="68">
        <f>'Adjusted Consumption'!Y55*ramps!Z24*1000</f>
        <v>0</v>
      </c>
      <c r="Z56" s="68">
        <f>'Adjusted Consumption'!Z55*ramps!AA24*1000</f>
        <v>0</v>
      </c>
      <c r="AA56" s="68">
        <f>'Adjusted Consumption'!AA55*ramps!AB24*1000</f>
        <v>0</v>
      </c>
      <c r="AB56" s="68">
        <f>'Adjusted Consumption'!AB55*ramps!AC24*1000</f>
        <v>0</v>
      </c>
      <c r="AC56" s="68">
        <f>'Adjusted Consumption'!AC55*ramps!AD24*1000</f>
        <v>0</v>
      </c>
      <c r="AD56" s="68">
        <f>'Adjusted Consumption'!AD55*ramps!AE24*1000</f>
        <v>0</v>
      </c>
      <c r="AE56" s="68">
        <f>'Adjusted Consumption'!AE55*ramps!AF24*1000</f>
        <v>0</v>
      </c>
      <c r="AF56" s="68">
        <f>'Adjusted Consumption'!AF55*ramps!AG24*1000</f>
        <v>0</v>
      </c>
      <c r="AG56" s="68">
        <f>'Adjusted Consumption'!AG55*ramps!AH24*1000</f>
        <v>0</v>
      </c>
      <c r="AH56" s="68">
        <f>'Adjusted Consumption'!AH55*ramps!AI24*1000</f>
        <v>0</v>
      </c>
      <c r="AI56" s="68">
        <f>'Adjusted Consumption'!AI55*ramps!AJ24*1000</f>
        <v>0</v>
      </c>
      <c r="AJ56" s="68">
        <f>'Adjusted Consumption'!AJ55*ramps!AK24*1000</f>
        <v>0</v>
      </c>
      <c r="AK56" s="68">
        <f>'Adjusted Consumption'!AK55*ramps!AL24*1000</f>
        <v>0</v>
      </c>
    </row>
    <row r="57" spans="1:37">
      <c r="A57" s="19" t="s">
        <v>69</v>
      </c>
      <c r="B57" s="68"/>
      <c r="C57" s="68"/>
      <c r="D57" s="68"/>
      <c r="E57" s="68"/>
      <c r="F57" s="68"/>
      <c r="G57" s="68"/>
      <c r="H57" s="68"/>
      <c r="I57" s="68"/>
      <c r="J57" s="68"/>
      <c r="K57" s="68">
        <v>0</v>
      </c>
      <c r="L57" s="68">
        <v>0</v>
      </c>
      <c r="M57" s="68">
        <v>0</v>
      </c>
      <c r="N57" s="68">
        <v>0</v>
      </c>
      <c r="O57" s="68">
        <v>0</v>
      </c>
      <c r="P57" s="68">
        <v>0</v>
      </c>
      <c r="Q57" s="68">
        <v>0</v>
      </c>
      <c r="R57" s="68">
        <v>0</v>
      </c>
      <c r="S57" s="68">
        <v>0</v>
      </c>
      <c r="T57" s="68">
        <v>0</v>
      </c>
      <c r="U57" s="68">
        <v>0</v>
      </c>
      <c r="V57" s="68">
        <v>0</v>
      </c>
      <c r="W57" s="68">
        <v>0</v>
      </c>
      <c r="X57" s="68">
        <v>0</v>
      </c>
      <c r="Y57" s="68">
        <v>0</v>
      </c>
      <c r="Z57" s="68">
        <v>0</v>
      </c>
      <c r="AA57" s="68">
        <v>0</v>
      </c>
      <c r="AB57" s="68">
        <v>0</v>
      </c>
      <c r="AC57" s="68">
        <v>0</v>
      </c>
      <c r="AD57" s="68">
        <v>0</v>
      </c>
      <c r="AE57" s="68">
        <v>0</v>
      </c>
      <c r="AF57" s="68">
        <v>0</v>
      </c>
      <c r="AG57" s="68">
        <v>0</v>
      </c>
      <c r="AH57" s="68">
        <v>0</v>
      </c>
      <c r="AI57" s="68">
        <v>0</v>
      </c>
      <c r="AJ57" s="68">
        <v>0</v>
      </c>
      <c r="AK57" s="68">
        <v>0</v>
      </c>
    </row>
    <row r="58" spans="1:37">
      <c r="A58" s="19" t="s">
        <v>70</v>
      </c>
      <c r="B58" s="68"/>
      <c r="C58" s="68"/>
      <c r="D58" s="68"/>
      <c r="E58" s="68"/>
      <c r="F58" s="68"/>
      <c r="G58" s="68"/>
      <c r="H58" s="68"/>
      <c r="I58" s="68"/>
      <c r="J58" s="68"/>
      <c r="K58" s="68">
        <f>'Adjusted Consumption'!K57*ramps!L17*1000</f>
        <v>0</v>
      </c>
      <c r="L58" s="68">
        <f>'Adjusted Consumption'!L57*ramps!M17*1000</f>
        <v>0</v>
      </c>
      <c r="M58" s="68">
        <f>'Adjusted Consumption'!M57*ramps!N17*1000</f>
        <v>0</v>
      </c>
      <c r="N58" s="68">
        <f>'Adjusted Consumption'!N57*ramps!O17*1000</f>
        <v>0</v>
      </c>
      <c r="O58" s="68">
        <f>'Adjusted Consumption'!O57*ramps!P17*1000</f>
        <v>0</v>
      </c>
      <c r="P58" s="68">
        <f>'Adjusted Consumption'!P57*ramps!Q17*1000</f>
        <v>0</v>
      </c>
      <c r="Q58" s="68">
        <f>'Adjusted Consumption'!Q57*ramps!R17*1000</f>
        <v>6.9749228412232016</v>
      </c>
      <c r="R58" s="68">
        <f>'Adjusted Consumption'!R57*ramps!S17*1000</f>
        <v>7.8231465612858191</v>
      </c>
      <c r="S58" s="68">
        <f>'Adjusted Consumption'!S57*ramps!T17*1000</f>
        <v>8.7339001006629537</v>
      </c>
      <c r="T58" s="68">
        <f>'Adjusted Consumption'!T57*ramps!U17*1000</f>
        <v>9.6008316641626124</v>
      </c>
      <c r="U58" s="68">
        <f>'Adjusted Consumption'!U57*ramps!V17*1000</f>
        <v>10.447251768102586</v>
      </c>
      <c r="V58" s="68">
        <f>'Adjusted Consumption'!V57*ramps!W17*1000</f>
        <v>11.194700085765229</v>
      </c>
      <c r="W58" s="68">
        <f>'Adjusted Consumption'!W57*ramps!X17*1000</f>
        <v>11.766859973860315</v>
      </c>
      <c r="X58" s="68">
        <f>'Adjusted Consumption'!X57*ramps!Y17*1000</f>
        <v>12.379111844883216</v>
      </c>
      <c r="Y58" s="68">
        <f>'Adjusted Consumption'!Y57*ramps!Z17*1000</f>
        <v>12.915687427486573</v>
      </c>
      <c r="Z58" s="68">
        <f>'Adjusted Consumption'!Z57*ramps!AA17*1000</f>
        <v>13.500733092436143</v>
      </c>
      <c r="AA58" s="68">
        <f>'Adjusted Consumption'!AA57*ramps!AB17*1000</f>
        <v>0</v>
      </c>
      <c r="AB58" s="68">
        <f>'Adjusted Consumption'!AB57*ramps!AC17*1000</f>
        <v>0</v>
      </c>
      <c r="AC58" s="68">
        <f>'Adjusted Consumption'!AC57*ramps!AD17*1000</f>
        <v>0</v>
      </c>
      <c r="AD58" s="68">
        <f>'Adjusted Consumption'!AD57*ramps!AE17*1000</f>
        <v>0</v>
      </c>
      <c r="AE58" s="68">
        <f>'Adjusted Consumption'!AE57*ramps!AF17*1000</f>
        <v>0</v>
      </c>
      <c r="AF58" s="68">
        <f>'Adjusted Consumption'!AF57*ramps!AG17*1000</f>
        <v>0</v>
      </c>
      <c r="AG58" s="68">
        <f>'Adjusted Consumption'!AG57*ramps!AH17*1000</f>
        <v>0</v>
      </c>
      <c r="AH58" s="68">
        <f>'Adjusted Consumption'!AH57*ramps!AI17*1000</f>
        <v>0</v>
      </c>
      <c r="AI58" s="68">
        <f>'Adjusted Consumption'!AI57*ramps!AJ17*1000</f>
        <v>0</v>
      </c>
      <c r="AJ58" s="68">
        <f>'Adjusted Consumption'!AJ57*ramps!AK17*1000</f>
        <v>0</v>
      </c>
      <c r="AK58" s="68">
        <f>'Adjusted Consumption'!AK57*ramps!AL17*1000</f>
        <v>0</v>
      </c>
    </row>
    <row r="59" spans="1:37">
      <c r="A59" s="19" t="s">
        <v>71</v>
      </c>
      <c r="B59" s="68"/>
      <c r="C59" s="68"/>
      <c r="D59" s="68"/>
      <c r="E59" s="68"/>
      <c r="F59" s="68"/>
      <c r="G59" s="68"/>
      <c r="H59" s="68"/>
      <c r="I59" s="68"/>
      <c r="J59" s="68"/>
      <c r="K59" s="68">
        <f>'Adjusted Consumption'!K58*ramps!L17*1000</f>
        <v>0</v>
      </c>
      <c r="L59" s="68">
        <f>'Adjusted Consumption'!L58*ramps!M17*1000</f>
        <v>0</v>
      </c>
      <c r="M59" s="68">
        <f>'Adjusted Consumption'!M58*ramps!N17*1000</f>
        <v>0</v>
      </c>
      <c r="N59" s="68">
        <f>'Adjusted Consumption'!N58*ramps!O17*1000</f>
        <v>0</v>
      </c>
      <c r="O59" s="68">
        <f>'Adjusted Consumption'!O58*ramps!P17*1000</f>
        <v>0</v>
      </c>
      <c r="P59" s="68">
        <f>'Adjusted Consumption'!P58*ramps!Q17*1000</f>
        <v>0</v>
      </c>
      <c r="Q59" s="68">
        <f>'Adjusted Consumption'!Q58*ramps!R17*1000</f>
        <v>1.1794750821607269</v>
      </c>
      <c r="R59" s="68">
        <f>'Adjusted Consumption'!R58*ramps!S17*1000</f>
        <v>1.8113794353105643</v>
      </c>
      <c r="S59" s="68">
        <f>'Adjusted Consumption'!S58*ramps!T17*1000</f>
        <v>2.1839663477781923</v>
      </c>
      <c r="T59" s="68">
        <f>'Adjusted Consumption'!T58*ramps!U17*1000</f>
        <v>2.5205438821922668</v>
      </c>
      <c r="U59" s="68">
        <f>'Adjusted Consumption'!U58*ramps!V17*1000</f>
        <v>2.7635626248011098</v>
      </c>
      <c r="V59" s="68">
        <f>'Adjusted Consumption'!V58*ramps!W17*1000</f>
        <v>3.1029947051036424</v>
      </c>
      <c r="W59" s="68">
        <f>'Adjusted Consumption'!W58*ramps!X17*1000</f>
        <v>3.5357418583123872</v>
      </c>
      <c r="X59" s="68">
        <f>'Adjusted Consumption'!X58*ramps!Y17*1000</f>
        <v>3.9517885489919435</v>
      </c>
      <c r="Y59" s="68">
        <f>'Adjusted Consumption'!Y58*ramps!Z17*1000</f>
        <v>4.3861062935634143</v>
      </c>
      <c r="Z59" s="68">
        <f>'Adjusted Consumption'!Z58*ramps!AA17*1000</f>
        <v>4.8685899233665566</v>
      </c>
      <c r="AA59" s="68">
        <f>'Adjusted Consumption'!AA58*ramps!AB17*1000</f>
        <v>0</v>
      </c>
      <c r="AB59" s="68">
        <f>'Adjusted Consumption'!AB58*ramps!AC17*1000</f>
        <v>0</v>
      </c>
      <c r="AC59" s="68">
        <f>'Adjusted Consumption'!AC58*ramps!AD17*1000</f>
        <v>0</v>
      </c>
      <c r="AD59" s="68">
        <f>'Adjusted Consumption'!AD58*ramps!AE17*1000</f>
        <v>0</v>
      </c>
      <c r="AE59" s="68">
        <f>'Adjusted Consumption'!AE58*ramps!AF17*1000</f>
        <v>0</v>
      </c>
      <c r="AF59" s="68">
        <f>'Adjusted Consumption'!AF58*ramps!AG17*1000</f>
        <v>0</v>
      </c>
      <c r="AG59" s="68">
        <f>'Adjusted Consumption'!AG58*ramps!AH17*1000</f>
        <v>0</v>
      </c>
      <c r="AH59" s="68">
        <f>'Adjusted Consumption'!AH58*ramps!AI17*1000</f>
        <v>0</v>
      </c>
      <c r="AI59" s="68">
        <f>'Adjusted Consumption'!AI58*ramps!AJ17*1000</f>
        <v>0</v>
      </c>
      <c r="AJ59" s="68">
        <f>'Adjusted Consumption'!AJ58*ramps!AK17*1000</f>
        <v>0</v>
      </c>
      <c r="AK59" s="68">
        <f>'Adjusted Consumption'!AK58*ramps!AL17*1000</f>
        <v>0</v>
      </c>
    </row>
    <row r="60" spans="1:37">
      <c r="A60" s="19" t="s">
        <v>72</v>
      </c>
      <c r="B60" s="68"/>
      <c r="C60" s="68"/>
      <c r="D60" s="68"/>
      <c r="E60" s="68"/>
      <c r="F60" s="68"/>
      <c r="G60" s="68"/>
      <c r="H60" s="68"/>
      <c r="I60" s="68"/>
      <c r="J60" s="68"/>
      <c r="K60" s="68">
        <f>'Adjusted Consumption'!K59</f>
        <v>1.8519254759732349E-7</v>
      </c>
      <c r="L60" s="68">
        <f>'Adjusted Consumption'!L59</f>
        <v>8.5188571894768807E-6</v>
      </c>
      <c r="M60" s="68">
        <f>'Adjusted Consumption'!M59</f>
        <v>7.6812258118750917E-6</v>
      </c>
      <c r="N60" s="68">
        <f>'Adjusted Consumption'!N59</f>
        <v>1.1681789790085217E-5</v>
      </c>
      <c r="O60" s="68">
        <f>'Adjusted Consumption'!O59</f>
        <v>2.3390265893364494E-5</v>
      </c>
      <c r="P60" s="68">
        <f>'Adjusted Consumption'!P59</f>
        <v>4.0271768787402663E-5</v>
      </c>
      <c r="Q60" s="68">
        <f>'Adjusted Consumption'!Q59</f>
        <v>6.7563927536998274E-5</v>
      </c>
      <c r="R60" s="68">
        <f>'Adjusted Consumption'!R59</f>
        <v>1.0255306961137048E-4</v>
      </c>
      <c r="S60" s="68">
        <f>'Adjusted Consumption'!S59</f>
        <v>1.4116481658685756E-4</v>
      </c>
      <c r="T60" s="68">
        <f>'Adjusted Consumption'!T59</f>
        <v>1.7950551258727237E-4</v>
      </c>
      <c r="U60" s="68">
        <f>'Adjusted Consumption'!U59</f>
        <v>2.2030225940287916E-4</v>
      </c>
      <c r="V60" s="68">
        <f>'Adjusted Consumption'!V59</f>
        <v>2.6648087784777969E-4</v>
      </c>
      <c r="W60" s="68">
        <f>'Adjusted Consumption'!W59</f>
        <v>3.1016375665115223E-4</v>
      </c>
      <c r="X60" s="68">
        <f>'Adjusted Consumption'!X59</f>
        <v>3.4819834307924771E-4</v>
      </c>
      <c r="Y60" s="68">
        <f>'Adjusted Consumption'!Y59</f>
        <v>3.8058720010738167E-4</v>
      </c>
      <c r="Z60" s="68">
        <f>'Adjusted Consumption'!Z59</f>
        <v>4.11428260228219E-4</v>
      </c>
      <c r="AA60" s="68">
        <f>'Adjusted Consumption'!AA59</f>
        <v>4.4127654810609458E-4</v>
      </c>
      <c r="AB60" s="68">
        <f>'Adjusted Consumption'!AB59</f>
        <v>4.6912161724447642E-4</v>
      </c>
      <c r="AC60" s="68">
        <f>'Adjusted Consumption'!AC59</f>
        <v>4.9546893733998221E-4</v>
      </c>
      <c r="AD60" s="68">
        <f>'Adjusted Consumption'!AD59</f>
        <v>5.2060703441858482E-4</v>
      </c>
      <c r="AE60" s="68">
        <f>'Adjusted Consumption'!AE59</f>
        <v>5.44796251843379E-4</v>
      </c>
      <c r="AF60" s="68">
        <f>'Adjusted Consumption'!AF59</f>
        <v>5.6764274446841068E-4</v>
      </c>
      <c r="AG60" s="68">
        <f>'Adjusted Consumption'!AG59</f>
        <v>5.9001049482059137E-4</v>
      </c>
      <c r="AH60" s="68">
        <f>'Adjusted Consumption'!AH59</f>
        <v>6.1066574628897401E-4</v>
      </c>
      <c r="AI60" s="68">
        <f>'Adjusted Consumption'!AI59</f>
        <v>6.2997048540308859E-4</v>
      </c>
      <c r="AJ60" s="68">
        <f>'Adjusted Consumption'!AJ59</f>
        <v>6.4786557278247463E-4</v>
      </c>
      <c r="AK60" s="68">
        <f>'Adjusted Consumption'!AK59</f>
        <v>6.655663437938375E-4</v>
      </c>
    </row>
    <row r="61" spans="1:37">
      <c r="A61" s="19" t="s">
        <v>27</v>
      </c>
      <c r="B61" s="68"/>
      <c r="C61" s="68"/>
      <c r="D61" s="68"/>
      <c r="E61" s="68"/>
      <c r="F61" s="68"/>
      <c r="G61" s="68"/>
      <c r="H61" s="68"/>
      <c r="I61" s="68"/>
      <c r="J61" s="68"/>
      <c r="K61" s="68">
        <f>K83*'Adjusted Consumption'!K166</f>
        <v>0</v>
      </c>
      <c r="L61" s="68">
        <f>L83*'Adjusted Consumption'!L166</f>
        <v>0</v>
      </c>
      <c r="M61" s="68">
        <f>M83*'Adjusted Consumption'!M166</f>
        <v>0</v>
      </c>
      <c r="N61" s="68">
        <f>N83*'Adjusted Consumption'!N166</f>
        <v>0</v>
      </c>
      <c r="O61" s="68">
        <f>O83*'Adjusted Consumption'!O166</f>
        <v>0</v>
      </c>
      <c r="P61" s="68">
        <f>P83*'Adjusted Consumption'!P166</f>
        <v>0</v>
      </c>
      <c r="Q61" s="68">
        <f>Q83*'Adjusted Consumption'!Q166</f>
        <v>0.53959157777126965</v>
      </c>
      <c r="R61" s="68">
        <f>R83*'Adjusted Consumption'!R166</f>
        <v>0.75857139425553688</v>
      </c>
      <c r="S61" s="68">
        <f>S83*'Adjusted Consumption'!S166</f>
        <v>1.1085869580369871</v>
      </c>
      <c r="T61" s="68">
        <f>T83*'Adjusted Consumption'!T166</f>
        <v>1.4352731060440049</v>
      </c>
      <c r="U61" s="68">
        <f>U83*'Adjusted Consumption'!U166</f>
        <v>1.7423596695577142</v>
      </c>
      <c r="V61" s="68">
        <f>V83*'Adjusted Consumption'!V166</f>
        <v>2.0778403370025504</v>
      </c>
      <c r="W61" s="68">
        <f>W83*'Adjusted Consumption'!W166</f>
        <v>2.6011335008466503</v>
      </c>
      <c r="X61" s="68">
        <f>X83*'Adjusted Consumption'!X166</f>
        <v>2.9944617912525615</v>
      </c>
      <c r="Y61" s="68">
        <f>Y83*'Adjusted Consumption'!Y166</f>
        <v>3.3799472161633557</v>
      </c>
      <c r="Z61" s="68">
        <f>Z83*'Adjusted Consumption'!Z166</f>
        <v>3.7848504574777104</v>
      </c>
      <c r="AA61" s="68">
        <f>AA83*'Adjusted Consumption'!AA166</f>
        <v>0</v>
      </c>
      <c r="AB61" s="68">
        <f>AB83*'Adjusted Consumption'!AB166</f>
        <v>0</v>
      </c>
      <c r="AC61" s="68">
        <f>AC83*'Adjusted Consumption'!AC166</f>
        <v>0</v>
      </c>
      <c r="AD61" s="68">
        <f>AD83*'Adjusted Consumption'!AD166</f>
        <v>0</v>
      </c>
      <c r="AE61" s="68">
        <f>AE83*'Adjusted Consumption'!AE166</f>
        <v>0</v>
      </c>
      <c r="AF61" s="68">
        <f>AF83*'Adjusted Consumption'!AF166</f>
        <v>0</v>
      </c>
      <c r="AG61" s="68">
        <f>AG83*'Adjusted Consumption'!AG166</f>
        <v>0</v>
      </c>
      <c r="AH61" s="68">
        <f>AH83*'Adjusted Consumption'!AH166</f>
        <v>0</v>
      </c>
      <c r="AI61" s="68">
        <f>AI83*'Adjusted Consumption'!AI166</f>
        <v>0</v>
      </c>
      <c r="AJ61" s="68">
        <f>AJ83*'Adjusted Consumption'!AJ166</f>
        <v>0</v>
      </c>
      <c r="AK61" s="68">
        <f>AK83*'Adjusted Consumption'!AK166</f>
        <v>0</v>
      </c>
    </row>
    <row r="62" spans="1:37">
      <c r="A62" s="19" t="s">
        <v>28</v>
      </c>
      <c r="B62" s="68"/>
      <c r="C62" s="68"/>
      <c r="D62" s="68"/>
      <c r="E62" s="68"/>
      <c r="F62" s="68"/>
      <c r="G62" s="68"/>
      <c r="H62" s="68"/>
      <c r="I62" s="68"/>
      <c r="J62" s="68"/>
      <c r="K62" s="180">
        <f t="shared" ref="K62:AF62" si="3">SUM(K51:K61)</f>
        <v>1.8519254759732349E-7</v>
      </c>
      <c r="L62" s="180">
        <f t="shared" si="3"/>
        <v>8.5188571894768807E-6</v>
      </c>
      <c r="M62" s="180">
        <f>SUM(M51:M61)</f>
        <v>7.6812258118750917E-6</v>
      </c>
      <c r="N62" s="180">
        <f t="shared" si="3"/>
        <v>1.1681789790085217E-5</v>
      </c>
      <c r="O62" s="180">
        <f>SUM(O51:O61)</f>
        <v>2.3390265893364494E-5</v>
      </c>
      <c r="P62" s="180">
        <f>SUM(P51:P61)</f>
        <v>4.0271768787402663E-5</v>
      </c>
      <c r="Q62" s="180">
        <f t="shared" si="3"/>
        <v>465.51502498562775</v>
      </c>
      <c r="R62" s="180">
        <f t="shared" si="3"/>
        <v>514.20542556796113</v>
      </c>
      <c r="S62" s="180">
        <f t="shared" si="3"/>
        <v>560.92492005729741</v>
      </c>
      <c r="T62" s="180">
        <f t="shared" si="3"/>
        <v>601.00051500297172</v>
      </c>
      <c r="U62" s="180">
        <f t="shared" si="3"/>
        <v>635.37045340637246</v>
      </c>
      <c r="V62" s="180">
        <f t="shared" si="3"/>
        <v>663.4019048724025</v>
      </c>
      <c r="W62" s="180">
        <f t="shared" si="3"/>
        <v>689.40009238659695</v>
      </c>
      <c r="X62" s="180">
        <f t="shared" si="3"/>
        <v>711.70632993310346</v>
      </c>
      <c r="Y62" s="180">
        <f t="shared" si="3"/>
        <v>730.33205814921575</v>
      </c>
      <c r="Z62" s="180">
        <f t="shared" si="3"/>
        <v>752.4399216581794</v>
      </c>
      <c r="AA62" s="180">
        <f t="shared" si="3"/>
        <v>4.4127654810609458E-4</v>
      </c>
      <c r="AB62" s="180">
        <f t="shared" si="3"/>
        <v>4.6912161724447642E-4</v>
      </c>
      <c r="AC62" s="180">
        <f t="shared" si="3"/>
        <v>4.9546893733998221E-4</v>
      </c>
      <c r="AD62" s="180">
        <f t="shared" si="3"/>
        <v>5.2060703441858482E-4</v>
      </c>
      <c r="AE62" s="180">
        <f t="shared" si="3"/>
        <v>5.44796251843379E-4</v>
      </c>
      <c r="AF62" s="180">
        <f t="shared" si="3"/>
        <v>5.6764274446841068E-4</v>
      </c>
      <c r="AG62" s="180">
        <f>SUM(AG51:AG61)</f>
        <v>5.9001049482059137E-4</v>
      </c>
      <c r="AH62" s="180">
        <f>SUM(AH51:AH61)</f>
        <v>6.1066574628897401E-4</v>
      </c>
      <c r="AI62" s="180">
        <f>SUM(AI51:AI61)</f>
        <v>6.2997048540308859E-4</v>
      </c>
      <c r="AJ62" s="180">
        <f>SUM(AJ51:AJ61)</f>
        <v>6.4786557278247463E-4</v>
      </c>
      <c r="AK62" s="180">
        <f>SUM(AK51:AK61)</f>
        <v>6.655663437938375E-4</v>
      </c>
    </row>
    <row r="63" spans="1:37">
      <c r="B63" s="68"/>
      <c r="C63" s="68"/>
      <c r="D63" s="68"/>
      <c r="E63" s="68"/>
      <c r="F63" s="68"/>
      <c r="G63" s="68"/>
      <c r="H63" s="68"/>
      <c r="I63" s="68"/>
      <c r="J63" s="68"/>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row>
    <row r="64" spans="1:37">
      <c r="A64" s="19" t="s">
        <v>358</v>
      </c>
      <c r="B64" s="68"/>
      <c r="C64" s="68"/>
      <c r="D64" s="68"/>
      <c r="E64" s="68"/>
      <c r="F64" s="68"/>
      <c r="G64" s="68"/>
      <c r="H64" s="68"/>
      <c r="I64" s="68"/>
      <c r="J64" s="68"/>
      <c r="K64" s="68">
        <v>0</v>
      </c>
      <c r="L64" s="68">
        <f>'Adjusted Consumption'!L52*(ramps!M12*parameters!$C31)+'Adjusted Consumption'!L54*(ramps!M12*parameters!$C37)</f>
        <v>0</v>
      </c>
      <c r="M64" s="68">
        <f>'Adjusted Consumption'!M52*(ramps!N12*parameters!$C31)+'Adjusted Consumption'!M54*(ramps!N12*parameters!$C37)</f>
        <v>0</v>
      </c>
      <c r="N64" s="68">
        <f>'Adjusted Consumption'!N52*(ramps!O12*parameters!$C31)+'Adjusted Consumption'!N54*(ramps!O12*parameters!$C37)</f>
        <v>0</v>
      </c>
      <c r="O64" s="68">
        <f>'Adjusted Consumption'!O52*(ramps!P12*parameters!$C31)+'Adjusted Consumption'!O54*(ramps!P12*parameters!$C37)</f>
        <v>0</v>
      </c>
      <c r="P64" s="68">
        <f>'Adjusted Consumption'!P52*(ramps!Q12*parameters!$C31)+'Adjusted Consumption'!P54*(ramps!Q12*parameters!$C37)</f>
        <v>0</v>
      </c>
      <c r="Q64" s="68">
        <f>'Adjusted Consumption'!Q52*(ramps!R12*parameters!$C31)+'Adjusted Consumption'!Q54*(ramps!R12*parameters!$C37)</f>
        <v>0</v>
      </c>
      <c r="R64" s="68">
        <f>'Adjusted Consumption'!R52*(ramps!S12*parameters!$C31)+'Adjusted Consumption'!R54*(ramps!S12*parameters!$C37)</f>
        <v>0</v>
      </c>
      <c r="S64" s="68">
        <f>'Adjusted Consumption'!S52*(ramps!T12*parameters!$C31)+'Adjusted Consumption'!S54*(ramps!T12*parameters!$C37)</f>
        <v>0</v>
      </c>
      <c r="T64" s="68">
        <f>'Adjusted Consumption'!T52*(ramps!U12*parameters!$C31)+'Adjusted Consumption'!T54*(ramps!U12*parameters!$C37)</f>
        <v>0</v>
      </c>
      <c r="U64" s="68">
        <f>'Adjusted Consumption'!U52*(ramps!V12*parameters!$C31)+'Adjusted Consumption'!U54*(ramps!V12*parameters!$C37)</f>
        <v>0</v>
      </c>
      <c r="V64" s="68">
        <f>'Adjusted Consumption'!V52*(ramps!W12*parameters!$C31)+'Adjusted Consumption'!V54*(ramps!W12*parameters!$C37)</f>
        <v>0</v>
      </c>
      <c r="W64" s="68">
        <f>'Adjusted Consumption'!W52*(ramps!X12*parameters!$C31)+'Adjusted Consumption'!W54*(ramps!X12*parameters!$C37)</f>
        <v>0</v>
      </c>
      <c r="X64" s="68">
        <f>'Adjusted Consumption'!X52*(ramps!Y12*parameters!$C31)+'Adjusted Consumption'!X54*(ramps!Y12*parameters!$C37)</f>
        <v>0</v>
      </c>
      <c r="Y64" s="68">
        <f>'Adjusted Consumption'!Y52*(ramps!Z12*parameters!$C31)+'Adjusted Consumption'!Y54*(ramps!Z12*parameters!$C37)</f>
        <v>0</v>
      </c>
      <c r="Z64" s="68">
        <f>'Adjusted Consumption'!Z52*(ramps!AA12*parameters!$C31)+'Adjusted Consumption'!Z54*(ramps!AA12*parameters!$C37)</f>
        <v>0</v>
      </c>
      <c r="AA64" s="68">
        <f>'Adjusted Consumption'!AA52*(ramps!AB12*parameters!$C31)+'Adjusted Consumption'!AA54*(ramps!AB12*parameters!$C37)</f>
        <v>0</v>
      </c>
      <c r="AB64" s="68">
        <f>'Adjusted Consumption'!AB52*(ramps!AC12*parameters!$C31)+'Adjusted Consumption'!AB54*(ramps!AC12*parameters!$C37)</f>
        <v>0</v>
      </c>
      <c r="AC64" s="68">
        <f>'Adjusted Consumption'!AC52*(ramps!AD12*parameters!$C31)+'Adjusted Consumption'!AC54*(ramps!AD12*parameters!$C37)</f>
        <v>0</v>
      </c>
      <c r="AD64" s="68">
        <f>'Adjusted Consumption'!AD52*(ramps!AE12*parameters!$C31)+'Adjusted Consumption'!AD54*(ramps!AE12*parameters!$C37)</f>
        <v>0</v>
      </c>
      <c r="AE64" s="68">
        <f>'Adjusted Consumption'!AE52*(ramps!AF12*parameters!$C31)+'Adjusted Consumption'!AE54*(ramps!AF12*parameters!$C37)</f>
        <v>0</v>
      </c>
      <c r="AF64" s="68">
        <f>'Adjusted Consumption'!AF52*(ramps!AG12*parameters!$C31)+'Adjusted Consumption'!AF54*(ramps!AG12*parameters!$C37)</f>
        <v>0</v>
      </c>
      <c r="AG64" s="68">
        <f>'Adjusted Consumption'!AG52*(ramps!AH12*parameters!$C31)+'Adjusted Consumption'!AG54*(ramps!AH12*parameters!$C37)</f>
        <v>0</v>
      </c>
      <c r="AH64" s="68">
        <f>'Adjusted Consumption'!AH52*(ramps!AI12*parameters!$C31)+'Adjusted Consumption'!AH54*(ramps!AI12*parameters!$C37)</f>
        <v>0</v>
      </c>
      <c r="AI64" s="68">
        <f>'Adjusted Consumption'!AI52*(ramps!AJ12*parameters!$C31)+'Adjusted Consumption'!AI54*(ramps!AJ12*parameters!$C37)</f>
        <v>0</v>
      </c>
      <c r="AJ64" s="68">
        <f>'Adjusted Consumption'!AJ52*(ramps!AK12*parameters!$C31)+'Adjusted Consumption'!AJ54*(ramps!AK12*parameters!$C37)</f>
        <v>0</v>
      </c>
      <c r="AK64" s="68">
        <f>'Adjusted Consumption'!AK52*(ramps!AL12*parameters!$C31)+'Adjusted Consumption'!AK54*(ramps!AL12*parameters!$C37)</f>
        <v>0</v>
      </c>
    </row>
    <row r="65" spans="1:37">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row>
    <row r="66" spans="1:37">
      <c r="A66" s="19" t="s">
        <v>954</v>
      </c>
      <c r="B66" s="68"/>
      <c r="C66" s="68"/>
      <c r="D66" s="68"/>
      <c r="E66" s="68"/>
      <c r="F66" s="68"/>
      <c r="G66" s="68"/>
      <c r="H66" s="68"/>
      <c r="I66" s="68"/>
      <c r="J66" s="68"/>
      <c r="K66" s="115">
        <f>IF(parameters!$C$26="Yes",'Adjusted Consumption'!K81-'Baseline Emissions'!K107,'Adjusted Consumption'!K81)</f>
        <v>0.11518743246382381</v>
      </c>
      <c r="L66" s="115">
        <f>IF(parameters!$C$26="Yes",'Adjusted Consumption'!L81-'Baseline Emissions'!L107,'Adjusted Consumption'!L81)</f>
        <v>0.123461482687045</v>
      </c>
      <c r="M66" s="115">
        <f>IF(parameters!$C$26="Yes",'Adjusted Consumption'!M81-'Baseline Emissions'!M107,'Adjusted Consumption'!M81)</f>
        <v>0.10518100104259083</v>
      </c>
      <c r="N66" s="115">
        <f>IF(parameters!$C$26="Yes",'Adjusted Consumption'!N81-'Baseline Emissions'!N107,'Adjusted Consumption'!N81)</f>
        <v>8.5112472215531212E-2</v>
      </c>
      <c r="O66" s="115">
        <f>IF(parameters!$C$26="Yes",'Adjusted Consumption'!O81-'Baseline Emissions'!O107,'Adjusted Consumption'!O81)</f>
        <v>8.0390333793281615E-2</v>
      </c>
      <c r="P66" s="115">
        <f>IF(parameters!$C$26="Yes",'Adjusted Consumption'!P81-'Baseline Emissions'!P107,'Adjusted Consumption'!P81)</f>
        <v>7.4974739492178269E-2</v>
      </c>
      <c r="Q66" s="115">
        <f>IF(parameters!$C$26="Yes",'Adjusted Consumption'!Q81-'Baseline Emissions'!Q107,'Adjusted Consumption'!Q81)</f>
        <v>6.7405043868586076E-2</v>
      </c>
      <c r="R66" s="115">
        <f>IF(parameters!$C$26="Yes",'Adjusted Consumption'!R81-'Baseline Emissions'!R107,'Adjusted Consumption'!R81)</f>
        <v>6.1795707098602708E-2</v>
      </c>
      <c r="S66" s="115">
        <f>IF(parameters!$C$26="Yes",'Adjusted Consumption'!S81-'Baseline Emissions'!S107,'Adjusted Consumption'!S81)</f>
        <v>5.712496586013855E-2</v>
      </c>
      <c r="T66" s="115">
        <f>IF(parameters!$C$26="Yes",'Adjusted Consumption'!T81-'Baseline Emissions'!T107,'Adjusted Consumption'!T81)</f>
        <v>4.2017230888310712E-2</v>
      </c>
      <c r="U66" s="115">
        <f>IF(parameters!$C$26="Yes",'Adjusted Consumption'!U81-'Baseline Emissions'!U107,'Adjusted Consumption'!U81)</f>
        <v>3.7499858028205803E-2</v>
      </c>
      <c r="V66" s="115">
        <f>IF(parameters!$C$26="Yes",'Adjusted Consumption'!V81-'Baseline Emissions'!V107,'Adjusted Consumption'!V81)</f>
        <v>3.4023090079840702E-2</v>
      </c>
      <c r="W66" s="115">
        <f>IF(parameters!$C$26="Yes",'Adjusted Consumption'!W81-'Baseline Emissions'!W107,'Adjusted Consumption'!W81)</f>
        <v>3.2579460621857466E-2</v>
      </c>
      <c r="X66" s="115">
        <f>IF(parameters!$C$26="Yes",'Adjusted Consumption'!X81-'Baseline Emissions'!X107,'Adjusted Consumption'!X81)</f>
        <v>3.1246811601987973E-2</v>
      </c>
      <c r="Y66" s="115">
        <f>IF(parameters!$C$26="Yes",'Adjusted Consumption'!Y81-'Baseline Emissions'!Y107,'Adjusted Consumption'!Y81)</f>
        <v>3.0074282586476812E-2</v>
      </c>
      <c r="Z66" s="115">
        <f>IF(parameters!$C$26="Yes",'Adjusted Consumption'!Z81-'Baseline Emissions'!Z107,'Adjusted Consumption'!Z81)</f>
        <v>2.9159165598077637E-2</v>
      </c>
      <c r="AA66" s="115">
        <f>IF(parameters!$C$26="Yes",'Adjusted Consumption'!AA81-'Baseline Emissions'!AA107,'Adjusted Consumption'!AA81)</f>
        <v>4.106623606082644E-2</v>
      </c>
      <c r="AB66" s="115">
        <f>IF(parameters!$C$26="Yes",'Adjusted Consumption'!AB81-'Baseline Emissions'!AB107,'Adjusted Consumption'!AB81)</f>
        <v>4.167854237644094E-2</v>
      </c>
      <c r="AC66" s="115">
        <f>IF(parameters!$C$26="Yes",'Adjusted Consumption'!AC81-'Baseline Emissions'!AC107,'Adjusted Consumption'!AC81)</f>
        <v>4.2636107300693005E-2</v>
      </c>
      <c r="AD66" s="115">
        <f>IF(parameters!$C$26="Yes",'Adjusted Consumption'!AD81-'Baseline Emissions'!AD107,'Adjusted Consumption'!AD81)</f>
        <v>4.3640752831809244E-2</v>
      </c>
      <c r="AE66" s="115">
        <f>IF(parameters!$C$26="Yes",'Adjusted Consumption'!AE81-'Baseline Emissions'!AE107,'Adjusted Consumption'!AE81)</f>
        <v>4.4694304808104914E-2</v>
      </c>
      <c r="AF66" s="115">
        <f>IF(parameters!$C$26="Yes",'Adjusted Consumption'!AF81-'Baseline Emissions'!AF107,'Adjusted Consumption'!AF81)</f>
        <v>4.5808486614209908E-2</v>
      </c>
      <c r="AG66" s="115">
        <f>IF(parameters!$C$26="Yes",'Adjusted Consumption'!AG81-'Baseline Emissions'!AG107,'Adjusted Consumption'!AG81)</f>
        <v>4.6788663837393017E-2</v>
      </c>
      <c r="AH66" s="115">
        <f>IF(parameters!$C$26="Yes",'Adjusted Consumption'!AH81-'Baseline Emissions'!AH107,'Adjusted Consumption'!AH81)</f>
        <v>4.7820932475770149E-2</v>
      </c>
      <c r="AI66" s="115">
        <f>IF(parameters!$C$26="Yes",'Adjusted Consumption'!AI81-'Baseline Emissions'!AI107,'Adjusted Consumption'!AI81)</f>
        <v>4.8853915116891106E-2</v>
      </c>
      <c r="AJ66" s="115">
        <f>IF(parameters!$C$26="Yes",'Adjusted Consumption'!AJ81-'Baseline Emissions'!AJ107,'Adjusted Consumption'!AJ81)</f>
        <v>4.9887522428895749E-2</v>
      </c>
      <c r="AK66" s="115">
        <f>IF(parameters!$C$26="Yes",'Adjusted Consumption'!AK81-'Baseline Emissions'!AK107,'Adjusted Consumption'!AK81)</f>
        <v>5.0920949787959732E-2</v>
      </c>
    </row>
    <row r="67" spans="1:37">
      <c r="A67" s="19" t="s">
        <v>1409</v>
      </c>
      <c r="B67" s="68"/>
      <c r="C67" s="68"/>
      <c r="D67" s="68"/>
      <c r="E67" s="68"/>
      <c r="F67" s="68"/>
      <c r="G67" s="68"/>
      <c r="H67" s="68"/>
      <c r="I67" s="68"/>
      <c r="J67" s="68"/>
      <c r="K67" s="341">
        <f>IF(parameters!$G$26="Yes",K66-'Baseline Emissions'!K116,K66)</f>
        <v>9.28964657798238E-2</v>
      </c>
      <c r="L67" s="341">
        <f>IF(parameters!$G$26="Yes",L66-'Baseline Emissions'!L116,L66)</f>
        <v>0.101170516003045</v>
      </c>
      <c r="M67" s="341">
        <f>IF(parameters!$G$26="Yes",M66-'Baseline Emissions'!M116,M66)</f>
        <v>8.2890034358590825E-2</v>
      </c>
      <c r="N67" s="341">
        <f>IF(parameters!$G$26="Yes",N66-'Baseline Emissions'!N116,N66)</f>
        <v>6.2821505531531208E-2</v>
      </c>
      <c r="O67" s="341">
        <f>IF(parameters!$G$26="Yes",O66-'Baseline Emissions'!O116,O66)</f>
        <v>5.8099367109281611E-2</v>
      </c>
      <c r="P67" s="341">
        <f>IF(parameters!$G$26="Yes",P66-'Baseline Emissions'!P116,P66)</f>
        <v>5.2683772808178264E-2</v>
      </c>
      <c r="Q67" s="341">
        <f>IF(parameters!$G$26="Yes",Q66-'Baseline Emissions'!Q116,Q66)</f>
        <v>4.5114077184586071E-2</v>
      </c>
      <c r="R67" s="341">
        <f>IF(parameters!$G$26="Yes",R66-'Baseline Emissions'!R116,R66)</f>
        <v>3.950474041460271E-2</v>
      </c>
      <c r="S67" s="341">
        <f>IF(parameters!$G$26="Yes",S66-'Baseline Emissions'!S116,S66)</f>
        <v>4.5979482518138548E-2</v>
      </c>
      <c r="T67" s="341">
        <f>IF(parameters!$G$26="Yes",T66-'Baseline Emissions'!T116,T66)</f>
        <v>4.2017230888310712E-2</v>
      </c>
      <c r="U67" s="341">
        <f>IF(parameters!$G$26="Yes",U66-'Baseline Emissions'!U116,U66)</f>
        <v>3.7499858028205803E-2</v>
      </c>
      <c r="V67" s="341">
        <f>IF(parameters!$G$26="Yes",V66-'Baseline Emissions'!V116,V66)</f>
        <v>3.4023090079840702E-2</v>
      </c>
      <c r="W67" s="341">
        <f>IF(parameters!$G$26="Yes",W66-'Baseline Emissions'!W116,W66)</f>
        <v>3.2579460621857466E-2</v>
      </c>
      <c r="X67" s="341">
        <f>IF(parameters!$G$26="Yes",X66-'Baseline Emissions'!X116,X66)</f>
        <v>3.1246811601987973E-2</v>
      </c>
      <c r="Y67" s="341">
        <f>IF(parameters!$G$26="Yes",Y66-'Baseline Emissions'!Y116,Y66)</f>
        <v>3.0074282586476812E-2</v>
      </c>
      <c r="Z67" s="341">
        <f>IF(parameters!$G$26="Yes",Z66-'Baseline Emissions'!Z116,Z66)</f>
        <v>2.9159165598077637E-2</v>
      </c>
      <c r="AA67" s="341">
        <f>IF(parameters!$G$26="Yes",AA66-'Baseline Emissions'!AA116,AA66)</f>
        <v>4.106623606082644E-2</v>
      </c>
      <c r="AB67" s="341">
        <f>IF(parameters!$G$26="Yes",AB66-'Baseline Emissions'!AB116,AB66)</f>
        <v>4.167854237644094E-2</v>
      </c>
      <c r="AC67" s="341">
        <f>IF(parameters!$G$26="Yes",AC66-'Baseline Emissions'!AC116,AC66)</f>
        <v>4.2636107300693005E-2</v>
      </c>
      <c r="AD67" s="341">
        <f>IF(parameters!$G$26="Yes",AD66-'Baseline Emissions'!AD116,AD66)</f>
        <v>4.3640752831809244E-2</v>
      </c>
      <c r="AE67" s="341">
        <f>IF(parameters!$G$26="Yes",AE66-'Baseline Emissions'!AE116,AE66)</f>
        <v>4.4694304808104914E-2</v>
      </c>
      <c r="AF67" s="341">
        <f>IF(parameters!$G$26="Yes",AF66-'Baseline Emissions'!AF116,AF66)</f>
        <v>4.5808486614209908E-2</v>
      </c>
      <c r="AG67" s="341">
        <f>IF(parameters!$G$26="Yes",AG66-'Baseline Emissions'!AG116,AG66)</f>
        <v>4.6788663837393017E-2</v>
      </c>
      <c r="AH67" s="341">
        <f>IF(parameters!$G$26="Yes",AH66-'Baseline Emissions'!AH116,AH66)</f>
        <v>4.7820932475770149E-2</v>
      </c>
      <c r="AI67" s="341">
        <f>IF(parameters!$G$26="Yes",AI66-'Baseline Emissions'!AI116,AI66)</f>
        <v>4.8853915116891106E-2</v>
      </c>
      <c r="AJ67" s="341">
        <f>IF(parameters!$G$26="Yes",AJ66-'Baseline Emissions'!AJ116,AJ66)</f>
        <v>4.9887522428895749E-2</v>
      </c>
      <c r="AK67" s="341">
        <f>IF(parameters!$G$26="Yes",AK66-'Baseline Emissions'!AK116,AK66)</f>
        <v>5.0920949787959732E-2</v>
      </c>
    </row>
    <row r="68" spans="1:37">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row>
    <row r="69" spans="1:37">
      <c r="A69" s="275" t="s">
        <v>953</v>
      </c>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row>
    <row r="70" spans="1:37">
      <c r="A70" s="91" t="s">
        <v>372</v>
      </c>
      <c r="B70" s="68"/>
      <c r="C70" s="68"/>
      <c r="D70" s="68"/>
      <c r="E70" s="68"/>
      <c r="F70" s="68"/>
      <c r="G70" s="68"/>
      <c r="H70" s="68"/>
      <c r="I70" s="68"/>
      <c r="J70" s="68"/>
      <c r="K70" s="68">
        <f>K67*ramps!L18*1000</f>
        <v>0</v>
      </c>
      <c r="L70" s="68">
        <f>L67*ramps!M18*1000</f>
        <v>0</v>
      </c>
      <c r="M70" s="68">
        <f>M67*ramps!N18*1000</f>
        <v>0</v>
      </c>
      <c r="N70" s="68">
        <f>N67*ramps!O18*1000</f>
        <v>0</v>
      </c>
      <c r="O70" s="68">
        <f>O67*ramps!P18*1000</f>
        <v>0</v>
      </c>
      <c r="P70" s="68">
        <f>P67*ramps!Q18*1000</f>
        <v>0</v>
      </c>
      <c r="Q70" s="68">
        <f>Q67*ramps!R18*1000</f>
        <v>59.742200132739114</v>
      </c>
      <c r="R70" s="68">
        <f>R67*ramps!S18*1000</f>
        <v>59.066027273401929</v>
      </c>
      <c r="S70" s="68">
        <f>S67*ramps!T18*1000</f>
        <v>76.251816364548588</v>
      </c>
      <c r="T70" s="68">
        <f>T67*ramps!U18*1000</f>
        <v>76.167827610664062</v>
      </c>
      <c r="U70" s="68">
        <f>U67*ramps!V18*1000</f>
        <v>73.41053022624989</v>
      </c>
      <c r="V70" s="68">
        <f>V67*ramps!W18*1000</f>
        <v>71.185524095711756</v>
      </c>
      <c r="W70" s="68">
        <f>W67*ramps!X18*1000</f>
        <v>72.220525029892173</v>
      </c>
      <c r="X70" s="68">
        <f>X67*ramps!Y18*1000</f>
        <v>72.834881261729322</v>
      </c>
      <c r="Y70" s="68">
        <f>Y67*ramps!Z18*1000</f>
        <v>73.184726517210763</v>
      </c>
      <c r="Z70" s="68">
        <f>Z67*ramps!AA18*1000</f>
        <v>74.302468696486173</v>
      </c>
      <c r="AA70" s="68">
        <f>AA67*ramps!AB18*1000</f>
        <v>0</v>
      </c>
      <c r="AB70" s="68">
        <f>AB67*ramps!AC18*1000</f>
        <v>0</v>
      </c>
      <c r="AC70" s="68">
        <f>AC67*ramps!AD18*1000</f>
        <v>0</v>
      </c>
      <c r="AD70" s="68">
        <f>AD67*ramps!AE18*1000</f>
        <v>0</v>
      </c>
      <c r="AE70" s="68">
        <f>AE67*ramps!AF18*1000</f>
        <v>0</v>
      </c>
      <c r="AF70" s="68">
        <f>AF67*ramps!AG18*1000</f>
        <v>0</v>
      </c>
      <c r="AG70" s="68">
        <f>AG67*ramps!AH18*1000</f>
        <v>0</v>
      </c>
      <c r="AH70" s="68">
        <f>AH67*ramps!AI18*1000</f>
        <v>0</v>
      </c>
      <c r="AI70" s="68">
        <f>AI67*ramps!AJ18*1000</f>
        <v>0</v>
      </c>
      <c r="AJ70" s="68">
        <f>AJ67*ramps!AK18*1000</f>
        <v>0</v>
      </c>
      <c r="AK70" s="68">
        <f>AK67*ramps!AL18*1000</f>
        <v>0</v>
      </c>
    </row>
    <row r="71" spans="1:37">
      <c r="A71" s="91" t="s">
        <v>422</v>
      </c>
      <c r="B71" s="68"/>
      <c r="C71" s="68"/>
      <c r="D71" s="68"/>
      <c r="E71" s="68"/>
      <c r="F71" s="68"/>
      <c r="G71" s="68"/>
      <c r="H71" s="68"/>
      <c r="I71" s="68"/>
      <c r="J71" s="68"/>
      <c r="K71" s="68">
        <f>'Adjusted Consumption'!K82*ramps!L17*1000</f>
        <v>0</v>
      </c>
      <c r="L71" s="68">
        <f>'Adjusted Consumption'!L82*ramps!M17*1000</f>
        <v>0</v>
      </c>
      <c r="M71" s="68">
        <f>'Adjusted Consumption'!M82*ramps!N17*1000</f>
        <v>0</v>
      </c>
      <c r="N71" s="68">
        <f>'Adjusted Consumption'!N82*ramps!O17*1000</f>
        <v>0</v>
      </c>
      <c r="O71" s="68">
        <f>'Adjusted Consumption'!O82*ramps!P17*1000</f>
        <v>0</v>
      </c>
      <c r="P71" s="68">
        <f>'Adjusted Consumption'!P82*ramps!Q17*1000</f>
        <v>0</v>
      </c>
      <c r="Q71" s="68">
        <f>'Adjusted Consumption'!Q82*ramps!R17*1000</f>
        <v>53.339306377173756</v>
      </c>
      <c r="R71" s="68">
        <f>'Adjusted Consumption'!R82*ramps!S17*1000</f>
        <v>69.360013067268525</v>
      </c>
      <c r="S71" s="68">
        <f>'Adjusted Consumption'!S82*ramps!T17*1000</f>
        <v>78.992660849384762</v>
      </c>
      <c r="T71" s="68">
        <f>'Adjusted Consumption'!T82*ramps!U17*1000</f>
        <v>93.356544483959567</v>
      </c>
      <c r="U71" s="68">
        <f>'Adjusted Consumption'!U82*ramps!V17*1000</f>
        <v>103.00971883206834</v>
      </c>
      <c r="V71" s="68">
        <f>'Adjusted Consumption'!V82*ramps!W17*1000</f>
        <v>111.69388309194969</v>
      </c>
      <c r="W71" s="68">
        <f>'Adjusted Consumption'!W82*ramps!X17*1000</f>
        <v>129.13662768142015</v>
      </c>
      <c r="X71" s="68">
        <f>'Adjusted Consumption'!X82*ramps!Y17*1000</f>
        <v>134.14956806133821</v>
      </c>
      <c r="Y71" s="68">
        <f>'Adjusted Consumption'!Y82*ramps!Z17*1000</f>
        <v>138.45007441939373</v>
      </c>
      <c r="Z71" s="68">
        <f>'Adjusted Consumption'!Z82*ramps!AA17*1000</f>
        <v>143.94876175724104</v>
      </c>
      <c r="AA71" s="68">
        <f>'Adjusted Consumption'!AA82*ramps!AB17*1000</f>
        <v>0</v>
      </c>
      <c r="AB71" s="68">
        <f>'Adjusted Consumption'!AB82*ramps!AC17*1000</f>
        <v>0</v>
      </c>
      <c r="AC71" s="68">
        <f>'Adjusted Consumption'!AC82*ramps!AD17*1000</f>
        <v>0</v>
      </c>
      <c r="AD71" s="68">
        <f>'Adjusted Consumption'!AD82*ramps!AE17*1000</f>
        <v>0</v>
      </c>
      <c r="AE71" s="68">
        <f>'Adjusted Consumption'!AE82*ramps!AF17*1000</f>
        <v>0</v>
      </c>
      <c r="AF71" s="68">
        <f>'Adjusted Consumption'!AF82*ramps!AG17*1000</f>
        <v>0</v>
      </c>
      <c r="AG71" s="68">
        <f>'Adjusted Consumption'!AG82*ramps!AH17*1000</f>
        <v>0</v>
      </c>
      <c r="AH71" s="68">
        <f>'Adjusted Consumption'!AH82*ramps!AI17*1000</f>
        <v>0</v>
      </c>
      <c r="AI71" s="68">
        <f>'Adjusted Consumption'!AI82*ramps!AJ17*1000</f>
        <v>0</v>
      </c>
      <c r="AJ71" s="68">
        <f>'Adjusted Consumption'!AJ82*ramps!AK17*1000</f>
        <v>0</v>
      </c>
      <c r="AK71" s="68">
        <f>'Adjusted Consumption'!AK82*ramps!AL17*1000</f>
        <v>0</v>
      </c>
    </row>
    <row r="72" spans="1:37">
      <c r="A72" s="91" t="s">
        <v>423</v>
      </c>
      <c r="B72" s="68"/>
      <c r="C72" s="68"/>
      <c r="D72" s="68"/>
      <c r="E72" s="68"/>
      <c r="F72" s="68"/>
      <c r="G72" s="68"/>
      <c r="H72" s="68"/>
      <c r="I72" s="68"/>
      <c r="J72" s="68"/>
      <c r="K72" s="68">
        <f>'Adjusted Consumption'!K83*ramps!L24*1000</f>
        <v>0</v>
      </c>
      <c r="L72" s="68">
        <f>'Adjusted Consumption'!L83*ramps!M24*1000</f>
        <v>0</v>
      </c>
      <c r="M72" s="68">
        <f>'Adjusted Consumption'!M83*ramps!N24*1000</f>
        <v>0</v>
      </c>
      <c r="N72" s="68">
        <f>'Adjusted Consumption'!N83*ramps!O24*1000</f>
        <v>0</v>
      </c>
      <c r="O72" s="68">
        <f>'Adjusted Consumption'!O83*ramps!P24*1000</f>
        <v>0</v>
      </c>
      <c r="P72" s="68">
        <f>'Adjusted Consumption'!P83*ramps!Q24*1000</f>
        <v>0</v>
      </c>
      <c r="Q72" s="68">
        <f>'Adjusted Consumption'!Q83*ramps!R24*1000</f>
        <v>0</v>
      </c>
      <c r="R72" s="68">
        <f>'Adjusted Consumption'!R83*ramps!S24*1000</f>
        <v>0</v>
      </c>
      <c r="S72" s="68">
        <f>'Adjusted Consumption'!S83*ramps!T24*1000</f>
        <v>0</v>
      </c>
      <c r="T72" s="68">
        <f>'Adjusted Consumption'!T83*ramps!U24*1000</f>
        <v>0</v>
      </c>
      <c r="U72" s="68">
        <f>'Adjusted Consumption'!U83*ramps!V24*1000</f>
        <v>0</v>
      </c>
      <c r="V72" s="68">
        <f>'Adjusted Consumption'!V83*ramps!W24*1000</f>
        <v>0</v>
      </c>
      <c r="W72" s="68">
        <f>'Adjusted Consumption'!W83*ramps!X24*1000</f>
        <v>0</v>
      </c>
      <c r="X72" s="68">
        <f>'Adjusted Consumption'!X83*ramps!Y24*1000</f>
        <v>0</v>
      </c>
      <c r="Y72" s="68">
        <f>'Adjusted Consumption'!Y83*ramps!Z24*1000</f>
        <v>0</v>
      </c>
      <c r="Z72" s="68">
        <f>'Adjusted Consumption'!Z83*ramps!AA24*1000</f>
        <v>0</v>
      </c>
      <c r="AA72" s="68">
        <f>'Adjusted Consumption'!AA83*ramps!AB24*1000</f>
        <v>0</v>
      </c>
      <c r="AB72" s="68">
        <f>'Adjusted Consumption'!AB83*ramps!AC24*1000</f>
        <v>0</v>
      </c>
      <c r="AC72" s="68">
        <f>'Adjusted Consumption'!AC83*ramps!AD24*1000</f>
        <v>0</v>
      </c>
      <c r="AD72" s="68">
        <f>'Adjusted Consumption'!AD83*ramps!AE24*1000</f>
        <v>0</v>
      </c>
      <c r="AE72" s="68">
        <f>'Adjusted Consumption'!AE83*ramps!AF24*1000</f>
        <v>0</v>
      </c>
      <c r="AF72" s="68">
        <f>'Adjusted Consumption'!AF83*ramps!AG24*1000</f>
        <v>0</v>
      </c>
      <c r="AG72" s="68">
        <f>'Adjusted Consumption'!AG83*ramps!AH24*1000</f>
        <v>0</v>
      </c>
      <c r="AH72" s="68">
        <f>'Adjusted Consumption'!AH83*ramps!AI24*1000</f>
        <v>0</v>
      </c>
      <c r="AI72" s="68">
        <f>'Adjusted Consumption'!AI83*ramps!AJ24*1000</f>
        <v>0</v>
      </c>
      <c r="AJ72" s="68">
        <f>'Adjusted Consumption'!AJ83*ramps!AK24*1000</f>
        <v>0</v>
      </c>
      <c r="AK72" s="68">
        <f>'Adjusted Consumption'!AK83*ramps!AL24*1000</f>
        <v>0</v>
      </c>
    </row>
    <row r="73" spans="1:37">
      <c r="A73" s="91" t="s">
        <v>424</v>
      </c>
      <c r="B73" s="68"/>
      <c r="C73" s="68"/>
      <c r="D73" s="68"/>
      <c r="E73" s="68"/>
      <c r="F73" s="68"/>
      <c r="G73" s="68"/>
      <c r="H73" s="68"/>
      <c r="I73" s="68"/>
      <c r="J73" s="68"/>
      <c r="K73" s="68">
        <f>'Adjusted Consumption'!K84*ramps!L20*1000</f>
        <v>0</v>
      </c>
      <c r="L73" s="68">
        <f>'Adjusted Consumption'!L84*ramps!M20*1000</f>
        <v>0</v>
      </c>
      <c r="M73" s="68">
        <f>'Adjusted Consumption'!M84*ramps!N20*1000</f>
        <v>0</v>
      </c>
      <c r="N73" s="68">
        <f>'Adjusted Consumption'!N84*ramps!O20*1000</f>
        <v>0</v>
      </c>
      <c r="O73" s="68">
        <f>'Adjusted Consumption'!O84*ramps!P20*1000</f>
        <v>0</v>
      </c>
      <c r="P73" s="68">
        <f>'Adjusted Consumption'!P84*ramps!Q20*1000</f>
        <v>0</v>
      </c>
      <c r="Q73" s="68">
        <f>'Adjusted Consumption'!Q84*ramps!R20*1000</f>
        <v>0.40319422265718102</v>
      </c>
      <c r="R73" s="68">
        <f>'Adjusted Consumption'!R84*ramps!S20*1000</f>
        <v>0.40817119260660589</v>
      </c>
      <c r="S73" s="68">
        <f>'Adjusted Consumption'!S84*ramps!T20*1000</f>
        <v>0.40156013850633937</v>
      </c>
      <c r="T73" s="68">
        <f>'Adjusted Consumption'!T84*ramps!U20*1000</f>
        <v>0.38441045163164472</v>
      </c>
      <c r="U73" s="68">
        <f>'Adjusted Consumption'!U84*ramps!V20*1000</f>
        <v>0.35798617753358558</v>
      </c>
      <c r="V73" s="68">
        <f>'Adjusted Consumption'!V84*ramps!W20*1000</f>
        <v>0.32340940600347806</v>
      </c>
      <c r="W73" s="68">
        <f>'Adjusted Consumption'!W84*ramps!X20*1000</f>
        <v>0.28268133178986582</v>
      </c>
      <c r="X73" s="68">
        <f>'Adjusted Consumption'!X84*ramps!Y20*1000</f>
        <v>0.29211256447079575</v>
      </c>
      <c r="Y73" s="68">
        <f>'Adjusted Consumption'!Y84*ramps!Z20*1000</f>
        <v>0.30021795144483432</v>
      </c>
      <c r="Z73" s="68">
        <f>'Adjusted Consumption'!Z84*ramps!AA20*1000</f>
        <v>0.31092689044981853</v>
      </c>
      <c r="AA73" s="68">
        <f>'Adjusted Consumption'!AA84*ramps!AB20*1000</f>
        <v>0</v>
      </c>
      <c r="AB73" s="68">
        <f>'Adjusted Consumption'!AB84*ramps!AC20*1000</f>
        <v>0</v>
      </c>
      <c r="AC73" s="68">
        <f>'Adjusted Consumption'!AC84*ramps!AD20*1000</f>
        <v>0</v>
      </c>
      <c r="AD73" s="68">
        <f>'Adjusted Consumption'!AD84*ramps!AE20*1000</f>
        <v>0</v>
      </c>
      <c r="AE73" s="68">
        <f>'Adjusted Consumption'!AE84*ramps!AF20*1000</f>
        <v>0</v>
      </c>
      <c r="AF73" s="68">
        <f>'Adjusted Consumption'!AF84*ramps!AG20*1000</f>
        <v>0</v>
      </c>
      <c r="AG73" s="68">
        <f>'Adjusted Consumption'!AG84*ramps!AH20*1000</f>
        <v>0</v>
      </c>
      <c r="AH73" s="68">
        <f>'Adjusted Consumption'!AH84*ramps!AI20*1000</f>
        <v>0</v>
      </c>
      <c r="AI73" s="68">
        <f>'Adjusted Consumption'!AI84*ramps!AJ20*1000</f>
        <v>0</v>
      </c>
      <c r="AJ73" s="68">
        <f>'Adjusted Consumption'!AJ84*ramps!AK20*1000</f>
        <v>0</v>
      </c>
      <c r="AK73" s="68">
        <f>'Adjusted Consumption'!AK84*ramps!AL20*1000</f>
        <v>0</v>
      </c>
    </row>
    <row r="74" spans="1:37">
      <c r="A74" s="91" t="s">
        <v>425</v>
      </c>
      <c r="B74" s="68"/>
      <c r="C74" s="68"/>
      <c r="D74" s="68"/>
      <c r="E74" s="68"/>
      <c r="F74" s="68"/>
      <c r="G74" s="68"/>
      <c r="H74" s="68"/>
      <c r="I74" s="68"/>
      <c r="J74" s="68"/>
      <c r="K74" s="68">
        <v>0</v>
      </c>
      <c r="L74" s="68">
        <v>0</v>
      </c>
      <c r="M74" s="68">
        <v>0</v>
      </c>
      <c r="N74" s="68">
        <v>0</v>
      </c>
      <c r="O74" s="68">
        <v>0</v>
      </c>
      <c r="P74" s="68">
        <v>0</v>
      </c>
      <c r="Q74" s="68">
        <v>0</v>
      </c>
      <c r="R74" s="68">
        <v>0</v>
      </c>
      <c r="S74" s="68">
        <v>0</v>
      </c>
      <c r="T74" s="68">
        <v>0</v>
      </c>
      <c r="U74" s="68">
        <v>0</v>
      </c>
      <c r="V74" s="68">
        <v>0</v>
      </c>
      <c r="W74" s="68">
        <v>0</v>
      </c>
      <c r="X74" s="68">
        <v>0</v>
      </c>
      <c r="Y74" s="68">
        <v>0</v>
      </c>
      <c r="Z74" s="68">
        <v>0</v>
      </c>
      <c r="AA74" s="68">
        <v>0</v>
      </c>
      <c r="AB74" s="68">
        <v>0</v>
      </c>
      <c r="AC74" s="68">
        <v>0</v>
      </c>
      <c r="AD74" s="68">
        <v>0</v>
      </c>
      <c r="AE74" s="68">
        <v>0</v>
      </c>
      <c r="AF74" s="68">
        <v>0</v>
      </c>
      <c r="AG74" s="68">
        <v>0</v>
      </c>
      <c r="AH74" s="68">
        <v>0</v>
      </c>
      <c r="AI74" s="68">
        <v>0</v>
      </c>
      <c r="AJ74" s="68">
        <v>0</v>
      </c>
      <c r="AK74" s="68">
        <v>0</v>
      </c>
    </row>
    <row r="75" spans="1:37">
      <c r="A75" s="91" t="s">
        <v>249</v>
      </c>
      <c r="B75" s="68"/>
      <c r="C75" s="68"/>
      <c r="D75" s="68"/>
      <c r="E75" s="68"/>
      <c r="F75" s="68"/>
      <c r="G75" s="68"/>
      <c r="H75" s="68"/>
      <c r="I75" s="68"/>
      <c r="J75" s="68"/>
      <c r="K75" s="68">
        <v>0</v>
      </c>
      <c r="L75" s="68">
        <v>0</v>
      </c>
      <c r="M75" s="68">
        <v>0</v>
      </c>
      <c r="N75" s="68">
        <v>0</v>
      </c>
      <c r="O75" s="68">
        <v>0</v>
      </c>
      <c r="P75" s="68">
        <v>0</v>
      </c>
      <c r="Q75" s="68">
        <v>0</v>
      </c>
      <c r="R75" s="68">
        <v>0</v>
      </c>
      <c r="S75" s="68">
        <v>0</v>
      </c>
      <c r="T75" s="68">
        <v>0</v>
      </c>
      <c r="U75" s="68">
        <v>0</v>
      </c>
      <c r="V75" s="68">
        <v>0</v>
      </c>
      <c r="W75" s="68">
        <v>0</v>
      </c>
      <c r="X75" s="68">
        <v>0</v>
      </c>
      <c r="Y75" s="68">
        <v>0</v>
      </c>
      <c r="Z75" s="68">
        <v>0</v>
      </c>
      <c r="AA75" s="68">
        <v>0</v>
      </c>
      <c r="AB75" s="68">
        <v>0</v>
      </c>
      <c r="AC75" s="68">
        <v>0</v>
      </c>
      <c r="AD75" s="68">
        <v>0</v>
      </c>
      <c r="AE75" s="68">
        <v>0</v>
      </c>
      <c r="AF75" s="68">
        <v>0</v>
      </c>
      <c r="AG75" s="68">
        <v>0</v>
      </c>
      <c r="AH75" s="68">
        <v>0</v>
      </c>
      <c r="AI75" s="68">
        <v>0</v>
      </c>
      <c r="AJ75" s="68">
        <v>0</v>
      </c>
      <c r="AK75" s="68">
        <v>0</v>
      </c>
    </row>
    <row r="76" spans="1:37">
      <c r="A76" s="91" t="s">
        <v>426</v>
      </c>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row>
    <row r="77" spans="1:37">
      <c r="A77" s="91" t="s">
        <v>427</v>
      </c>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row>
    <row r="78" spans="1:37">
      <c r="A78" s="91" t="s">
        <v>428</v>
      </c>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row>
    <row r="79" spans="1:37">
      <c r="A79" s="91" t="s">
        <v>255</v>
      </c>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row>
    <row r="80" spans="1:37">
      <c r="A80" s="91" t="s">
        <v>374</v>
      </c>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row>
    <row r="81" spans="1:37">
      <c r="A81" s="91" t="s">
        <v>373</v>
      </c>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row>
    <row r="82" spans="1:37">
      <c r="A82" s="91" t="s">
        <v>375</v>
      </c>
      <c r="B82" s="68"/>
      <c r="C82" s="68"/>
      <c r="D82" s="68"/>
      <c r="E82" s="68"/>
      <c r="F82" s="68"/>
      <c r="G82" s="68"/>
      <c r="H82" s="68"/>
      <c r="I82" s="68"/>
      <c r="J82" s="68"/>
      <c r="K82" s="68">
        <v>0</v>
      </c>
      <c r="L82" s="68">
        <v>0</v>
      </c>
      <c r="M82" s="68">
        <v>0</v>
      </c>
      <c r="N82" s="68">
        <v>0</v>
      </c>
      <c r="O82" s="68">
        <v>0</v>
      </c>
      <c r="P82" s="68">
        <v>0</v>
      </c>
      <c r="Q82" s="68">
        <v>0</v>
      </c>
      <c r="R82" s="68">
        <v>0</v>
      </c>
      <c r="S82" s="68">
        <v>0</v>
      </c>
      <c r="T82" s="68">
        <v>0</v>
      </c>
      <c r="U82" s="68">
        <v>0</v>
      </c>
      <c r="V82" s="68">
        <v>0</v>
      </c>
      <c r="W82" s="68">
        <v>0</v>
      </c>
      <c r="X82" s="68">
        <v>0</v>
      </c>
      <c r="Y82" s="68">
        <v>0</v>
      </c>
      <c r="Z82" s="68">
        <v>0</v>
      </c>
      <c r="AA82" s="68">
        <v>0</v>
      </c>
      <c r="AB82" s="68">
        <v>0</v>
      </c>
      <c r="AC82" s="68">
        <v>0</v>
      </c>
      <c r="AD82" s="68">
        <v>0</v>
      </c>
      <c r="AE82" s="68">
        <v>0</v>
      </c>
      <c r="AF82" s="68">
        <v>0</v>
      </c>
      <c r="AG82" s="68">
        <v>0</v>
      </c>
      <c r="AH82" s="68">
        <v>0</v>
      </c>
      <c r="AI82" s="68">
        <v>0</v>
      </c>
      <c r="AJ82" s="68">
        <v>0</v>
      </c>
      <c r="AK82" s="68">
        <v>0</v>
      </c>
    </row>
    <row r="83" spans="1:37">
      <c r="A83" s="19" t="s">
        <v>42</v>
      </c>
      <c r="B83" s="68"/>
      <c r="C83" s="68"/>
      <c r="D83" s="68"/>
      <c r="E83" s="68"/>
      <c r="F83" s="68"/>
      <c r="G83" s="68"/>
      <c r="H83" s="68"/>
      <c r="I83" s="68"/>
      <c r="J83" s="68"/>
      <c r="K83" s="180">
        <f t="shared" ref="K83:AK83" si="4">SUM(K70:K82)</f>
        <v>0</v>
      </c>
      <c r="L83" s="180">
        <f t="shared" si="4"/>
        <v>0</v>
      </c>
      <c r="M83" s="180">
        <f t="shared" si="4"/>
        <v>0</v>
      </c>
      <c r="N83" s="180">
        <f t="shared" si="4"/>
        <v>0</v>
      </c>
      <c r="O83" s="180">
        <f t="shared" si="4"/>
        <v>0</v>
      </c>
      <c r="P83" s="180">
        <f t="shared" si="4"/>
        <v>0</v>
      </c>
      <c r="Q83" s="180">
        <f t="shared" si="4"/>
        <v>113.48470073257005</v>
      </c>
      <c r="R83" s="180">
        <f t="shared" si="4"/>
        <v>128.83421153327706</v>
      </c>
      <c r="S83" s="180">
        <f t="shared" si="4"/>
        <v>155.64603735243969</v>
      </c>
      <c r="T83" s="180">
        <f t="shared" si="4"/>
        <v>169.90878254625528</v>
      </c>
      <c r="U83" s="180">
        <f t="shared" si="4"/>
        <v>176.77823523585181</v>
      </c>
      <c r="V83" s="180">
        <f t="shared" si="4"/>
        <v>183.20281659366495</v>
      </c>
      <c r="W83" s="180">
        <f t="shared" si="4"/>
        <v>201.63983404310218</v>
      </c>
      <c r="X83" s="180">
        <f t="shared" si="4"/>
        <v>207.27656188753832</v>
      </c>
      <c r="Y83" s="180">
        <f t="shared" si="4"/>
        <v>211.93501888804934</v>
      </c>
      <c r="Z83" s="180">
        <f t="shared" si="4"/>
        <v>218.56215734417702</v>
      </c>
      <c r="AA83" s="180">
        <f t="shared" si="4"/>
        <v>0</v>
      </c>
      <c r="AB83" s="180">
        <f t="shared" si="4"/>
        <v>0</v>
      </c>
      <c r="AC83" s="180">
        <f t="shared" si="4"/>
        <v>0</v>
      </c>
      <c r="AD83" s="180">
        <f t="shared" si="4"/>
        <v>0</v>
      </c>
      <c r="AE83" s="180">
        <f t="shared" si="4"/>
        <v>0</v>
      </c>
      <c r="AF83" s="180">
        <f t="shared" si="4"/>
        <v>0</v>
      </c>
      <c r="AG83" s="180">
        <f t="shared" si="4"/>
        <v>0</v>
      </c>
      <c r="AH83" s="180">
        <f t="shared" si="4"/>
        <v>0</v>
      </c>
      <c r="AI83" s="180">
        <f t="shared" si="4"/>
        <v>0</v>
      </c>
      <c r="AJ83" s="180">
        <f t="shared" si="4"/>
        <v>0</v>
      </c>
      <c r="AK83" s="180">
        <f t="shared" si="4"/>
        <v>0</v>
      </c>
    </row>
    <row r="84" spans="1:37">
      <c r="A84" s="768" t="s">
        <v>1417</v>
      </c>
      <c r="B84" s="68"/>
      <c r="C84" s="68"/>
      <c r="D84" s="68"/>
      <c r="E84" s="68"/>
      <c r="F84" s="68"/>
      <c r="G84" s="68"/>
      <c r="H84" s="68"/>
      <c r="I84" s="68"/>
      <c r="J84" s="68"/>
      <c r="K84" s="769" t="s">
        <v>1419</v>
      </c>
      <c r="L84" s="181"/>
      <c r="M84" s="181"/>
      <c r="N84" s="181"/>
      <c r="O84" s="769">
        <f>O83*(1-'Adjusted Consumption'!O165*(1-0.18))</f>
        <v>0</v>
      </c>
      <c r="P84" s="769">
        <f>P83*(1-'Adjusted Consumption'!P165*(1-0.18))</f>
        <v>0</v>
      </c>
      <c r="Q84" s="769">
        <f>Q83*(1-'Adjusted Consumption'!Q165*(1-0.18))</f>
        <v>89.540065712393243</v>
      </c>
      <c r="R84" s="769">
        <f>R83*(1-'Adjusted Consumption'!R165*(1-0.18))</f>
        <v>101.26042471417078</v>
      </c>
      <c r="S84" s="769">
        <f>S83*(1-'Adjusted Consumption'!S165*(1-0.18))</f>
        <v>121.85036133022454</v>
      </c>
      <c r="T84" s="769">
        <f>T83*(1-'Adjusted Consumption'!T165*(1-0.18))</f>
        <v>132.45613880998482</v>
      </c>
      <c r="U84" s="769">
        <f>U83*(1-'Adjusted Consumption'!U165*(1-0.18))</f>
        <v>137.18925932702041</v>
      </c>
      <c r="V84" s="769">
        <f>V83*(1-'Adjusted Consumption'!V165*(1-0.18))</f>
        <v>141.51718551208313</v>
      </c>
      <c r="W84" s="769">
        <f>W83*(1-'Adjusted Consumption'!W165*(1-0.18))</f>
        <v>155.03994442292574</v>
      </c>
      <c r="X84" s="769">
        <f>X83*(1-'Adjusted Consumption'!X165*(1-0.18))</f>
        <v>158.66745961502201</v>
      </c>
      <c r="Y84" s="769">
        <f>Y83*(1-'Adjusted Consumption'!Y165*(1-0.18))</f>
        <v>161.61980990167854</v>
      </c>
      <c r="Z84" s="769">
        <f>Z83*(1-'Adjusted Consumption'!Z165*(1-0.18))</f>
        <v>166.17822425975146</v>
      </c>
      <c r="AA84" s="181"/>
      <c r="AB84" s="181"/>
      <c r="AC84" s="181"/>
      <c r="AD84" s="181"/>
      <c r="AE84" s="181"/>
      <c r="AF84" s="181"/>
      <c r="AG84" s="181"/>
      <c r="AH84" s="181"/>
      <c r="AI84" s="181"/>
      <c r="AJ84" s="181"/>
      <c r="AK84" s="181"/>
    </row>
    <row r="85" spans="1:37">
      <c r="A85" s="768" t="s">
        <v>1418</v>
      </c>
      <c r="B85" s="68"/>
      <c r="C85" s="68"/>
      <c r="D85" s="68"/>
      <c r="E85" s="68"/>
      <c r="F85" s="68"/>
      <c r="G85" s="68"/>
      <c r="H85" s="68"/>
      <c r="I85" s="68"/>
      <c r="J85" s="68"/>
      <c r="K85" s="769" t="s">
        <v>1419</v>
      </c>
      <c r="L85" s="181"/>
      <c r="M85" s="181"/>
      <c r="N85" s="181"/>
      <c r="O85" s="769">
        <f>O83-O84</f>
        <v>0</v>
      </c>
      <c r="P85" s="769">
        <f t="shared" ref="P85:Z85" si="5">P83-P84</f>
        <v>0</v>
      </c>
      <c r="Q85" s="769">
        <f t="shared" si="5"/>
        <v>23.944635020176804</v>
      </c>
      <c r="R85" s="769">
        <f t="shared" si="5"/>
        <v>27.573786819106274</v>
      </c>
      <c r="S85" s="769">
        <f t="shared" si="5"/>
        <v>33.795676022215147</v>
      </c>
      <c r="T85" s="769">
        <f t="shared" si="5"/>
        <v>37.45264373627046</v>
      </c>
      <c r="U85" s="769">
        <f t="shared" si="5"/>
        <v>39.588975908831401</v>
      </c>
      <c r="V85" s="769">
        <f t="shared" si="5"/>
        <v>41.685631081581818</v>
      </c>
      <c r="W85" s="769">
        <f t="shared" si="5"/>
        <v>46.599889620176441</v>
      </c>
      <c r="X85" s="769">
        <f t="shared" si="5"/>
        <v>48.60910227251631</v>
      </c>
      <c r="Y85" s="769">
        <f t="shared" si="5"/>
        <v>50.315208986370806</v>
      </c>
      <c r="Z85" s="769">
        <f t="shared" si="5"/>
        <v>52.383933084425564</v>
      </c>
      <c r="AA85" s="181"/>
      <c r="AB85" s="181"/>
      <c r="AC85" s="181"/>
      <c r="AD85" s="181"/>
      <c r="AE85" s="181"/>
      <c r="AF85" s="181"/>
      <c r="AG85" s="181"/>
      <c r="AH85" s="181"/>
      <c r="AI85" s="181"/>
      <c r="AJ85" s="181"/>
      <c r="AK85" s="181"/>
    </row>
    <row r="86" spans="1:37" ht="13.5" thickBot="1">
      <c r="B86" s="68"/>
      <c r="C86" s="68"/>
      <c r="D86" s="68"/>
      <c r="E86" s="68"/>
      <c r="F86" s="68"/>
      <c r="G86" s="68"/>
      <c r="H86" s="68"/>
      <c r="I86" s="68"/>
      <c r="J86" s="68"/>
      <c r="K86" s="68"/>
      <c r="L86" s="68"/>
      <c r="M86" s="68"/>
      <c r="N86" s="68"/>
      <c r="O86" s="68"/>
      <c r="P86" s="68"/>
      <c r="Q86" s="68"/>
      <c r="R86" s="68"/>
      <c r="S86" s="68"/>
      <c r="T86" s="68"/>
      <c r="U86" s="68"/>
      <c r="V86" s="68"/>
      <c r="W86" s="68"/>
      <c r="X86" s="68"/>
      <c r="Y86" s="68"/>
      <c r="Z86" s="771" t="s">
        <v>1422</v>
      </c>
      <c r="AA86" s="772"/>
      <c r="AB86" s="772"/>
      <c r="AC86" s="68"/>
      <c r="AD86" s="68"/>
      <c r="AE86" s="68"/>
      <c r="AF86" s="68"/>
      <c r="AG86" s="68"/>
      <c r="AH86" s="68"/>
      <c r="AI86" s="68"/>
      <c r="AJ86" s="68"/>
      <c r="AK86" s="68"/>
    </row>
    <row r="87" spans="1:37" s="52" customFormat="1" ht="14.25" thickTop="1" thickBot="1">
      <c r="A87" s="52" t="s">
        <v>1216</v>
      </c>
      <c r="B87" s="68"/>
      <c r="C87" s="68"/>
      <c r="D87" s="68"/>
      <c r="E87" s="68"/>
      <c r="F87" s="68"/>
      <c r="G87" s="68"/>
      <c r="H87" s="68"/>
      <c r="I87" s="68"/>
      <c r="J87" s="68"/>
      <c r="K87" s="182">
        <f t="shared" ref="K87:AK87" si="6">K15+K27+K48+K62</f>
        <v>1.8519254759732349E-7</v>
      </c>
      <c r="L87" s="182">
        <f t="shared" si="6"/>
        <v>8.5188571894768807E-6</v>
      </c>
      <c r="M87" s="182">
        <f t="shared" si="6"/>
        <v>7.6812258118750917E-6</v>
      </c>
      <c r="N87" s="182">
        <f t="shared" si="6"/>
        <v>1.1681789790085217E-5</v>
      </c>
      <c r="O87" s="582">
        <f t="shared" si="6"/>
        <v>2.3390265893364494E-5</v>
      </c>
      <c r="P87" s="582">
        <f t="shared" si="6"/>
        <v>4.0271768787402663E-5</v>
      </c>
      <c r="Q87" s="770">
        <f t="shared" si="6"/>
        <v>800.60355987172306</v>
      </c>
      <c r="R87" s="770">
        <f t="shared" si="6"/>
        <v>892.98576078702808</v>
      </c>
      <c r="S87" s="770">
        <f t="shared" si="6"/>
        <v>993.32678996123229</v>
      </c>
      <c r="T87" s="770">
        <f t="shared" si="6"/>
        <v>1073.1201828839721</v>
      </c>
      <c r="U87" s="770">
        <f t="shared" si="6"/>
        <v>1137.2045498211432</v>
      </c>
      <c r="V87" s="770">
        <f t="shared" si="6"/>
        <v>1192.4784733743882</v>
      </c>
      <c r="W87" s="770">
        <f t="shared" si="6"/>
        <v>1255.9686561301983</v>
      </c>
      <c r="X87" s="770">
        <f t="shared" si="6"/>
        <v>1301.7197770124835</v>
      </c>
      <c r="Y87" s="770">
        <f t="shared" si="6"/>
        <v>1340.8968026355137</v>
      </c>
      <c r="Z87" s="770">
        <f t="shared" si="6"/>
        <v>1386.7715295098044</v>
      </c>
      <c r="AA87" s="582">
        <f t="shared" si="6"/>
        <v>4.4127654810609458E-4</v>
      </c>
      <c r="AB87" s="582">
        <f t="shared" si="6"/>
        <v>4.6912161724447642E-4</v>
      </c>
      <c r="AC87" s="582">
        <f t="shared" si="6"/>
        <v>4.9546893733998221E-4</v>
      </c>
      <c r="AD87" s="582">
        <f t="shared" si="6"/>
        <v>5.2060703441858482E-4</v>
      </c>
      <c r="AE87" s="582">
        <f t="shared" si="6"/>
        <v>5.44796251843379E-4</v>
      </c>
      <c r="AF87" s="582">
        <f t="shared" si="6"/>
        <v>5.6764274446841068E-4</v>
      </c>
      <c r="AG87" s="582">
        <f t="shared" si="6"/>
        <v>5.9001049482059137E-4</v>
      </c>
      <c r="AH87" s="582">
        <f t="shared" si="6"/>
        <v>6.1066574628897401E-4</v>
      </c>
      <c r="AI87" s="582">
        <f t="shared" si="6"/>
        <v>6.2997048540308859E-4</v>
      </c>
      <c r="AJ87" s="582">
        <f t="shared" si="6"/>
        <v>6.4786557278247463E-4</v>
      </c>
      <c r="AK87" s="582">
        <f t="shared" si="6"/>
        <v>6.655663437938375E-4</v>
      </c>
    </row>
    <row r="88" spans="1:37" ht="13.5" thickTop="1">
      <c r="A88" s="768" t="s">
        <v>1420</v>
      </c>
      <c r="H88" s="769" t="s">
        <v>1419</v>
      </c>
      <c r="L88" s="768" t="s">
        <v>1421</v>
      </c>
      <c r="Q88" s="768">
        <f>Q87-Q85</f>
        <v>776.65892485154632</v>
      </c>
      <c r="R88" s="768">
        <f t="shared" ref="R88:Z88" si="7">R87-R85</f>
        <v>865.41197396792177</v>
      </c>
      <c r="S88" s="768">
        <f t="shared" si="7"/>
        <v>959.53111393901713</v>
      </c>
      <c r="T88" s="768">
        <f t="shared" si="7"/>
        <v>1035.6675391477017</v>
      </c>
      <c r="U88" s="768">
        <f t="shared" si="7"/>
        <v>1097.6155739123119</v>
      </c>
      <c r="V88" s="768">
        <f t="shared" si="7"/>
        <v>1150.7928422928064</v>
      </c>
      <c r="W88" s="768">
        <f t="shared" si="7"/>
        <v>1209.3687665100219</v>
      </c>
      <c r="X88" s="768">
        <f t="shared" si="7"/>
        <v>1253.1106747399672</v>
      </c>
      <c r="Y88" s="768">
        <f t="shared" si="7"/>
        <v>1290.5815936491429</v>
      </c>
      <c r="Z88" s="768">
        <f t="shared" si="7"/>
        <v>1334.3875964253789</v>
      </c>
    </row>
    <row r="90" spans="1:37">
      <c r="A90" s="638" t="s">
        <v>1341</v>
      </c>
      <c r="O90" s="653">
        <f>O7</f>
        <v>2018</v>
      </c>
      <c r="P90" s="653">
        <f t="shared" ref="P90:W90" si="8">P7</f>
        <v>2019</v>
      </c>
      <c r="Q90" s="653">
        <f t="shared" si="8"/>
        <v>2020</v>
      </c>
      <c r="R90" s="653">
        <f t="shared" si="8"/>
        <v>2021</v>
      </c>
      <c r="S90" s="653">
        <f t="shared" si="8"/>
        <v>2022</v>
      </c>
      <c r="T90" s="653">
        <f t="shared" si="8"/>
        <v>2023</v>
      </c>
      <c r="U90" s="653">
        <f t="shared" si="8"/>
        <v>2024</v>
      </c>
      <c r="V90" s="653">
        <f t="shared" si="8"/>
        <v>2025</v>
      </c>
      <c r="W90" s="653">
        <f t="shared" si="8"/>
        <v>2026</v>
      </c>
    </row>
    <row r="91" spans="1:37">
      <c r="A91" s="19" t="s">
        <v>1188</v>
      </c>
      <c r="O91" s="123">
        <f>parameters!$C22*parameters!$E22*parameters!$E26*8760/1000</f>
        <v>3442.4347199999997</v>
      </c>
      <c r="P91" s="123">
        <f>parameters!$C22*parameters!$E22*parameters!$E26*8760/1000</f>
        <v>3442.4347199999997</v>
      </c>
      <c r="Q91" s="123">
        <f>parameters!$C22*parameters!$E22*parameters!$E26*8760/1000</f>
        <v>3442.4347199999997</v>
      </c>
      <c r="R91" s="123">
        <f>Q91/2</f>
        <v>1721.2173599999999</v>
      </c>
      <c r="S91" s="123">
        <f>R91</f>
        <v>1721.2173599999999</v>
      </c>
      <c r="T91" s="123">
        <f>S91</f>
        <v>1721.2173599999999</v>
      </c>
      <c r="U91" s="123">
        <f>T91</f>
        <v>1721.2173599999999</v>
      </c>
      <c r="V91" s="123">
        <f>U91</f>
        <v>1721.2173599999999</v>
      </c>
      <c r="W91" s="123">
        <v>0</v>
      </c>
    </row>
    <row r="92" spans="1:37">
      <c r="A92" s="19" t="s">
        <v>1214</v>
      </c>
      <c r="O92" s="52">
        <f>O91*ramps!P11/1000</f>
        <v>0</v>
      </c>
      <c r="P92" s="52">
        <f>P91*ramps!Q11/1000</f>
        <v>0</v>
      </c>
      <c r="Q92" s="52">
        <f>Q91*ramps!R11/1000</f>
        <v>0</v>
      </c>
      <c r="R92" s="52">
        <f>R91*ramps!S11/1000</f>
        <v>0</v>
      </c>
      <c r="S92" s="52">
        <f>S91*ramps!T11/1000</f>
        <v>0</v>
      </c>
      <c r="T92" s="52">
        <f>T91*ramps!U11/1000</f>
        <v>0</v>
      </c>
      <c r="U92" s="52">
        <f>U91*ramps!V11/1000</f>
        <v>0</v>
      </c>
      <c r="V92" s="52">
        <f>V91*ramps!W11/1000</f>
        <v>0</v>
      </c>
      <c r="W92" s="52">
        <f>W91*ramps!X11/1000</f>
        <v>0</v>
      </c>
    </row>
    <row r="93" spans="1:37">
      <c r="A93" s="19" t="s">
        <v>1215</v>
      </c>
      <c r="I93" s="57"/>
      <c r="J93" s="57"/>
      <c r="K93" s="57"/>
      <c r="L93" s="57"/>
      <c r="O93" s="639">
        <f>O91*ramps!P10/1000</f>
        <v>0</v>
      </c>
      <c r="P93" s="639">
        <f>P91*ramps!Q10/1000</f>
        <v>0</v>
      </c>
      <c r="Q93" s="639">
        <f>Q91*ramps!R10/1000</f>
        <v>48.137648177299049</v>
      </c>
      <c r="R93" s="639">
        <f>R91*ramps!S10/1000</f>
        <v>27.175296290640446</v>
      </c>
      <c r="S93" s="639">
        <f>S91*ramps!T10/1000</f>
        <v>30.141985239949548</v>
      </c>
      <c r="T93" s="639">
        <f>T91*ramps!U10/1000</f>
        <v>32.948062467379899</v>
      </c>
      <c r="U93" s="639">
        <f>U91*ramps!V10/1000</f>
        <v>35.58069902290147</v>
      </c>
      <c r="V93" s="639">
        <f>V91*ramps!W10/1000</f>
        <v>38.028016222062014</v>
      </c>
      <c r="W93" s="52">
        <f>W91*ramps!X10/1000</f>
        <v>0</v>
      </c>
    </row>
    <row r="94" spans="1:37">
      <c r="I94" s="57"/>
      <c r="J94" s="57"/>
      <c r="K94" s="57"/>
      <c r="L94" s="57"/>
    </row>
    <row r="95" spans="1:37">
      <c r="I95" s="57"/>
      <c r="J95" s="57"/>
      <c r="K95" s="57"/>
      <c r="L95" s="57"/>
    </row>
    <row r="96" spans="1:37">
      <c r="A96" s="19" t="s">
        <v>1295</v>
      </c>
      <c r="I96" s="57"/>
      <c r="J96" s="57"/>
      <c r="K96" s="57"/>
      <c r="L96" s="57"/>
    </row>
    <row r="97" spans="1:37">
      <c r="A97" s="638" t="s">
        <v>1285</v>
      </c>
      <c r="I97" s="57"/>
      <c r="J97" s="57"/>
      <c r="K97" s="57"/>
      <c r="L97" s="57"/>
    </row>
    <row r="98" spans="1:37">
      <c r="A98" s="77" t="s">
        <v>1288</v>
      </c>
      <c r="I98" s="57"/>
      <c r="J98" s="57"/>
      <c r="K98" s="57"/>
      <c r="L98" s="57"/>
      <c r="P98" s="124">
        <f>'Baseline Emissions'!P126/1000</f>
        <v>7279.8052800000005</v>
      </c>
      <c r="Q98" s="124">
        <f>'Baseline Emissions'!Q126/1000</f>
        <v>7279.8052800000005</v>
      </c>
      <c r="R98" s="124">
        <f>'Baseline Emissions'!R126/1000</f>
        <v>3639.9026400000002</v>
      </c>
      <c r="S98" s="124">
        <f>'Baseline Emissions'!S126/1000</f>
        <v>3639.9026400000002</v>
      </c>
      <c r="T98" s="124">
        <f>'Baseline Emissions'!T126/1000</f>
        <v>3639.9026400000002</v>
      </c>
      <c r="U98" s="124">
        <f>'Baseline Emissions'!U126/1000</f>
        <v>3639.9026400000002</v>
      </c>
      <c r="V98" s="124">
        <f>'Baseline Emissions'!V126/1000</f>
        <v>3639.9026400000002</v>
      </c>
      <c r="W98" s="124">
        <v>0</v>
      </c>
    </row>
    <row r="99" spans="1:37">
      <c r="A99" s="77"/>
      <c r="I99" s="57"/>
      <c r="J99" s="57"/>
      <c r="K99" s="57"/>
      <c r="L99" s="57"/>
      <c r="P99" s="48"/>
      <c r="Q99" s="48"/>
      <c r="R99" s="48"/>
      <c r="S99" s="48"/>
      <c r="T99" s="48"/>
      <c r="U99" s="48"/>
      <c r="V99" s="48"/>
      <c r="W99" s="48"/>
    </row>
    <row r="100" spans="1:37">
      <c r="A100" s="77" t="s">
        <v>1286</v>
      </c>
      <c r="I100" s="57"/>
      <c r="J100" s="57"/>
      <c r="K100" s="57"/>
      <c r="L100" s="57"/>
      <c r="P100" s="48">
        <f>'Baseline Emissions'!P128</f>
        <v>7.2386743801679998</v>
      </c>
      <c r="Q100" s="48">
        <f>'Baseline Emissions'!Q128</f>
        <v>7.2386743801679998</v>
      </c>
      <c r="R100" s="48">
        <f>'Baseline Emissions'!R128</f>
        <v>3.6193371900839999</v>
      </c>
      <c r="S100" s="48">
        <f>'Baseline Emissions'!S128</f>
        <v>3.6193371900839999</v>
      </c>
      <c r="T100" s="48">
        <f>'Baseline Emissions'!T128</f>
        <v>3.6193371900839999</v>
      </c>
      <c r="U100" s="48">
        <f>'Baseline Emissions'!U128</f>
        <v>3.6193371900839999</v>
      </c>
      <c r="V100" s="48">
        <f>'Baseline Emissions'!V128</f>
        <v>3.6193371900839999</v>
      </c>
      <c r="W100" s="48">
        <v>0</v>
      </c>
    </row>
    <row r="101" spans="1:37">
      <c r="A101" s="77"/>
      <c r="I101" s="57"/>
      <c r="J101" s="57"/>
      <c r="K101" s="57"/>
      <c r="L101" s="57"/>
      <c r="P101" s="48"/>
      <c r="Q101" s="48"/>
      <c r="R101" s="48"/>
      <c r="S101" s="48"/>
      <c r="T101" s="48"/>
      <c r="U101" s="48"/>
      <c r="V101" s="48"/>
      <c r="W101" s="48"/>
    </row>
    <row r="102" spans="1:37">
      <c r="A102" s="77" t="s">
        <v>1287</v>
      </c>
      <c r="I102" s="57"/>
      <c r="J102" s="57"/>
      <c r="K102" s="57"/>
      <c r="L102" s="57"/>
      <c r="P102" s="637">
        <f>'Baseline Emissions'!P130</f>
        <v>0</v>
      </c>
      <c r="Q102" s="637">
        <f>'Baseline Emissions'!Q130</f>
        <v>101.22276496867178</v>
      </c>
      <c r="R102" s="637">
        <f>'Baseline Emissions'!R130</f>
        <v>57.143602430472086</v>
      </c>
      <c r="S102" s="637">
        <f>'Baseline Emissions'!S130</f>
        <v>63.381889293698734</v>
      </c>
      <c r="T102" s="637">
        <f>'Baseline Emissions'!T130</f>
        <v>69.282445436989363</v>
      </c>
      <c r="U102" s="637">
        <f>'Baseline Emissions'!U130</f>
        <v>74.81829443247814</v>
      </c>
      <c r="V102" s="637">
        <f>'Baseline Emissions'!V130</f>
        <v>79.964458049404456</v>
      </c>
      <c r="W102" s="48">
        <v>0</v>
      </c>
    </row>
    <row r="103" spans="1:37">
      <c r="I103" s="57"/>
      <c r="J103" s="57"/>
      <c r="K103" s="57"/>
      <c r="L103" s="57"/>
    </row>
    <row r="104" spans="1:37">
      <c r="A104" s="638" t="s">
        <v>1299</v>
      </c>
      <c r="I104" s="57"/>
      <c r="J104" s="57"/>
      <c r="K104" s="57"/>
      <c r="L104" s="57"/>
    </row>
    <row r="105" spans="1:37">
      <c r="A105" s="19" t="s">
        <v>1296</v>
      </c>
      <c r="I105" s="57"/>
      <c r="J105" s="57"/>
      <c r="K105" s="57"/>
      <c r="L105" s="57"/>
      <c r="P105" s="19">
        <f>'Adjusted Emissions'!P73*ramps!Q10</f>
        <v>0</v>
      </c>
      <c r="Q105" s="19">
        <f>'Adjusted Emissions'!Q73*ramps!R10</f>
        <v>58.820112361112692</v>
      </c>
      <c r="R105" s="19">
        <f>'Adjusted Emissions'!R73*ramps!S10</f>
        <v>67.102484804347782</v>
      </c>
      <c r="S105" s="19">
        <f>'Adjusted Emissions'!S73*ramps!T10</f>
        <v>75.202019753080918</v>
      </c>
      <c r="T105" s="19">
        <f>'Adjusted Emissions'!T73*ramps!U10</f>
        <v>83.049665152054317</v>
      </c>
      <c r="U105" s="19">
        <f>'Adjusted Emissions'!U73*ramps!V10</f>
        <v>90.600343710911986</v>
      </c>
      <c r="V105" s="19">
        <f>'Adjusted Emissions'!V73*ramps!W10</f>
        <v>97.800351014093749</v>
      </c>
      <c r="W105" s="19">
        <f>'Adjusted Emissions'!W73*ramps!X10</f>
        <v>104.63442677627977</v>
      </c>
      <c r="X105" s="19">
        <f>'Adjusted Emissions'!X73*ramps!Y10</f>
        <v>111.09228815145087</v>
      </c>
      <c r="Y105" s="19">
        <f>'Adjusted Emissions'!Y73*ramps!Z10</f>
        <v>117.07972823594244</v>
      </c>
      <c r="Z105" s="19">
        <f>'Adjusted Emissions'!Z73*ramps!AA10</f>
        <v>123.73852988799246</v>
      </c>
      <c r="AA105" s="19">
        <f>'Adjusted Emissions'!AA73*ramps!AB10</f>
        <v>0</v>
      </c>
      <c r="AB105" s="19">
        <f>'Adjusted Emissions'!AB73*ramps!AC10</f>
        <v>0</v>
      </c>
      <c r="AC105" s="19">
        <f>'Adjusted Emissions'!AC73*ramps!AD10</f>
        <v>0</v>
      </c>
      <c r="AD105" s="19">
        <f>'Adjusted Emissions'!AD73*ramps!AE10</f>
        <v>0</v>
      </c>
      <c r="AE105" s="19">
        <f>'Adjusted Emissions'!AE73*ramps!AF10</f>
        <v>0</v>
      </c>
      <c r="AF105" s="19">
        <f>'Adjusted Emissions'!AF73*ramps!AG10</f>
        <v>0</v>
      </c>
      <c r="AG105" s="19">
        <f>'Adjusted Emissions'!AG73*ramps!AH10</f>
        <v>0</v>
      </c>
      <c r="AH105" s="19">
        <f>'Adjusted Emissions'!AH73*ramps!AI10</f>
        <v>0</v>
      </c>
      <c r="AI105" s="19">
        <f>'Adjusted Emissions'!AI73*ramps!AJ10</f>
        <v>0</v>
      </c>
      <c r="AJ105" s="19">
        <f>'Adjusted Emissions'!AJ73*ramps!AK10</f>
        <v>0</v>
      </c>
      <c r="AK105" s="19">
        <f>'Adjusted Emissions'!AK73*ramps!AL10</f>
        <v>0</v>
      </c>
    </row>
    <row r="106" spans="1:37">
      <c r="A106" s="19" t="s">
        <v>1297</v>
      </c>
      <c r="N106" s="19" t="s">
        <v>1298</v>
      </c>
    </row>
    <row r="107" spans="1:37">
      <c r="A107" s="19" t="s">
        <v>1342</v>
      </c>
      <c r="N107" s="659">
        <f>elasticities!I34</f>
        <v>0.02</v>
      </c>
      <c r="P107" s="19">
        <f>(1-$N107)^(P7-parameters!$C9)*P105</f>
        <v>0</v>
      </c>
      <c r="Q107" s="19">
        <f>(1-$N107)^(Q7-parameters!$C9)*Q105</f>
        <v>58.820112361112692</v>
      </c>
      <c r="R107" s="19">
        <f>(1-$N107)^(R7-parameters!$C9)*R105</f>
        <v>65.760435108260822</v>
      </c>
      <c r="S107" s="19">
        <f>(1-$N107)^(S7-parameters!$C9)*S105</f>
        <v>72.224019770858902</v>
      </c>
      <c r="T107" s="19">
        <f>(1-$N107)^(T7-parameters!$C9)*T105</f>
        <v>78.165680443792297</v>
      </c>
      <c r="U107" s="19">
        <f>(1-$N107)^(U7-parameters!$C9)*U105</f>
        <v>83.566872324001451</v>
      </c>
      <c r="V107" s="19">
        <f>(1-$N107)^(V7-parameters!$C9)*V105</f>
        <v>88.40377121597929</v>
      </c>
      <c r="W107" s="19">
        <f>(1-$N107)^(W7-parameters!$C9)*W105</f>
        <v>92.689609735839525</v>
      </c>
      <c r="X107" s="19">
        <f>(1-$N107)^(X7-parameters!$C9)*X105</f>
        <v>96.442051891076545</v>
      </c>
      <c r="Y107" s="19">
        <f>(1-$N107)^(Y7-parameters!$C9)*Y105</f>
        <v>99.607103477064399</v>
      </c>
      <c r="Z107" s="19">
        <f>(1-$N107)^(Z7-parameters!$C9)*Z105</f>
        <v>103.16672238338835</v>
      </c>
      <c r="AA107" s="19">
        <f>(1-$N107)^(AA7-parameters!$C9)*AA105</f>
        <v>0</v>
      </c>
      <c r="AB107" s="19">
        <f>(1-$N107)^(AB7-parameters!$C9)*AB105</f>
        <v>0</v>
      </c>
      <c r="AC107" s="19">
        <f>(1-$N107)^(AC7-parameters!$C9)*AC105</f>
        <v>0</v>
      </c>
      <c r="AD107" s="19">
        <f>(1-$N107)^(AD7-parameters!$C9)*AD105</f>
        <v>0</v>
      </c>
      <c r="AE107" s="19">
        <f>(1-$N107)^(AE7-parameters!$C9)*AE105</f>
        <v>0</v>
      </c>
      <c r="AF107" s="19">
        <f>(1-$N107)^(AF7-parameters!$C9)*AF105</f>
        <v>0</v>
      </c>
      <c r="AG107" s="19">
        <f>(1-$N107)^(AG7-parameters!$C9)*AG105</f>
        <v>0</v>
      </c>
      <c r="AH107" s="19">
        <f>(1-$N107)^(AH7-parameters!$C9)*AH105</f>
        <v>0</v>
      </c>
      <c r="AI107" s="19">
        <f>(1-$N107)^(AI7-parameters!$C9)*AI105</f>
        <v>0</v>
      </c>
      <c r="AJ107" s="19">
        <f>(1-$N107)^(AJ7-parameters!$C9)*AJ105</f>
        <v>0</v>
      </c>
      <c r="AK107" s="19">
        <f>(1-$N107)^(AK7-parameters!$C9)*AK105</f>
        <v>0</v>
      </c>
    </row>
    <row r="108" spans="1:37">
      <c r="A108" s="19" t="s">
        <v>1343</v>
      </c>
      <c r="P108" s="50">
        <f>'Adjusted Emissions'!P73-(1-$N107)^(P7-parameters!$C9)*'Adjusted Emissions'!P73</f>
        <v>-8.492692143311853E-2</v>
      </c>
      <c r="Q108" s="50">
        <f>'Adjusted Emissions'!Q73-(1-$N107)^(Q7-parameters!$C9)*'Adjusted Emissions'!Q73</f>
        <v>0</v>
      </c>
      <c r="R108" s="50">
        <f>'Adjusted Emissions'!R73-(1-$N107)^(R7-parameters!$C9)*'Adjusted Emissions'!R73</f>
        <v>8.5002172936129661E-2</v>
      </c>
      <c r="S108" s="50">
        <f>'Adjusted Emissions'!S73-(1-$N107)^(S7-parameters!$C9)*'Adjusted Emissions'!S73</f>
        <v>0.17005466715863893</v>
      </c>
      <c r="T108" s="50">
        <f>'Adjusted Emissions'!T73-(1-$N107)^(T7-parameters!$C9)*'Adjusted Emissions'!T73</f>
        <v>0.25514092897443774</v>
      </c>
      <c r="U108" s="50">
        <f>'Adjusted Emissions'!U73-(1-$N107)^(U7-parameters!$C9)*'Adjusted Emissions'!U73</f>
        <v>0.34024438486780717</v>
      </c>
      <c r="V108" s="50">
        <f>'Adjusted Emissions'!V73-(1-$N107)^(V7-parameters!$C9)*'Adjusted Emissions'!V73</f>
        <v>0.42530633674645379</v>
      </c>
      <c r="W108" s="50">
        <f>'Adjusted Emissions'!W73-(1-$N107)^(W7-parameters!$C9)*'Adjusted Emissions'!W73</f>
        <v>0.51028491463105707</v>
      </c>
      <c r="X108" s="50">
        <f>'Adjusted Emissions'!X73-(1-$N107)^(X7-parameters!$C9)*'Adjusted Emissions'!X73</f>
        <v>0.59519722790518426</v>
      </c>
      <c r="Y108" s="50">
        <f>'Adjusted Emissions'!Y73-(1-$N107)^(Y7-parameters!$C9)*'Adjusted Emissions'!Y73</f>
        <v>0.67995935151724174</v>
      </c>
      <c r="Z108" s="50">
        <f>'Adjusted Emissions'!Z73-(1-$N107)^(Z7-parameters!$C9)*'Adjusted Emissions'!Z73</f>
        <v>0.76452955646738818</v>
      </c>
      <c r="AA108" s="50">
        <f>'Adjusted Emissions'!AA73-(1-$N107)^(AA7-parameters!$C9)*'Adjusted Emissions'!AA73</f>
        <v>0.84895035090046056</v>
      </c>
      <c r="AB108" s="50">
        <f>'Adjusted Emissions'!AB73-(1-$N107)^(AB7-parameters!$C9)*'Adjusted Emissions'!AB73</f>
        <v>0.93302035956933871</v>
      </c>
      <c r="AC108" s="50">
        <f>'Adjusted Emissions'!AC73-(1-$N107)^(AC7-parameters!$C9)*'Adjusted Emissions'!AC73</f>
        <v>1.0167740615852927</v>
      </c>
      <c r="AD108" s="50">
        <f>'Adjusted Emissions'!AD73-(1-$N107)^(AD7-parameters!$C9)*'Adjusted Emissions'!AD73</f>
        <v>1.1001703889180292</v>
      </c>
      <c r="AE108" s="50">
        <f>'Adjusted Emissions'!AE73-(1-$N107)^(AE7-parameters!$C9)*'Adjusted Emissions'!AE73</f>
        <v>1.1831685229838054</v>
      </c>
      <c r="AF108" s="50">
        <f>'Adjusted Emissions'!AF73-(1-$N107)^(AF7-parameters!$C9)*'Adjusted Emissions'!AF73</f>
        <v>1.2657279274830477</v>
      </c>
      <c r="AG108" s="50">
        <f>'Adjusted Emissions'!AG73-(1-$N107)^(AG7-parameters!$C9)*'Adjusted Emissions'!AG73</f>
        <v>1.3478083809588992</v>
      </c>
      <c r="AH108" s="50">
        <f>'Adjusted Emissions'!AH73-(1-$N107)^(AH7-parameters!$C9)*'Adjusted Emissions'!AH73</f>
        <v>1.4293700090407402</v>
      </c>
      <c r="AI108" s="50">
        <f>'Adjusted Emissions'!AI73-(1-$N107)^(AI7-parameters!$C9)*'Adjusted Emissions'!AI73</f>
        <v>1.5105232293213668</v>
      </c>
      <c r="AJ108" s="50">
        <f>'Adjusted Emissions'!AJ73-(1-$N107)^(AJ7-parameters!$C9)*'Adjusted Emissions'!AJ73</f>
        <v>1.5912529931493133</v>
      </c>
      <c r="AK108" s="50">
        <f>'Adjusted Emissions'!AK73-(1-$N107)^(AK7-parameters!$C9)*'Adjusted Emissions'!AK73</f>
        <v>1.6713784564217349</v>
      </c>
    </row>
    <row r="111" spans="1:37">
      <c r="K111" s="773" t="s">
        <v>1423</v>
      </c>
    </row>
    <row r="112" spans="1:37">
      <c r="K112" s="767"/>
      <c r="L112" s="767" t="s">
        <v>1424</v>
      </c>
    </row>
    <row r="113" spans="12:26">
      <c r="L113" s="767" t="s">
        <v>1425</v>
      </c>
    </row>
    <row r="114" spans="12:26">
      <c r="L114" s="767"/>
      <c r="M114" s="767" t="s">
        <v>1426</v>
      </c>
    </row>
    <row r="115" spans="12:26">
      <c r="L115" s="767"/>
      <c r="M115" s="767" t="s">
        <v>1427</v>
      </c>
    </row>
    <row r="116" spans="12:26">
      <c r="L116" s="767"/>
      <c r="M116" s="767" t="s">
        <v>1428</v>
      </c>
    </row>
    <row r="117" spans="12:26">
      <c r="L117" s="767"/>
      <c r="M117" s="767"/>
      <c r="N117" s="425" t="s">
        <v>1429</v>
      </c>
    </row>
    <row r="118" spans="12:26">
      <c r="L118" s="767"/>
      <c r="O118" s="774">
        <v>2018</v>
      </c>
      <c r="P118" s="774">
        <v>2019</v>
      </c>
      <c r="Q118" s="774">
        <v>2020</v>
      </c>
      <c r="R118" s="774">
        <v>2021</v>
      </c>
      <c r="S118" s="774">
        <v>2022</v>
      </c>
      <c r="T118" s="774">
        <v>2023</v>
      </c>
      <c r="U118" s="774">
        <v>2024</v>
      </c>
      <c r="V118" s="774">
        <v>2025</v>
      </c>
      <c r="W118" s="774">
        <v>2026</v>
      </c>
      <c r="X118" s="774">
        <v>2027</v>
      </c>
      <c r="Y118" s="774">
        <v>2028</v>
      </c>
      <c r="Z118" s="774">
        <v>2029</v>
      </c>
    </row>
    <row r="119" spans="12:26">
      <c r="L119" s="767"/>
      <c r="M119" s="19" t="s">
        <v>78</v>
      </c>
      <c r="O119" s="19">
        <f t="shared" ref="O119:Z119" si="9">SUM(O12,O14)</f>
        <v>0</v>
      </c>
      <c r="P119" s="19">
        <f t="shared" si="9"/>
        <v>0</v>
      </c>
      <c r="Q119" s="19">
        <f t="shared" si="9"/>
        <v>106.2840326690025</v>
      </c>
      <c r="R119" s="19">
        <f t="shared" si="9"/>
        <v>119.88991940576091</v>
      </c>
      <c r="S119" s="19">
        <f t="shared" si="9"/>
        <v>137.55268621965399</v>
      </c>
      <c r="T119" s="19">
        <f t="shared" si="9"/>
        <v>149.80829600138179</v>
      </c>
      <c r="U119" s="19">
        <f t="shared" si="9"/>
        <v>158.69891830454881</v>
      </c>
      <c r="V119" s="19">
        <f t="shared" si="9"/>
        <v>166.71890112004519</v>
      </c>
      <c r="W119" s="19">
        <f t="shared" si="9"/>
        <v>178.77580754617622</v>
      </c>
      <c r="X119" s="19">
        <f t="shared" si="9"/>
        <v>185.3094043242919</v>
      </c>
      <c r="Y119" s="19">
        <f t="shared" si="9"/>
        <v>190.75571461720449</v>
      </c>
      <c r="Z119" s="19">
        <f t="shared" si="9"/>
        <v>197.51936177378332</v>
      </c>
    </row>
    <row r="120" spans="12:26">
      <c r="L120" s="767"/>
      <c r="M120" s="19" t="s">
        <v>1430</v>
      </c>
      <c r="O120" s="19">
        <f t="shared" ref="O120:Z120" si="10">SUM(O23,O26)</f>
        <v>0</v>
      </c>
      <c r="P120" s="19">
        <f>SUM(P23,P26)</f>
        <v>0</v>
      </c>
      <c r="Q120" s="19">
        <f>SUM(Q23,Q26)</f>
        <v>82.919156462689415</v>
      </c>
      <c r="R120" s="19">
        <f t="shared" si="10"/>
        <v>93.349918390235615</v>
      </c>
      <c r="S120" s="19">
        <f t="shared" si="10"/>
        <v>107.40680343254024</v>
      </c>
      <c r="T120" s="19">
        <f t="shared" si="10"/>
        <v>116.76670059427667</v>
      </c>
      <c r="U120" s="19">
        <f t="shared" si="10"/>
        <v>123.30706341797324</v>
      </c>
      <c r="V120" s="19">
        <f t="shared" si="10"/>
        <v>129.41800563832345</v>
      </c>
      <c r="W120" s="19">
        <f t="shared" si="10"/>
        <v>139.37069969496955</v>
      </c>
      <c r="X120" s="19">
        <f t="shared" si="10"/>
        <v>145.06092339392288</v>
      </c>
      <c r="Y120" s="19">
        <f t="shared" si="10"/>
        <v>150.44887322283171</v>
      </c>
      <c r="Z120" s="19">
        <f t="shared" si="10"/>
        <v>156.93419039525668</v>
      </c>
    </row>
    <row r="121" spans="12:26">
      <c r="L121" s="767"/>
      <c r="M121" s="19" t="s">
        <v>81</v>
      </c>
      <c r="O121" s="19">
        <f t="shared" ref="O121:Z121" si="11">SUM(O58,O61)</f>
        <v>0</v>
      </c>
      <c r="P121" s="19">
        <f t="shared" si="11"/>
        <v>0</v>
      </c>
      <c r="Q121" s="19">
        <f t="shared" si="11"/>
        <v>7.5145144189944713</v>
      </c>
      <c r="R121" s="19">
        <f t="shared" si="11"/>
        <v>8.5817179555413556</v>
      </c>
      <c r="S121" s="19">
        <f t="shared" si="11"/>
        <v>9.8424870586999411</v>
      </c>
      <c r="T121" s="19">
        <f t="shared" si="11"/>
        <v>11.036104770206617</v>
      </c>
      <c r="U121" s="19">
        <f t="shared" si="11"/>
        <v>12.1896114376603</v>
      </c>
      <c r="V121" s="19">
        <f t="shared" si="11"/>
        <v>13.272540422767779</v>
      </c>
      <c r="W121" s="19">
        <f t="shared" si="11"/>
        <v>14.367993474706966</v>
      </c>
      <c r="X121" s="19">
        <f t="shared" si="11"/>
        <v>15.373573636135777</v>
      </c>
      <c r="Y121" s="19">
        <f t="shared" si="11"/>
        <v>16.29563464364993</v>
      </c>
      <c r="Z121" s="19">
        <f t="shared" si="11"/>
        <v>17.285583549913852</v>
      </c>
    </row>
    <row r="122" spans="12:26">
      <c r="L122" s="19" t="s">
        <v>513</v>
      </c>
      <c r="M122" s="19" t="s">
        <v>80</v>
      </c>
      <c r="N122" s="742">
        <v>0.05</v>
      </c>
      <c r="O122" s="19">
        <f>O36*$N$122</f>
        <v>0</v>
      </c>
      <c r="P122" s="19">
        <f t="shared" ref="P122:Z122" si="12">P36*$N$122</f>
        <v>0</v>
      </c>
      <c r="Q122" s="19">
        <f t="shared" si="12"/>
        <v>2.9469056153446349</v>
      </c>
      <c r="R122" s="19">
        <f t="shared" si="12"/>
        <v>3.3549340363578866</v>
      </c>
      <c r="S122" s="19">
        <f t="shared" si="12"/>
        <v>3.7269788567522464</v>
      </c>
      <c r="T122" s="19">
        <f t="shared" si="12"/>
        <v>4.0619420122531142</v>
      </c>
      <c r="U122" s="19">
        <f t="shared" si="12"/>
        <v>4.3111768510861088</v>
      </c>
      <c r="V122" s="19">
        <f t="shared" si="12"/>
        <v>4.5351933701924336</v>
      </c>
      <c r="W122" s="19">
        <f t="shared" si="12"/>
        <v>4.7275320060653767</v>
      </c>
      <c r="X122" s="19">
        <f t="shared" si="12"/>
        <v>4.9039045290865566</v>
      </c>
      <c r="Y122" s="19">
        <f t="shared" si="12"/>
        <v>5.0472416932082842</v>
      </c>
      <c r="Z122" s="19">
        <f t="shared" si="12"/>
        <v>5.1918514307585362</v>
      </c>
    </row>
    <row r="123" spans="12:26">
      <c r="L123" s="19" t="s">
        <v>463</v>
      </c>
      <c r="N123" s="742">
        <v>0.5</v>
      </c>
      <c r="O123" s="638">
        <f t="shared" ref="O123:P123" si="13">(O47-O85)*$N$123</f>
        <v>0</v>
      </c>
      <c r="P123" s="638">
        <f t="shared" si="13"/>
        <v>0</v>
      </c>
      <c r="Q123" s="638">
        <f>(Q47-Q85)*$N$123</f>
        <v>2.6280696973364748</v>
      </c>
      <c r="R123" s="638">
        <f t="shared" ref="R123:Z123" si="14">(R47-R85)*$N$123</f>
        <v>3.0263912362433736</v>
      </c>
      <c r="S123" s="638">
        <f t="shared" si="14"/>
        <v>3.7092815146333749</v>
      </c>
      <c r="T123" s="638">
        <f t="shared" si="14"/>
        <v>4.1106560198345576</v>
      </c>
      <c r="U123" s="638">
        <f t="shared" si="14"/>
        <v>4.3451315021888171</v>
      </c>
      <c r="V123" s="638">
        <f t="shared" si="14"/>
        <v>4.575252191880935</v>
      </c>
      <c r="W123" s="638">
        <f t="shared" si="14"/>
        <v>5.1146220314827779</v>
      </c>
      <c r="X123" s="638">
        <f t="shared" si="14"/>
        <v>5.3351453713737307</v>
      </c>
      <c r="Y123" s="638">
        <f t="shared" si="14"/>
        <v>5.5224009863089805</v>
      </c>
      <c r="Z123" s="638">
        <f t="shared" si="14"/>
        <v>5.7494560702418234</v>
      </c>
    </row>
    <row r="124" spans="12:26">
      <c r="O124" s="775">
        <f>SUM(O119:O123)</f>
        <v>0</v>
      </c>
      <c r="P124" s="775">
        <f t="shared" ref="P124:W124" si="15">SUM(P119:P123)</f>
        <v>0</v>
      </c>
      <c r="Q124" s="775">
        <f t="shared" si="15"/>
        <v>202.29267886336751</v>
      </c>
      <c r="R124" s="775">
        <f t="shared" si="15"/>
        <v>228.20288102413915</v>
      </c>
      <c r="S124" s="775">
        <f t="shared" si="15"/>
        <v>262.23823708227974</v>
      </c>
      <c r="T124" s="775">
        <f t="shared" si="15"/>
        <v>285.78369939795277</v>
      </c>
      <c r="U124" s="775">
        <f t="shared" si="15"/>
        <v>302.85190151345722</v>
      </c>
      <c r="V124" s="775">
        <f t="shared" si="15"/>
        <v>318.51989274320977</v>
      </c>
      <c r="W124" s="775">
        <f t="shared" si="15"/>
        <v>342.35665475340085</v>
      </c>
      <c r="X124" s="775">
        <f>SUM(X119:X123)</f>
        <v>355.98295125481087</v>
      </c>
      <c r="Y124" s="775">
        <f t="shared" ref="Y124:Z124" si="16">SUM(Y119:Y123)</f>
        <v>368.06986516320336</v>
      </c>
      <c r="Z124" s="775">
        <f t="shared" si="16"/>
        <v>382.68044321995421</v>
      </c>
    </row>
    <row r="126" spans="12:26">
      <c r="M126" s="776" t="s">
        <v>1431</v>
      </c>
      <c r="N126" s="742">
        <v>1</v>
      </c>
      <c r="O126" s="777">
        <f>O124*$N$126</f>
        <v>0</v>
      </c>
      <c r="P126" s="777">
        <f t="shared" ref="P126:Z126" si="17">P124*$N$126</f>
        <v>0</v>
      </c>
      <c r="Q126" s="777">
        <f t="shared" si="17"/>
        <v>202.29267886336751</v>
      </c>
      <c r="R126" s="777">
        <f t="shared" si="17"/>
        <v>228.20288102413915</v>
      </c>
      <c r="S126" s="777">
        <f t="shared" si="17"/>
        <v>262.23823708227974</v>
      </c>
      <c r="T126" s="777">
        <f t="shared" si="17"/>
        <v>285.78369939795277</v>
      </c>
      <c r="U126" s="777">
        <f t="shared" si="17"/>
        <v>302.85190151345722</v>
      </c>
      <c r="V126" s="777">
        <f t="shared" si="17"/>
        <v>318.51989274320977</v>
      </c>
      <c r="W126" s="777">
        <f t="shared" si="17"/>
        <v>342.35665475340085</v>
      </c>
      <c r="X126" s="777">
        <f t="shared" si="17"/>
        <v>355.98295125481087</v>
      </c>
      <c r="Y126" s="777">
        <f t="shared" si="17"/>
        <v>368.06986516320336</v>
      </c>
      <c r="Z126" s="777">
        <f t="shared" si="17"/>
        <v>382.68044321995421</v>
      </c>
    </row>
    <row r="127" spans="12:26">
      <c r="M127" s="776" t="s">
        <v>1432</v>
      </c>
      <c r="N127" s="742">
        <v>0</v>
      </c>
      <c r="O127" s="19">
        <f>O124*$N$127</f>
        <v>0</v>
      </c>
      <c r="P127" s="19">
        <f t="shared" ref="P127:Z127" si="18">P124*$N$127</f>
        <v>0</v>
      </c>
      <c r="Q127" s="19">
        <f t="shared" si="18"/>
        <v>0</v>
      </c>
      <c r="R127" s="19">
        <f t="shared" si="18"/>
        <v>0</v>
      </c>
      <c r="S127" s="19">
        <f t="shared" si="18"/>
        <v>0</v>
      </c>
      <c r="T127" s="19">
        <f t="shared" si="18"/>
        <v>0</v>
      </c>
      <c r="U127" s="19">
        <f t="shared" si="18"/>
        <v>0</v>
      </c>
      <c r="V127" s="19">
        <f t="shared" si="18"/>
        <v>0</v>
      </c>
      <c r="W127" s="19">
        <f t="shared" si="18"/>
        <v>0</v>
      </c>
      <c r="X127" s="19">
        <f t="shared" si="18"/>
        <v>0</v>
      </c>
      <c r="Y127" s="19">
        <f t="shared" si="18"/>
        <v>0</v>
      </c>
      <c r="Z127" s="19">
        <f t="shared" si="18"/>
        <v>0</v>
      </c>
    </row>
    <row r="130" spans="13:26">
      <c r="M130" s="776" t="s">
        <v>1433</v>
      </c>
      <c r="O130" s="778">
        <f>O88-O126</f>
        <v>0</v>
      </c>
      <c r="P130" s="778">
        <f t="shared" ref="P130:Z130" si="19">P88-P126</f>
        <v>0</v>
      </c>
      <c r="Q130" s="778">
        <f t="shared" si="19"/>
        <v>574.36624598817878</v>
      </c>
      <c r="R130" s="778">
        <f t="shared" si="19"/>
        <v>637.20909294378259</v>
      </c>
      <c r="S130" s="778">
        <f t="shared" si="19"/>
        <v>697.29287685673739</v>
      </c>
      <c r="T130" s="778">
        <f t="shared" si="19"/>
        <v>749.88383974974897</v>
      </c>
      <c r="U130" s="778">
        <f t="shared" si="19"/>
        <v>794.76367239885462</v>
      </c>
      <c r="V130" s="778">
        <f t="shared" si="19"/>
        <v>832.27294954959666</v>
      </c>
      <c r="W130" s="778">
        <f t="shared" si="19"/>
        <v>867.01211175662115</v>
      </c>
      <c r="X130" s="778">
        <f t="shared" si="19"/>
        <v>897.12772348515637</v>
      </c>
      <c r="Y130" s="778">
        <f t="shared" si="19"/>
        <v>922.51172848593956</v>
      </c>
      <c r="Z130" s="778">
        <f t="shared" si="19"/>
        <v>951.70715320542467</v>
      </c>
    </row>
  </sheetData>
  <phoneticPr fontId="22"/>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104"/>
  <sheetViews>
    <sheetView workbookViewId="0">
      <selection activeCell="E47" sqref="E47"/>
    </sheetView>
  </sheetViews>
  <sheetFormatPr defaultRowHeight="12.75"/>
  <cols>
    <col min="2" max="2" width="40.7109375" customWidth="1"/>
    <col min="3" max="3" width="6.140625" customWidth="1"/>
    <col min="4" max="4" width="60.7109375" customWidth="1"/>
    <col min="5" max="5" width="40.7109375" customWidth="1"/>
    <col min="6" max="6" width="80.7109375" customWidth="1"/>
  </cols>
  <sheetData>
    <row r="1" spans="1:6" ht="27">
      <c r="A1" s="807" t="s">
        <v>324</v>
      </c>
      <c r="B1" s="807"/>
    </row>
    <row r="3" spans="1:6" ht="13.5">
      <c r="A3" s="59" t="s">
        <v>93</v>
      </c>
      <c r="B3" s="59" t="s">
        <v>85</v>
      </c>
      <c r="C3" s="59" t="s">
        <v>94</v>
      </c>
      <c r="D3" s="59" t="s">
        <v>95</v>
      </c>
      <c r="E3" s="59" t="s">
        <v>5</v>
      </c>
      <c r="F3" s="59" t="s">
        <v>6</v>
      </c>
    </row>
    <row r="4" spans="1:6">
      <c r="A4" s="23" t="s">
        <v>100</v>
      </c>
      <c r="B4" s="23" t="s">
        <v>122</v>
      </c>
      <c r="C4" s="80">
        <v>2010</v>
      </c>
      <c r="D4" s="23" t="s">
        <v>123</v>
      </c>
      <c r="E4" s="23"/>
      <c r="F4" s="45" t="s">
        <v>43</v>
      </c>
    </row>
    <row r="5" spans="1:6">
      <c r="A5" s="23" t="s">
        <v>101</v>
      </c>
      <c r="B5" s="23" t="s">
        <v>124</v>
      </c>
      <c r="C5" s="80">
        <v>2010</v>
      </c>
      <c r="D5" s="23" t="s">
        <v>125</v>
      </c>
      <c r="E5" s="23"/>
      <c r="F5" s="45" t="s">
        <v>136</v>
      </c>
    </row>
    <row r="6" spans="1:6">
      <c r="A6" s="23" t="s">
        <v>102</v>
      </c>
      <c r="B6" s="23" t="s">
        <v>12</v>
      </c>
      <c r="C6" s="80">
        <v>2008</v>
      </c>
      <c r="D6" s="23" t="s">
        <v>137</v>
      </c>
      <c r="E6" s="23"/>
      <c r="F6" s="45" t="s">
        <v>13</v>
      </c>
    </row>
    <row r="7" spans="1:6">
      <c r="A7" s="23" t="s">
        <v>103</v>
      </c>
      <c r="B7" s="23" t="s">
        <v>12</v>
      </c>
      <c r="C7" s="80">
        <v>2000</v>
      </c>
      <c r="D7" s="23" t="s">
        <v>1259</v>
      </c>
      <c r="E7" s="23"/>
      <c r="F7" s="45" t="s">
        <v>202</v>
      </c>
    </row>
    <row r="8" spans="1:6">
      <c r="A8" s="23" t="s">
        <v>104</v>
      </c>
      <c r="B8" s="23" t="s">
        <v>138</v>
      </c>
      <c r="C8" s="80">
        <v>2011</v>
      </c>
      <c r="D8" s="23" t="s">
        <v>139</v>
      </c>
      <c r="E8" s="23"/>
      <c r="F8" s="307" t="s">
        <v>1070</v>
      </c>
    </row>
    <row r="9" spans="1:6">
      <c r="A9" s="23" t="s">
        <v>105</v>
      </c>
      <c r="B9" s="23" t="s">
        <v>138</v>
      </c>
      <c r="C9" s="80">
        <v>2011</v>
      </c>
      <c r="D9" s="23" t="s">
        <v>140</v>
      </c>
      <c r="E9" s="23"/>
      <c r="F9" s="306" t="s">
        <v>1071</v>
      </c>
    </row>
    <row r="10" spans="1:6" ht="25.5">
      <c r="A10" s="23" t="s">
        <v>106</v>
      </c>
      <c r="B10" s="23" t="s">
        <v>122</v>
      </c>
      <c r="C10" s="80">
        <v>2010</v>
      </c>
      <c r="D10" s="23" t="s">
        <v>141</v>
      </c>
      <c r="E10" s="23"/>
      <c r="F10" s="45" t="s">
        <v>142</v>
      </c>
    </row>
    <row r="11" spans="1:6" s="6" customFormat="1" ht="25.5">
      <c r="A11" s="23" t="s">
        <v>107</v>
      </c>
      <c r="B11" s="23" t="s">
        <v>122</v>
      </c>
      <c r="C11" s="80">
        <v>2003</v>
      </c>
      <c r="D11" s="23" t="s">
        <v>210</v>
      </c>
      <c r="E11" s="23"/>
      <c r="F11" s="45" t="s">
        <v>211</v>
      </c>
    </row>
    <row r="12" spans="1:6" s="6" customFormat="1" ht="25.5">
      <c r="A12" s="23" t="s">
        <v>108</v>
      </c>
      <c r="B12" s="23" t="s">
        <v>145</v>
      </c>
      <c r="C12" s="80">
        <v>2004</v>
      </c>
      <c r="D12" s="23" t="s">
        <v>146</v>
      </c>
      <c r="E12" s="23"/>
      <c r="F12" s="45" t="s">
        <v>393</v>
      </c>
    </row>
    <row r="13" spans="1:6" ht="25.5">
      <c r="A13" s="23" t="s">
        <v>109</v>
      </c>
      <c r="B13" s="23" t="s">
        <v>144</v>
      </c>
      <c r="C13" s="80">
        <v>2004</v>
      </c>
      <c r="D13" s="23" t="s">
        <v>143</v>
      </c>
      <c r="E13" s="23"/>
      <c r="F13" s="45" t="s">
        <v>394</v>
      </c>
    </row>
    <row r="14" spans="1:6" ht="25.5">
      <c r="A14" s="23" t="s">
        <v>110</v>
      </c>
      <c r="B14" s="23" t="s">
        <v>148</v>
      </c>
      <c r="C14" s="80">
        <v>1996</v>
      </c>
      <c r="D14" s="23" t="s">
        <v>147</v>
      </c>
      <c r="E14" s="23"/>
      <c r="F14" s="45" t="s">
        <v>149</v>
      </c>
    </row>
    <row r="15" spans="1:6" ht="25.5">
      <c r="A15" s="23" t="s">
        <v>111</v>
      </c>
      <c r="B15" s="23" t="s">
        <v>150</v>
      </c>
      <c r="C15" s="80">
        <v>2006</v>
      </c>
      <c r="D15" s="23" t="s">
        <v>151</v>
      </c>
      <c r="E15" s="23"/>
      <c r="F15" s="45" t="s">
        <v>152</v>
      </c>
    </row>
    <row r="16" spans="1:6">
      <c r="A16" s="23" t="s">
        <v>112</v>
      </c>
      <c r="B16" s="23" t="s">
        <v>153</v>
      </c>
      <c r="C16" s="80">
        <v>1982</v>
      </c>
      <c r="D16" s="23" t="s">
        <v>154</v>
      </c>
      <c r="E16" s="23"/>
      <c r="F16" s="45"/>
    </row>
    <row r="17" spans="1:6">
      <c r="A17" s="23" t="s">
        <v>113</v>
      </c>
      <c r="B17" s="23" t="s">
        <v>155</v>
      </c>
      <c r="C17" s="80">
        <v>1991</v>
      </c>
      <c r="D17" s="23" t="s">
        <v>156</v>
      </c>
      <c r="E17" s="23"/>
      <c r="F17" s="45" t="s">
        <v>395</v>
      </c>
    </row>
    <row r="18" spans="1:6">
      <c r="A18" s="23" t="s">
        <v>114</v>
      </c>
      <c r="B18" s="23" t="s">
        <v>158</v>
      </c>
      <c r="C18" s="80">
        <v>1984</v>
      </c>
      <c r="D18" s="23" t="s">
        <v>157</v>
      </c>
      <c r="E18" s="23"/>
      <c r="F18" s="45" t="s">
        <v>159</v>
      </c>
    </row>
    <row r="19" spans="1:6">
      <c r="A19" s="23" t="s">
        <v>115</v>
      </c>
      <c r="B19" s="23" t="s">
        <v>160</v>
      </c>
      <c r="C19" s="80">
        <v>2006</v>
      </c>
      <c r="D19" s="23" t="s">
        <v>161</v>
      </c>
      <c r="E19" s="23" t="s">
        <v>178</v>
      </c>
      <c r="F19" s="45" t="s">
        <v>162</v>
      </c>
    </row>
    <row r="20" spans="1:6">
      <c r="A20" s="23" t="s">
        <v>116</v>
      </c>
      <c r="B20" s="23" t="s">
        <v>163</v>
      </c>
      <c r="C20" s="80">
        <v>2007</v>
      </c>
      <c r="D20" s="23" t="s">
        <v>164</v>
      </c>
      <c r="E20" s="23"/>
      <c r="F20" s="45" t="s">
        <v>399</v>
      </c>
    </row>
    <row r="21" spans="1:6">
      <c r="A21" s="23" t="s">
        <v>117</v>
      </c>
      <c r="B21" s="23" t="s">
        <v>165</v>
      </c>
      <c r="C21" s="80">
        <v>1999</v>
      </c>
      <c r="D21" s="23" t="s">
        <v>166</v>
      </c>
      <c r="E21" s="23"/>
      <c r="F21" s="45" t="s">
        <v>396</v>
      </c>
    </row>
    <row r="22" spans="1:6" ht="25.5">
      <c r="A22" s="23" t="s">
        <v>118</v>
      </c>
      <c r="B22" s="23" t="s">
        <v>171</v>
      </c>
      <c r="C22" s="80">
        <v>1997</v>
      </c>
      <c r="D22" s="23" t="s">
        <v>167</v>
      </c>
      <c r="E22" s="23" t="s">
        <v>169</v>
      </c>
      <c r="F22" s="45" t="s">
        <v>168</v>
      </c>
    </row>
    <row r="23" spans="1:6" ht="25.5">
      <c r="A23" s="23" t="s">
        <v>119</v>
      </c>
      <c r="B23" s="23" t="s">
        <v>171</v>
      </c>
      <c r="C23" s="80">
        <v>1997</v>
      </c>
      <c r="D23" s="23" t="s">
        <v>167</v>
      </c>
      <c r="E23" s="23" t="s">
        <v>170</v>
      </c>
      <c r="F23" s="45" t="s">
        <v>174</v>
      </c>
    </row>
    <row r="24" spans="1:6" ht="25.5">
      <c r="A24" s="23" t="s">
        <v>120</v>
      </c>
      <c r="B24" s="23" t="s">
        <v>172</v>
      </c>
      <c r="C24" s="80">
        <v>2011</v>
      </c>
      <c r="D24" s="23" t="s">
        <v>173</v>
      </c>
      <c r="E24" s="23" t="s">
        <v>175</v>
      </c>
      <c r="F24" s="45" t="s">
        <v>400</v>
      </c>
    </row>
    <row r="25" spans="1:6">
      <c r="A25" s="23" t="s">
        <v>121</v>
      </c>
      <c r="B25" s="23" t="s">
        <v>177</v>
      </c>
      <c r="C25" s="80">
        <v>2001</v>
      </c>
      <c r="D25" s="23" t="s">
        <v>176</v>
      </c>
      <c r="E25" s="23"/>
      <c r="F25" s="45" t="s">
        <v>397</v>
      </c>
    </row>
    <row r="26" spans="1:6">
      <c r="A26" s="23" t="s">
        <v>180</v>
      </c>
      <c r="B26" s="23" t="s">
        <v>179</v>
      </c>
      <c r="C26" s="80">
        <v>2006</v>
      </c>
      <c r="D26" s="23" t="s">
        <v>181</v>
      </c>
      <c r="E26" s="23"/>
      <c r="F26" s="45" t="s">
        <v>182</v>
      </c>
    </row>
    <row r="27" spans="1:6" ht="25.5">
      <c r="A27" s="23" t="s">
        <v>183</v>
      </c>
      <c r="B27" s="23" t="s">
        <v>184</v>
      </c>
      <c r="C27" s="80">
        <v>1992</v>
      </c>
      <c r="D27" s="23" t="s">
        <v>185</v>
      </c>
      <c r="E27" s="23"/>
      <c r="F27" s="45" t="s">
        <v>398</v>
      </c>
    </row>
    <row r="28" spans="1:6" ht="25.5">
      <c r="A28" s="23" t="s">
        <v>186</v>
      </c>
      <c r="B28" s="23" t="s">
        <v>187</v>
      </c>
      <c r="C28" s="80">
        <v>1980</v>
      </c>
      <c r="D28" s="23" t="s">
        <v>188</v>
      </c>
      <c r="E28" s="23"/>
      <c r="F28" s="45" t="s">
        <v>189</v>
      </c>
    </row>
    <row r="29" spans="1:6" s="6" customFormat="1" ht="25.5">
      <c r="A29" s="23" t="s">
        <v>190</v>
      </c>
      <c r="B29" s="23" t="s">
        <v>192</v>
      </c>
      <c r="C29" s="80">
        <v>1999</v>
      </c>
      <c r="D29" s="23" t="s">
        <v>191</v>
      </c>
      <c r="E29" s="23"/>
      <c r="F29" s="45"/>
    </row>
    <row r="30" spans="1:6" ht="25.5">
      <c r="A30" s="23" t="s">
        <v>207</v>
      </c>
      <c r="B30" s="23" t="s">
        <v>208</v>
      </c>
      <c r="C30" s="80">
        <v>1997</v>
      </c>
      <c r="D30" s="23" t="s">
        <v>209</v>
      </c>
      <c r="E30" s="23"/>
      <c r="F30" s="45" t="s">
        <v>401</v>
      </c>
    </row>
    <row r="31" spans="1:6">
      <c r="A31" s="23" t="s">
        <v>215</v>
      </c>
      <c r="B31" s="23" t="s">
        <v>219</v>
      </c>
      <c r="C31" s="80">
        <v>1988</v>
      </c>
      <c r="D31" s="23" t="s">
        <v>220</v>
      </c>
      <c r="E31" s="23"/>
      <c r="F31" s="45" t="s">
        <v>402</v>
      </c>
    </row>
    <row r="32" spans="1:6">
      <c r="A32" s="23" t="s">
        <v>218</v>
      </c>
      <c r="B32" s="23" t="s">
        <v>122</v>
      </c>
      <c r="C32" s="80">
        <v>2010</v>
      </c>
      <c r="D32" s="23" t="s">
        <v>216</v>
      </c>
      <c r="E32" s="23"/>
      <c r="F32" s="45" t="s">
        <v>217</v>
      </c>
    </row>
    <row r="33" spans="1:7">
      <c r="A33" s="23" t="s">
        <v>242</v>
      </c>
      <c r="B33" s="23" t="s">
        <v>122</v>
      </c>
      <c r="C33" s="80">
        <v>2012</v>
      </c>
      <c r="D33" s="23" t="s">
        <v>243</v>
      </c>
      <c r="E33" s="23"/>
      <c r="F33" s="45"/>
    </row>
    <row r="34" spans="1:7" ht="25.5">
      <c r="A34" s="23" t="s">
        <v>247</v>
      </c>
      <c r="B34" s="23" t="s">
        <v>122</v>
      </c>
      <c r="C34" s="80">
        <v>2013</v>
      </c>
      <c r="D34" s="23" t="s">
        <v>141</v>
      </c>
      <c r="E34" s="23"/>
      <c r="F34" s="45" t="s">
        <v>248</v>
      </c>
    </row>
    <row r="35" spans="1:7" ht="25.5">
      <c r="A35" s="23" t="s">
        <v>257</v>
      </c>
      <c r="B35" s="23" t="s">
        <v>122</v>
      </c>
      <c r="C35" s="80">
        <v>2013</v>
      </c>
      <c r="D35" s="23" t="s">
        <v>1239</v>
      </c>
      <c r="E35" s="23"/>
      <c r="F35" s="378" t="s">
        <v>1238</v>
      </c>
    </row>
    <row r="36" spans="1:7">
      <c r="A36" s="23" t="s">
        <v>379</v>
      </c>
      <c r="B36" s="23" t="s">
        <v>392</v>
      </c>
      <c r="C36" s="80">
        <v>2013</v>
      </c>
      <c r="D36" s="23" t="s">
        <v>403</v>
      </c>
      <c r="E36" s="23"/>
      <c r="F36" s="23"/>
    </row>
    <row r="37" spans="1:7" ht="25.5">
      <c r="A37" s="23" t="s">
        <v>404</v>
      </c>
      <c r="B37" s="23" t="s">
        <v>122</v>
      </c>
      <c r="C37" s="80">
        <v>2014</v>
      </c>
      <c r="D37" s="23" t="s">
        <v>405</v>
      </c>
      <c r="E37" s="23" t="s">
        <v>407</v>
      </c>
      <c r="F37" s="23" t="s">
        <v>406</v>
      </c>
    </row>
    <row r="38" spans="1:7" ht="25.5">
      <c r="A38" s="23" t="s">
        <v>414</v>
      </c>
      <c r="B38" s="23" t="s">
        <v>122</v>
      </c>
      <c r="C38" s="80">
        <v>2014</v>
      </c>
      <c r="D38" s="23" t="s">
        <v>415</v>
      </c>
      <c r="E38" s="23"/>
      <c r="F38" s="378" t="s">
        <v>1105</v>
      </c>
      <c r="G38" s="289" t="s">
        <v>1124</v>
      </c>
    </row>
    <row r="39" spans="1:7">
      <c r="A39" s="23" t="s">
        <v>416</v>
      </c>
      <c r="B39" s="23" t="s">
        <v>153</v>
      </c>
      <c r="C39" s="80">
        <v>2014</v>
      </c>
      <c r="D39" s="23" t="s">
        <v>417</v>
      </c>
      <c r="E39" s="23"/>
      <c r="F39" s="23" t="s">
        <v>418</v>
      </c>
    </row>
    <row r="40" spans="1:7" ht="25.5">
      <c r="A40" s="23" t="s">
        <v>419</v>
      </c>
      <c r="B40" s="23" t="s">
        <v>122</v>
      </c>
      <c r="C40" s="80">
        <v>2014</v>
      </c>
      <c r="D40" s="23" t="s">
        <v>1260</v>
      </c>
      <c r="E40" s="23"/>
      <c r="F40" s="23" t="s">
        <v>420</v>
      </c>
    </row>
    <row r="41" spans="1:7">
      <c r="A41" s="23" t="s">
        <v>450</v>
      </c>
      <c r="B41" s="23" t="s">
        <v>122</v>
      </c>
      <c r="C41" s="80">
        <v>2015</v>
      </c>
      <c r="D41" s="23" t="s">
        <v>1261</v>
      </c>
      <c r="E41" s="23" t="s">
        <v>451</v>
      </c>
      <c r="F41" s="23" t="s">
        <v>452</v>
      </c>
    </row>
    <row r="42" spans="1:7">
      <c r="A42" s="23" t="s">
        <v>477</v>
      </c>
      <c r="B42" s="23" t="s">
        <v>478</v>
      </c>
      <c r="C42" s="80">
        <v>2007</v>
      </c>
      <c r="D42" s="23" t="s">
        <v>479</v>
      </c>
      <c r="E42" s="23"/>
      <c r="F42" s="23"/>
    </row>
    <row r="43" spans="1:7">
      <c r="A43" s="23" t="s">
        <v>486</v>
      </c>
      <c r="B43" s="23" t="s">
        <v>487</v>
      </c>
      <c r="C43" s="80">
        <v>2014</v>
      </c>
      <c r="D43" s="23" t="s">
        <v>485</v>
      </c>
      <c r="E43" s="23"/>
      <c r="F43" s="23"/>
    </row>
    <row r="44" spans="1:7">
      <c r="A44" s="23" t="s">
        <v>488</v>
      </c>
      <c r="B44" s="23" t="s">
        <v>489</v>
      </c>
      <c r="C44" s="80">
        <v>2014</v>
      </c>
      <c r="D44" s="23" t="s">
        <v>490</v>
      </c>
      <c r="E44" s="23"/>
      <c r="F44" s="23" t="s">
        <v>491</v>
      </c>
    </row>
    <row r="45" spans="1:7">
      <c r="A45" s="23" t="s">
        <v>523</v>
      </c>
      <c r="B45" s="23" t="s">
        <v>487</v>
      </c>
      <c r="C45" s="80">
        <v>2010</v>
      </c>
      <c r="D45" s="23" t="s">
        <v>524</v>
      </c>
      <c r="E45" s="23"/>
      <c r="F45" s="23"/>
    </row>
    <row r="46" spans="1:7" s="301" customFormat="1" ht="25.5">
      <c r="A46" s="300" t="s">
        <v>1067</v>
      </c>
      <c r="B46" s="300" t="s">
        <v>122</v>
      </c>
      <c r="C46" s="80">
        <v>2014</v>
      </c>
      <c r="D46" s="300" t="s">
        <v>1068</v>
      </c>
      <c r="E46" s="300"/>
      <c r="F46" s="45" t="s">
        <v>1069</v>
      </c>
    </row>
    <row r="47" spans="1:7" ht="38.25">
      <c r="A47" s="23" t="s">
        <v>1164</v>
      </c>
      <c r="B47" s="23" t="s">
        <v>1262</v>
      </c>
      <c r="C47" s="80">
        <v>2014</v>
      </c>
      <c r="D47" s="23" t="s">
        <v>1165</v>
      </c>
      <c r="E47" s="23"/>
      <c r="F47" s="23"/>
    </row>
    <row r="48" spans="1:7">
      <c r="A48" s="194" t="s">
        <v>537</v>
      </c>
      <c r="B48" s="23" t="s">
        <v>1125</v>
      </c>
      <c r="C48" s="80">
        <v>2014</v>
      </c>
      <c r="D48" s="379" t="s">
        <v>1126</v>
      </c>
      <c r="E48" s="23"/>
      <c r="F48" s="23"/>
    </row>
    <row r="49" spans="1:6">
      <c r="A49" s="23"/>
      <c r="B49" s="23"/>
      <c r="C49" s="80"/>
      <c r="D49" s="23"/>
      <c r="E49" s="23"/>
      <c r="F49" s="23"/>
    </row>
    <row r="50" spans="1:6">
      <c r="A50" s="23"/>
      <c r="B50" s="23"/>
      <c r="C50" s="80"/>
      <c r="D50" s="23"/>
      <c r="E50" s="23"/>
      <c r="F50" s="23"/>
    </row>
    <row r="51" spans="1:6">
      <c r="A51" s="23"/>
      <c r="B51" s="23"/>
      <c r="C51" s="80"/>
      <c r="D51" s="23"/>
      <c r="E51" s="23"/>
      <c r="F51" s="23"/>
    </row>
    <row r="52" spans="1:6">
      <c r="A52" s="23"/>
      <c r="B52" s="23"/>
      <c r="C52" s="80"/>
      <c r="D52" s="23"/>
      <c r="E52" s="23"/>
      <c r="F52" s="23"/>
    </row>
    <row r="53" spans="1:6">
      <c r="A53" s="23"/>
      <c r="B53" s="23"/>
      <c r="C53" s="80"/>
      <c r="D53" s="23"/>
      <c r="E53" s="23"/>
      <c r="F53" s="23"/>
    </row>
    <row r="54" spans="1:6">
      <c r="A54" s="23"/>
      <c r="B54" s="23"/>
      <c r="C54" s="80"/>
      <c r="D54" s="23"/>
      <c r="E54" s="23"/>
      <c r="F54" s="23"/>
    </row>
    <row r="55" spans="1:6">
      <c r="A55" s="23"/>
      <c r="B55" s="23"/>
      <c r="C55" s="80"/>
      <c r="D55" s="23"/>
      <c r="E55" s="23"/>
      <c r="F55" s="23"/>
    </row>
    <row r="56" spans="1:6">
      <c r="A56" s="23"/>
      <c r="B56" s="23"/>
      <c r="C56" s="80"/>
      <c r="D56" s="23"/>
      <c r="E56" s="23"/>
      <c r="F56" s="23"/>
    </row>
    <row r="57" spans="1:6">
      <c r="A57" s="23"/>
      <c r="B57" s="23"/>
      <c r="C57" s="80"/>
      <c r="D57" s="23"/>
      <c r="E57" s="23"/>
      <c r="F57" s="23"/>
    </row>
    <row r="58" spans="1:6">
      <c r="A58" s="23"/>
      <c r="B58" s="23"/>
      <c r="C58" s="80"/>
      <c r="D58" s="23"/>
      <c r="E58" s="23"/>
      <c r="F58" s="23"/>
    </row>
    <row r="59" spans="1:6">
      <c r="A59" s="23"/>
      <c r="B59" s="23"/>
      <c r="C59" s="80"/>
      <c r="D59" s="23"/>
      <c r="E59" s="23"/>
      <c r="F59" s="23"/>
    </row>
    <row r="60" spans="1:6">
      <c r="A60" s="23"/>
      <c r="B60" s="23"/>
      <c r="C60" s="80"/>
      <c r="D60" s="23"/>
      <c r="E60" s="23"/>
      <c r="F60" s="23"/>
    </row>
    <row r="61" spans="1:6">
      <c r="A61" s="23"/>
      <c r="B61" s="23"/>
      <c r="C61" s="80"/>
      <c r="D61" s="23"/>
      <c r="E61" s="23"/>
      <c r="F61" s="23"/>
    </row>
    <row r="62" spans="1:6">
      <c r="A62" s="23"/>
      <c r="B62" s="23"/>
      <c r="C62" s="80"/>
      <c r="D62" s="23"/>
      <c r="E62" s="23"/>
      <c r="F62" s="23"/>
    </row>
    <row r="63" spans="1:6">
      <c r="A63" s="23"/>
      <c r="B63" s="23"/>
      <c r="C63" s="80"/>
      <c r="D63" s="23"/>
      <c r="E63" s="23"/>
      <c r="F63" s="23"/>
    </row>
    <row r="64" spans="1:6">
      <c r="A64" s="23"/>
      <c r="B64" s="23"/>
      <c r="C64" s="80"/>
      <c r="D64" s="23"/>
      <c r="E64" s="23"/>
      <c r="F64" s="23"/>
    </row>
    <row r="65" spans="1:6">
      <c r="A65" s="23"/>
      <c r="B65" s="23"/>
      <c r="C65" s="80"/>
      <c r="D65" s="23"/>
      <c r="E65" s="23"/>
      <c r="F65" s="23"/>
    </row>
    <row r="66" spans="1:6">
      <c r="A66" s="23"/>
      <c r="B66" s="23"/>
      <c r="C66" s="80"/>
      <c r="D66" s="23"/>
      <c r="E66" s="23"/>
      <c r="F66" s="23"/>
    </row>
    <row r="67" spans="1:6">
      <c r="A67" s="23"/>
      <c r="B67" s="23"/>
      <c r="C67" s="80"/>
      <c r="D67" s="23"/>
      <c r="E67" s="23"/>
      <c r="F67" s="23"/>
    </row>
    <row r="68" spans="1:6">
      <c r="A68" s="23"/>
      <c r="B68" s="23"/>
      <c r="C68" s="80"/>
      <c r="D68" s="23"/>
      <c r="E68" s="23"/>
      <c r="F68" s="23"/>
    </row>
    <row r="69" spans="1:6">
      <c r="A69" s="23"/>
      <c r="B69" s="23"/>
      <c r="C69" s="80"/>
      <c r="D69" s="23"/>
      <c r="E69" s="23"/>
      <c r="F69" s="23"/>
    </row>
    <row r="70" spans="1:6">
      <c r="A70" s="23"/>
      <c r="B70" s="23"/>
      <c r="C70" s="80"/>
      <c r="D70" s="23"/>
      <c r="E70" s="23"/>
      <c r="F70" s="23"/>
    </row>
    <row r="71" spans="1:6">
      <c r="A71" s="23"/>
      <c r="B71" s="23"/>
      <c r="C71" s="80"/>
      <c r="D71" s="23"/>
      <c r="E71" s="23"/>
      <c r="F71" s="23"/>
    </row>
    <row r="72" spans="1:6">
      <c r="A72" s="23"/>
      <c r="B72" s="23"/>
      <c r="C72" s="80"/>
      <c r="D72" s="23"/>
      <c r="E72" s="23"/>
      <c r="F72" s="23"/>
    </row>
    <row r="73" spans="1:6">
      <c r="A73" s="23"/>
      <c r="B73" s="23"/>
      <c r="C73" s="80"/>
      <c r="D73" s="23"/>
      <c r="E73" s="23"/>
      <c r="F73" s="23"/>
    </row>
    <row r="74" spans="1:6">
      <c r="A74" s="23"/>
      <c r="B74" s="23"/>
      <c r="C74" s="80"/>
      <c r="D74" s="23"/>
      <c r="E74" s="23"/>
      <c r="F74" s="23"/>
    </row>
    <row r="75" spans="1:6">
      <c r="A75" s="23"/>
      <c r="B75" s="23"/>
      <c r="C75" s="80"/>
      <c r="D75" s="23"/>
      <c r="E75" s="23"/>
      <c r="F75" s="23"/>
    </row>
    <row r="76" spans="1:6">
      <c r="A76" s="23"/>
      <c r="B76" s="23"/>
      <c r="C76" s="80"/>
      <c r="D76" s="23"/>
      <c r="E76" s="23"/>
      <c r="F76" s="23"/>
    </row>
    <row r="77" spans="1:6">
      <c r="A77" s="23"/>
      <c r="B77" s="23"/>
      <c r="C77" s="80"/>
      <c r="D77" s="23"/>
      <c r="E77" s="23"/>
      <c r="F77" s="23"/>
    </row>
    <row r="78" spans="1:6">
      <c r="A78" s="23"/>
      <c r="B78" s="23"/>
      <c r="C78" s="80"/>
      <c r="D78" s="23"/>
      <c r="E78" s="23"/>
      <c r="F78" s="23"/>
    </row>
    <row r="79" spans="1:6">
      <c r="A79" s="23"/>
      <c r="B79" s="23"/>
      <c r="C79" s="80"/>
      <c r="D79" s="23"/>
      <c r="E79" s="23"/>
      <c r="F79" s="23"/>
    </row>
    <row r="80" spans="1:6">
      <c r="A80" s="23"/>
      <c r="B80" s="23"/>
      <c r="C80" s="80"/>
      <c r="D80" s="23"/>
      <c r="E80" s="23"/>
      <c r="F80" s="23"/>
    </row>
    <row r="81" spans="1:6">
      <c r="A81" s="23"/>
      <c r="B81" s="23"/>
      <c r="C81" s="80"/>
      <c r="D81" s="23"/>
      <c r="E81" s="23"/>
      <c r="F81" s="23"/>
    </row>
    <row r="82" spans="1:6">
      <c r="A82" s="23"/>
      <c r="B82" s="23"/>
      <c r="C82" s="80"/>
      <c r="D82" s="23"/>
      <c r="E82" s="23"/>
      <c r="F82" s="23"/>
    </row>
    <row r="83" spans="1:6">
      <c r="A83" s="23"/>
      <c r="B83" s="23"/>
      <c r="C83" s="80"/>
      <c r="D83" s="23"/>
      <c r="E83" s="23"/>
      <c r="F83" s="23"/>
    </row>
    <row r="84" spans="1:6">
      <c r="A84" s="23"/>
      <c r="B84" s="23"/>
      <c r="C84" s="80"/>
      <c r="D84" s="23"/>
      <c r="E84" s="23"/>
      <c r="F84" s="23"/>
    </row>
    <row r="85" spans="1:6">
      <c r="A85" s="23"/>
      <c r="B85" s="23"/>
      <c r="C85" s="80"/>
      <c r="D85" s="23"/>
      <c r="E85" s="23"/>
      <c r="F85" s="23"/>
    </row>
    <row r="86" spans="1:6">
      <c r="A86" s="23"/>
      <c r="B86" s="23"/>
      <c r="C86" s="80"/>
      <c r="D86" s="23"/>
      <c r="E86" s="23"/>
      <c r="F86" s="23"/>
    </row>
    <row r="87" spans="1:6">
      <c r="A87" s="23"/>
      <c r="B87" s="23"/>
      <c r="C87" s="80"/>
      <c r="D87" s="23"/>
      <c r="E87" s="23"/>
      <c r="F87" s="23"/>
    </row>
    <row r="88" spans="1:6">
      <c r="A88" s="23"/>
      <c r="B88" s="23"/>
      <c r="C88" s="80"/>
      <c r="D88" s="23"/>
      <c r="E88" s="23"/>
      <c r="F88" s="23"/>
    </row>
    <row r="89" spans="1:6">
      <c r="A89" s="23"/>
      <c r="B89" s="23"/>
      <c r="C89" s="80"/>
      <c r="D89" s="23"/>
      <c r="E89" s="23"/>
      <c r="F89" s="23"/>
    </row>
    <row r="90" spans="1:6">
      <c r="A90" s="23"/>
      <c r="B90" s="23"/>
      <c r="C90" s="80"/>
      <c r="D90" s="23"/>
      <c r="E90" s="23"/>
      <c r="F90" s="23"/>
    </row>
    <row r="91" spans="1:6">
      <c r="A91" s="23"/>
      <c r="B91" s="23"/>
      <c r="C91" s="80"/>
      <c r="D91" s="23"/>
      <c r="E91" s="23"/>
      <c r="F91" s="23"/>
    </row>
    <row r="92" spans="1:6">
      <c r="A92" s="23"/>
      <c r="B92" s="23"/>
      <c r="C92" s="80"/>
      <c r="D92" s="23"/>
      <c r="E92" s="23"/>
      <c r="F92" s="23"/>
    </row>
    <row r="93" spans="1:6">
      <c r="A93" s="23"/>
      <c r="B93" s="23"/>
      <c r="C93" s="80"/>
      <c r="D93" s="23"/>
      <c r="E93" s="23"/>
      <c r="F93" s="23"/>
    </row>
    <row r="94" spans="1:6">
      <c r="A94" s="23"/>
      <c r="B94" s="23"/>
      <c r="C94" s="80"/>
      <c r="D94" s="23"/>
      <c r="E94" s="23"/>
      <c r="F94" s="23"/>
    </row>
    <row r="95" spans="1:6">
      <c r="A95" s="23"/>
      <c r="B95" s="23"/>
      <c r="C95" s="80"/>
      <c r="D95" s="23"/>
      <c r="E95" s="23"/>
      <c r="F95" s="23"/>
    </row>
    <row r="96" spans="1:6">
      <c r="A96" s="23"/>
      <c r="B96" s="23"/>
      <c r="C96" s="80"/>
      <c r="D96" s="23"/>
      <c r="E96" s="23"/>
      <c r="F96" s="23"/>
    </row>
    <row r="97" spans="1:6">
      <c r="A97" s="23"/>
      <c r="B97" s="23"/>
      <c r="C97" s="80"/>
      <c r="D97" s="23"/>
      <c r="E97" s="23"/>
      <c r="F97" s="23"/>
    </row>
    <row r="98" spans="1:6">
      <c r="A98" s="23"/>
      <c r="B98" s="23"/>
      <c r="C98" s="80"/>
      <c r="D98" s="23"/>
      <c r="E98" s="23"/>
      <c r="F98" s="23"/>
    </row>
    <row r="99" spans="1:6">
      <c r="A99" s="23"/>
      <c r="B99" s="23"/>
      <c r="C99" s="80"/>
      <c r="D99" s="23"/>
      <c r="E99" s="23"/>
      <c r="F99" s="23"/>
    </row>
    <row r="100" spans="1:6">
      <c r="A100" s="23"/>
      <c r="B100" s="23"/>
      <c r="C100" s="80"/>
      <c r="D100" s="23"/>
      <c r="E100" s="23"/>
      <c r="F100" s="23"/>
    </row>
    <row r="101" spans="1:6">
      <c r="A101" s="23"/>
      <c r="B101" s="23"/>
      <c r="C101" s="80"/>
      <c r="D101" s="23"/>
      <c r="E101" s="23"/>
      <c r="F101" s="23"/>
    </row>
    <row r="102" spans="1:6">
      <c r="A102" s="23"/>
      <c r="B102" s="23"/>
      <c r="C102" s="80"/>
      <c r="D102" s="23"/>
      <c r="E102" s="23"/>
      <c r="F102" s="23"/>
    </row>
    <row r="103" spans="1:6">
      <c r="A103" s="23"/>
      <c r="B103" s="23"/>
      <c r="C103" s="80"/>
      <c r="D103" s="23"/>
      <c r="E103" s="23"/>
      <c r="F103" s="23"/>
    </row>
    <row r="104" spans="1:6">
      <c r="A104" s="79" t="s">
        <v>391</v>
      </c>
      <c r="B104" s="79" t="s">
        <v>391</v>
      </c>
      <c r="C104" s="79" t="s">
        <v>391</v>
      </c>
      <c r="D104" s="79" t="s">
        <v>391</v>
      </c>
      <c r="E104" s="79" t="s">
        <v>391</v>
      </c>
      <c r="F104" s="79" t="s">
        <v>391</v>
      </c>
    </row>
  </sheetData>
  <mergeCells count="1">
    <mergeCell ref="A1:B1"/>
  </mergeCells>
  <phoneticPr fontId="22"/>
  <hyperlinks>
    <hyperlink ref="F4" r:id="rId1"/>
    <hyperlink ref="F5" r:id="rId2"/>
    <hyperlink ref="F6" r:id="rId3"/>
    <hyperlink ref="F8" r:id="rId4"/>
    <hyperlink ref="F9" r:id="rId5"/>
    <hyperlink ref="F10" r:id="rId6"/>
    <hyperlink ref="F11" r:id="rId7"/>
    <hyperlink ref="F15" r:id="rId8"/>
    <hyperlink ref="F19" r:id="rId9"/>
    <hyperlink ref="F7" r:id="rId10"/>
    <hyperlink ref="F34" r:id="rId11"/>
    <hyperlink ref="F38" r:id="rId12"/>
    <hyperlink ref="G38" r:id="rId13"/>
    <hyperlink ref="F35" r:id="rId14"/>
  </hyperlinks>
  <pageMargins left="0.7" right="0.7" top="0.75" bottom="0.75" header="0.3" footer="0.3"/>
  <pageSetup orientation="portrait" r:id="rId1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18"/>
  <sheetViews>
    <sheetView topLeftCell="A89" workbookViewId="0">
      <selection activeCell="D94" sqref="D94"/>
    </sheetView>
  </sheetViews>
  <sheetFormatPr defaultColWidth="9.140625" defaultRowHeight="12.75"/>
  <cols>
    <col min="1" max="1" width="10.5703125" style="194" customWidth="1"/>
    <col min="2" max="2" width="14.140625" style="354" customWidth="1"/>
    <col min="3" max="3" width="17.7109375" style="31" customWidth="1"/>
    <col min="4" max="4" width="82.5703125" style="23" customWidth="1"/>
    <col min="5" max="16384" width="9.140625" style="31"/>
  </cols>
  <sheetData>
    <row r="1" spans="1:4" ht="27">
      <c r="A1" s="359" t="s">
        <v>269</v>
      </c>
      <c r="B1" s="196"/>
      <c r="C1" s="22"/>
    </row>
    <row r="3" spans="1:4" ht="15">
      <c r="A3" s="360" t="s">
        <v>221</v>
      </c>
      <c r="B3" s="363" t="s">
        <v>222</v>
      </c>
      <c r="C3" s="26" t="s">
        <v>223</v>
      </c>
      <c r="D3" s="42" t="s">
        <v>224</v>
      </c>
    </row>
    <row r="4" spans="1:4" ht="15">
      <c r="A4" s="361" t="s">
        <v>229</v>
      </c>
      <c r="B4" s="364"/>
      <c r="C4" s="27"/>
      <c r="D4" s="27"/>
    </row>
    <row r="5" spans="1:4">
      <c r="A5" s="447">
        <v>41447</v>
      </c>
      <c r="B5" s="354" t="s">
        <v>230</v>
      </c>
      <c r="C5" s="23" t="s">
        <v>232</v>
      </c>
      <c r="D5" s="23" t="s">
        <v>231</v>
      </c>
    </row>
    <row r="6" spans="1:4" ht="15">
      <c r="A6" s="361" t="s">
        <v>228</v>
      </c>
      <c r="B6" s="364"/>
      <c r="C6" s="27"/>
      <c r="D6" s="27"/>
    </row>
    <row r="7" spans="1:4">
      <c r="A7" s="447">
        <v>41449</v>
      </c>
      <c r="B7" s="354" t="s">
        <v>225</v>
      </c>
      <c r="C7" s="23" t="s">
        <v>226</v>
      </c>
      <c r="D7" s="23" t="s">
        <v>227</v>
      </c>
    </row>
    <row r="8" spans="1:4">
      <c r="A8" s="447">
        <v>41470</v>
      </c>
      <c r="B8" s="354" t="s">
        <v>225</v>
      </c>
      <c r="C8" s="23" t="s">
        <v>226</v>
      </c>
      <c r="D8" s="23" t="s">
        <v>1099</v>
      </c>
    </row>
    <row r="9" spans="1:4">
      <c r="A9" s="447">
        <v>41473</v>
      </c>
      <c r="B9" s="354" t="s">
        <v>272</v>
      </c>
      <c r="C9" s="23" t="s">
        <v>273</v>
      </c>
      <c r="D9" s="23" t="s">
        <v>274</v>
      </c>
    </row>
    <row r="10" spans="1:4" ht="38.25">
      <c r="A10" s="447">
        <v>41477</v>
      </c>
      <c r="B10" s="354" t="s">
        <v>225</v>
      </c>
      <c r="C10" s="23" t="s">
        <v>245</v>
      </c>
      <c r="D10" s="23" t="s">
        <v>244</v>
      </c>
    </row>
    <row r="11" spans="1:4">
      <c r="A11" s="447">
        <v>41480</v>
      </c>
      <c r="B11" s="354" t="s">
        <v>272</v>
      </c>
      <c r="C11" s="23" t="s">
        <v>273</v>
      </c>
      <c r="D11" s="23" t="s">
        <v>275</v>
      </c>
    </row>
    <row r="12" spans="1:4" ht="18.75" customHeight="1">
      <c r="A12" s="447">
        <v>41484</v>
      </c>
      <c r="B12" s="354" t="s">
        <v>225</v>
      </c>
      <c r="C12" s="23" t="s">
        <v>260</v>
      </c>
      <c r="D12" s="23" t="s">
        <v>276</v>
      </c>
    </row>
    <row r="13" spans="1:4" ht="29.45" customHeight="1">
      <c r="C13" s="23" t="s">
        <v>226</v>
      </c>
      <c r="D13" s="23" t="s">
        <v>270</v>
      </c>
    </row>
    <row r="14" spans="1:4">
      <c r="C14" s="23" t="s">
        <v>198</v>
      </c>
      <c r="D14" s="23" t="s">
        <v>271</v>
      </c>
    </row>
    <row r="15" spans="1:4">
      <c r="A15" s="447">
        <v>41485</v>
      </c>
      <c r="B15" s="354" t="s">
        <v>272</v>
      </c>
      <c r="C15" s="23" t="s">
        <v>226</v>
      </c>
      <c r="D15" s="23" t="s">
        <v>277</v>
      </c>
    </row>
    <row r="16" spans="1:4">
      <c r="A16" s="447">
        <v>41486</v>
      </c>
      <c r="B16" s="354" t="s">
        <v>225</v>
      </c>
      <c r="C16" s="23" t="s">
        <v>283</v>
      </c>
      <c r="D16" s="23" t="s">
        <v>284</v>
      </c>
    </row>
    <row r="17" spans="1:4" ht="25.5">
      <c r="A17" s="447">
        <v>41491</v>
      </c>
      <c r="B17" s="354" t="s">
        <v>225</v>
      </c>
      <c r="C17" s="23" t="s">
        <v>291</v>
      </c>
      <c r="D17" s="23" t="s">
        <v>292</v>
      </c>
    </row>
    <row r="18" spans="1:4" ht="25.5">
      <c r="A18" s="447">
        <v>41492</v>
      </c>
      <c r="B18" s="354" t="s">
        <v>272</v>
      </c>
      <c r="C18" s="23" t="s">
        <v>296</v>
      </c>
      <c r="D18" s="23" t="s">
        <v>297</v>
      </c>
    </row>
    <row r="19" spans="1:4" ht="25.5">
      <c r="A19" s="447">
        <v>41493</v>
      </c>
      <c r="B19" s="354" t="s">
        <v>225</v>
      </c>
      <c r="C19" s="23" t="s">
        <v>260</v>
      </c>
      <c r="D19" s="23" t="s">
        <v>295</v>
      </c>
    </row>
    <row r="20" spans="1:4">
      <c r="A20" s="447">
        <v>41510</v>
      </c>
      <c r="B20" s="354" t="s">
        <v>225</v>
      </c>
      <c r="C20" s="23" t="s">
        <v>303</v>
      </c>
      <c r="D20" s="23" t="s">
        <v>304</v>
      </c>
    </row>
    <row r="21" spans="1:4" ht="38.25">
      <c r="A21" s="447">
        <v>41513</v>
      </c>
      <c r="B21" s="354" t="s">
        <v>225</v>
      </c>
      <c r="C21" s="23" t="s">
        <v>305</v>
      </c>
      <c r="D21" s="23" t="s">
        <v>306</v>
      </c>
    </row>
    <row r="22" spans="1:4" ht="25.5">
      <c r="A22" s="447">
        <v>41514</v>
      </c>
      <c r="B22" s="354" t="s">
        <v>225</v>
      </c>
      <c r="C22" s="23" t="s">
        <v>16</v>
      </c>
      <c r="D22" s="23" t="s">
        <v>311</v>
      </c>
    </row>
    <row r="23" spans="1:4">
      <c r="A23" s="447"/>
      <c r="C23" s="23" t="s">
        <v>312</v>
      </c>
      <c r="D23" s="23" t="s">
        <v>313</v>
      </c>
    </row>
    <row r="24" spans="1:4" ht="15">
      <c r="A24" s="447"/>
      <c r="C24" s="23"/>
      <c r="D24" s="44" t="s">
        <v>314</v>
      </c>
    </row>
    <row r="25" spans="1:4" ht="38.25">
      <c r="A25" s="447">
        <v>41533</v>
      </c>
      <c r="B25" s="354" t="s">
        <v>225</v>
      </c>
      <c r="C25" s="23" t="s">
        <v>316</v>
      </c>
      <c r="D25" s="45" t="s">
        <v>317</v>
      </c>
    </row>
    <row r="26" spans="1:4" ht="15">
      <c r="A26" s="447">
        <v>41534</v>
      </c>
      <c r="B26" s="354" t="s">
        <v>225</v>
      </c>
      <c r="C26" s="23"/>
      <c r="D26" s="44" t="s">
        <v>318</v>
      </c>
    </row>
    <row r="27" spans="1:4" ht="38.25">
      <c r="A27" s="447">
        <v>41547</v>
      </c>
      <c r="B27" s="354" t="s">
        <v>225</v>
      </c>
      <c r="C27" s="23" t="s">
        <v>322</v>
      </c>
      <c r="D27" s="45" t="s">
        <v>323</v>
      </c>
    </row>
    <row r="28" spans="1:4">
      <c r="A28" s="447">
        <v>41750</v>
      </c>
      <c r="B28" s="354" t="s">
        <v>272</v>
      </c>
      <c r="C28" s="23" t="s">
        <v>273</v>
      </c>
      <c r="D28" s="23" t="s">
        <v>325</v>
      </c>
    </row>
    <row r="29" spans="1:4" ht="63.75">
      <c r="A29" s="447">
        <v>41778</v>
      </c>
      <c r="B29" s="354" t="s">
        <v>272</v>
      </c>
      <c r="C29" s="23" t="s">
        <v>334</v>
      </c>
      <c r="D29" s="23" t="s">
        <v>333</v>
      </c>
    </row>
    <row r="30" spans="1:4" ht="38.25">
      <c r="A30" s="447">
        <v>41779</v>
      </c>
      <c r="B30" s="354" t="s">
        <v>272</v>
      </c>
      <c r="C30" s="23" t="s">
        <v>332</v>
      </c>
      <c r="D30" s="23" t="s">
        <v>340</v>
      </c>
    </row>
    <row r="31" spans="1:4" ht="38.25">
      <c r="A31" s="447">
        <v>41780</v>
      </c>
      <c r="B31" s="354" t="s">
        <v>272</v>
      </c>
      <c r="C31" s="23" t="s">
        <v>338</v>
      </c>
      <c r="D31" s="23" t="s">
        <v>339</v>
      </c>
    </row>
    <row r="32" spans="1:4" ht="38.25">
      <c r="A32" s="447">
        <v>41866</v>
      </c>
      <c r="B32" s="354" t="s">
        <v>272</v>
      </c>
      <c r="C32" s="23" t="s">
        <v>359</v>
      </c>
      <c r="D32" s="45" t="s">
        <v>361</v>
      </c>
    </row>
    <row r="33" spans="1:17">
      <c r="A33" s="447">
        <v>41866</v>
      </c>
      <c r="B33" s="354" t="s">
        <v>272</v>
      </c>
      <c r="C33" s="23" t="s">
        <v>360</v>
      </c>
      <c r="D33" s="45" t="s">
        <v>362</v>
      </c>
    </row>
    <row r="34" spans="1:17" ht="25.5">
      <c r="A34" s="447">
        <v>41915</v>
      </c>
      <c r="B34" s="354" t="s">
        <v>272</v>
      </c>
      <c r="C34" s="23" t="s">
        <v>368</v>
      </c>
      <c r="D34" s="45" t="s">
        <v>1100</v>
      </c>
    </row>
    <row r="35" spans="1:17" ht="57.6" customHeight="1">
      <c r="A35" s="447">
        <v>41934</v>
      </c>
      <c r="B35" s="354" t="s">
        <v>272</v>
      </c>
      <c r="C35" s="23" t="s">
        <v>369</v>
      </c>
      <c r="D35" s="45" t="s">
        <v>1101</v>
      </c>
    </row>
    <row r="36" spans="1:17" s="292" customFormat="1" ht="15">
      <c r="A36" s="361" t="s">
        <v>1033</v>
      </c>
      <c r="B36" s="364"/>
      <c r="C36" s="27"/>
      <c r="D36" s="27"/>
    </row>
    <row r="37" spans="1:17" s="292" customFormat="1" ht="25.5">
      <c r="A37" s="447">
        <v>42039</v>
      </c>
      <c r="B37" s="354" t="s">
        <v>1184</v>
      </c>
      <c r="C37" s="293" t="s">
        <v>1034</v>
      </c>
      <c r="D37" s="293" t="s">
        <v>1185</v>
      </c>
    </row>
    <row r="38" spans="1:17">
      <c r="C38" s="23"/>
    </row>
    <row r="39" spans="1:17" ht="25.5">
      <c r="A39" s="447">
        <v>42124</v>
      </c>
      <c r="B39" s="354" t="s">
        <v>1097</v>
      </c>
      <c r="C39" s="23" t="s">
        <v>1075</v>
      </c>
      <c r="D39" s="23" t="s">
        <v>1098</v>
      </c>
    </row>
    <row r="40" spans="1:17">
      <c r="B40" s="354" t="s">
        <v>1097</v>
      </c>
      <c r="C40" s="23"/>
    </row>
    <row r="41" spans="1:17" s="23" customFormat="1" ht="51">
      <c r="A41" s="194" t="s">
        <v>1081</v>
      </c>
      <c r="B41" s="354" t="s">
        <v>1097</v>
      </c>
      <c r="C41" s="23" t="s">
        <v>1088</v>
      </c>
      <c r="D41" s="23" t="s">
        <v>1087</v>
      </c>
      <c r="E41" s="31"/>
      <c r="F41" s="31"/>
      <c r="G41" s="31"/>
      <c r="H41" s="31"/>
      <c r="I41" s="31"/>
      <c r="J41" s="31"/>
      <c r="K41" s="31"/>
      <c r="L41" s="31"/>
      <c r="M41" s="31"/>
      <c r="N41" s="31"/>
      <c r="O41" s="31"/>
      <c r="P41" s="31"/>
      <c r="Q41" s="31"/>
    </row>
    <row r="42" spans="1:17" s="23" customFormat="1" ht="23.45" customHeight="1">
      <c r="A42" s="447">
        <v>42265</v>
      </c>
      <c r="B42" s="354" t="s">
        <v>1097</v>
      </c>
      <c r="C42" s="23" t="s">
        <v>1089</v>
      </c>
      <c r="D42" s="23" t="s">
        <v>1090</v>
      </c>
      <c r="E42" s="31"/>
      <c r="F42" s="31"/>
      <c r="G42" s="31"/>
      <c r="H42" s="31"/>
      <c r="I42" s="31"/>
      <c r="J42" s="31"/>
      <c r="K42" s="31"/>
      <c r="L42" s="31"/>
      <c r="M42" s="31"/>
      <c r="N42" s="31"/>
      <c r="O42" s="31"/>
      <c r="P42" s="31"/>
      <c r="Q42" s="31"/>
    </row>
    <row r="43" spans="1:17" s="23" customFormat="1" ht="29.45" customHeight="1">
      <c r="A43" s="447">
        <v>42310</v>
      </c>
      <c r="B43" s="354" t="s">
        <v>1097</v>
      </c>
      <c r="C43" s="23" t="s">
        <v>1096</v>
      </c>
      <c r="D43" s="23" t="s">
        <v>1095</v>
      </c>
      <c r="E43" s="31"/>
      <c r="F43" s="31"/>
      <c r="G43" s="31"/>
      <c r="H43" s="31"/>
      <c r="I43" s="31"/>
      <c r="J43" s="31"/>
      <c r="K43" s="31"/>
      <c r="L43" s="31"/>
      <c r="M43" s="31"/>
      <c r="N43" s="31"/>
      <c r="O43" s="31"/>
      <c r="P43" s="31"/>
      <c r="Q43" s="31"/>
    </row>
    <row r="44" spans="1:17" s="23" customFormat="1" ht="20.100000000000001" customHeight="1">
      <c r="A44" s="447">
        <v>42332</v>
      </c>
      <c r="B44" s="354" t="s">
        <v>1097</v>
      </c>
      <c r="C44" s="23" t="s">
        <v>1091</v>
      </c>
      <c r="D44" s="23" t="s">
        <v>1092</v>
      </c>
      <c r="E44" s="31"/>
      <c r="F44" s="31"/>
      <c r="G44" s="31"/>
      <c r="H44" s="31"/>
      <c r="I44" s="31"/>
      <c r="J44" s="31"/>
      <c r="K44" s="31"/>
      <c r="L44" s="31"/>
      <c r="M44" s="31"/>
      <c r="N44" s="31"/>
      <c r="O44" s="31"/>
      <c r="P44" s="31"/>
      <c r="Q44" s="31"/>
    </row>
    <row r="45" spans="1:17" s="23" customFormat="1">
      <c r="A45" s="194"/>
      <c r="B45" s="354" t="s">
        <v>1097</v>
      </c>
      <c r="E45" s="31"/>
      <c r="F45" s="31"/>
      <c r="G45" s="31"/>
      <c r="H45" s="31"/>
      <c r="I45" s="31"/>
      <c r="J45" s="31"/>
      <c r="K45" s="31"/>
      <c r="L45" s="31"/>
      <c r="M45" s="31"/>
      <c r="N45" s="31"/>
      <c r="O45" s="31"/>
      <c r="P45" s="31"/>
      <c r="Q45" s="31"/>
    </row>
    <row r="46" spans="1:17" s="23" customFormat="1" ht="25.5">
      <c r="A46" s="447">
        <v>42332</v>
      </c>
      <c r="B46" s="354" t="s">
        <v>1120</v>
      </c>
      <c r="C46" s="23" t="s">
        <v>1093</v>
      </c>
      <c r="D46" s="23" t="s">
        <v>1094</v>
      </c>
      <c r="E46" s="31"/>
      <c r="F46" s="31"/>
      <c r="G46" s="31"/>
      <c r="H46" s="31"/>
      <c r="I46" s="31"/>
      <c r="J46" s="31"/>
      <c r="K46" s="31"/>
      <c r="L46" s="31"/>
      <c r="M46" s="31"/>
      <c r="N46" s="31"/>
      <c r="O46" s="31"/>
      <c r="P46" s="31"/>
      <c r="Q46" s="31"/>
    </row>
    <row r="47" spans="1:17" s="23" customFormat="1" ht="12.95" customHeight="1">
      <c r="A47" s="194"/>
      <c r="B47" s="354"/>
      <c r="E47" s="31"/>
      <c r="F47" s="31"/>
      <c r="G47" s="31"/>
      <c r="H47" s="31"/>
      <c r="I47" s="31"/>
      <c r="J47" s="31"/>
      <c r="K47" s="31"/>
      <c r="L47" s="31"/>
      <c r="M47" s="31"/>
      <c r="N47" s="31"/>
      <c r="O47" s="31"/>
      <c r="P47" s="31"/>
      <c r="Q47" s="31"/>
    </row>
    <row r="48" spans="1:17" s="23" customFormat="1">
      <c r="A48" s="447">
        <v>42348</v>
      </c>
      <c r="B48" s="354" t="s">
        <v>1097</v>
      </c>
      <c r="C48" s="23" t="s">
        <v>265</v>
      </c>
      <c r="D48" s="348" t="s">
        <v>1119</v>
      </c>
      <c r="E48" s="31"/>
      <c r="F48" s="31"/>
      <c r="G48" s="31"/>
      <c r="H48" s="31"/>
      <c r="I48" s="31"/>
      <c r="J48" s="31"/>
      <c r="K48" s="31"/>
      <c r="L48" s="31"/>
      <c r="M48" s="31"/>
      <c r="N48" s="31"/>
      <c r="O48" s="31"/>
      <c r="P48" s="31"/>
      <c r="Q48" s="31"/>
    </row>
    <row r="49" spans="1:17" s="23" customFormat="1" ht="25.5">
      <c r="A49" s="447">
        <v>42491</v>
      </c>
      <c r="B49" s="354" t="s">
        <v>1097</v>
      </c>
      <c r="C49" s="23" t="s">
        <v>265</v>
      </c>
      <c r="D49" s="23" t="s">
        <v>1108</v>
      </c>
      <c r="E49" s="31"/>
      <c r="F49" s="31"/>
      <c r="G49" s="31"/>
      <c r="H49" s="31"/>
      <c r="I49" s="31"/>
      <c r="J49" s="31"/>
      <c r="K49" s="31"/>
      <c r="L49" s="31"/>
      <c r="M49" s="31"/>
      <c r="N49" s="31"/>
      <c r="O49" s="31"/>
      <c r="P49" s="31"/>
      <c r="Q49" s="31"/>
    </row>
    <row r="50" spans="1:17" s="23" customFormat="1">
      <c r="A50" s="447">
        <v>42491</v>
      </c>
      <c r="B50" s="354" t="s">
        <v>1097</v>
      </c>
      <c r="C50" s="23" t="s">
        <v>1109</v>
      </c>
      <c r="D50" s="23" t="s">
        <v>1110</v>
      </c>
      <c r="E50" s="31"/>
      <c r="F50" s="31"/>
      <c r="G50" s="31"/>
      <c r="H50" s="31"/>
      <c r="I50" s="31"/>
      <c r="J50" s="31"/>
      <c r="K50" s="31"/>
      <c r="L50" s="31"/>
      <c r="M50" s="31"/>
      <c r="N50" s="31"/>
      <c r="O50" s="31"/>
      <c r="P50" s="31"/>
      <c r="Q50" s="31"/>
    </row>
    <row r="51" spans="1:17" s="23" customFormat="1">
      <c r="A51" s="194"/>
      <c r="B51" s="354"/>
      <c r="E51" s="31"/>
      <c r="F51" s="31"/>
      <c r="G51" s="31"/>
      <c r="H51" s="31"/>
      <c r="I51" s="31"/>
      <c r="J51" s="31"/>
      <c r="K51" s="31"/>
      <c r="L51" s="31"/>
      <c r="M51" s="31"/>
      <c r="N51" s="31"/>
      <c r="O51" s="31"/>
      <c r="P51" s="31"/>
      <c r="Q51" s="31"/>
    </row>
    <row r="52" spans="1:17" s="23" customFormat="1" ht="25.5">
      <c r="A52" s="447">
        <v>42491</v>
      </c>
      <c r="B52" s="354" t="s">
        <v>1097</v>
      </c>
      <c r="C52" s="23" t="s">
        <v>126</v>
      </c>
      <c r="D52" s="23" t="s">
        <v>1263</v>
      </c>
      <c r="E52" s="31"/>
      <c r="F52" s="31"/>
      <c r="G52" s="31"/>
      <c r="H52" s="31"/>
      <c r="I52" s="31"/>
      <c r="J52" s="31"/>
      <c r="K52" s="31"/>
      <c r="L52" s="31"/>
      <c r="M52" s="31"/>
      <c r="N52" s="31"/>
      <c r="O52" s="31"/>
      <c r="P52" s="31"/>
      <c r="Q52" s="31"/>
    </row>
    <row r="53" spans="1:17" s="23" customFormat="1" ht="51">
      <c r="A53" s="447">
        <v>42506</v>
      </c>
      <c r="B53" s="354" t="s">
        <v>1118</v>
      </c>
      <c r="C53" s="23" t="s">
        <v>1121</v>
      </c>
      <c r="D53" s="23" t="s">
        <v>1122</v>
      </c>
      <c r="E53" s="31"/>
      <c r="F53" s="31"/>
      <c r="G53" s="31"/>
      <c r="H53" s="31"/>
      <c r="I53" s="31"/>
      <c r="J53" s="31"/>
      <c r="K53" s="31"/>
      <c r="L53" s="31"/>
      <c r="M53" s="31"/>
      <c r="N53" s="31"/>
      <c r="O53" s="31"/>
      <c r="P53" s="31"/>
      <c r="Q53" s="31"/>
    </row>
    <row r="54" spans="1:17" s="23" customFormat="1">
      <c r="A54" s="194"/>
      <c r="B54" s="354"/>
      <c r="E54" s="31"/>
      <c r="F54" s="31"/>
      <c r="G54" s="31"/>
      <c r="H54" s="31"/>
      <c r="I54" s="31"/>
      <c r="J54" s="31"/>
      <c r="K54" s="31"/>
      <c r="L54" s="31"/>
      <c r="M54" s="31"/>
      <c r="N54" s="31"/>
      <c r="O54" s="31"/>
      <c r="P54" s="31"/>
      <c r="Q54" s="31"/>
    </row>
    <row r="55" spans="1:17" s="23" customFormat="1" ht="76.5">
      <c r="A55" s="447">
        <v>42571</v>
      </c>
      <c r="B55" s="354" t="s">
        <v>272</v>
      </c>
      <c r="C55" s="23" t="s">
        <v>1114</v>
      </c>
      <c r="D55" s="23" t="s">
        <v>1149</v>
      </c>
      <c r="E55" s="31"/>
      <c r="F55" s="31"/>
      <c r="G55" s="31"/>
      <c r="H55" s="31"/>
      <c r="I55" s="31"/>
      <c r="J55" s="31"/>
      <c r="K55" s="31"/>
      <c r="L55" s="31"/>
      <c r="M55" s="31"/>
      <c r="N55" s="31"/>
      <c r="O55" s="31"/>
      <c r="P55" s="31"/>
      <c r="Q55" s="31"/>
    </row>
    <row r="56" spans="1:17" s="23" customFormat="1" ht="63.75">
      <c r="A56" s="447">
        <v>42571</v>
      </c>
      <c r="B56" s="554" t="s">
        <v>272</v>
      </c>
      <c r="C56" s="23" t="s">
        <v>1115</v>
      </c>
      <c r="D56" s="23" t="s">
        <v>1150</v>
      </c>
      <c r="E56" s="31"/>
      <c r="F56" s="31"/>
      <c r="G56" s="31"/>
      <c r="H56" s="31"/>
      <c r="I56" s="31"/>
      <c r="J56" s="31"/>
      <c r="K56" s="31"/>
      <c r="L56" s="31"/>
      <c r="M56" s="31"/>
      <c r="N56" s="31"/>
      <c r="O56" s="31"/>
      <c r="P56" s="31"/>
      <c r="Q56" s="31"/>
    </row>
    <row r="57" spans="1:17" s="23" customFormat="1">
      <c r="A57" s="447"/>
      <c r="B57" s="354"/>
      <c r="E57" s="31"/>
      <c r="F57" s="31"/>
      <c r="G57" s="31"/>
      <c r="H57" s="31"/>
      <c r="I57" s="31"/>
      <c r="J57" s="31"/>
      <c r="K57" s="31"/>
      <c r="L57" s="31"/>
      <c r="M57" s="31"/>
      <c r="N57" s="31"/>
      <c r="O57" s="31"/>
      <c r="P57" s="31"/>
      <c r="Q57" s="31"/>
    </row>
    <row r="58" spans="1:17" s="23" customFormat="1" ht="25.5">
      <c r="A58" s="447">
        <v>42572</v>
      </c>
      <c r="B58" s="554" t="s">
        <v>1203</v>
      </c>
      <c r="C58" s="23" t="s">
        <v>1116</v>
      </c>
      <c r="D58" s="23" t="s">
        <v>1117</v>
      </c>
      <c r="E58" s="31"/>
      <c r="F58" s="31"/>
      <c r="G58" s="31"/>
      <c r="H58" s="31"/>
      <c r="I58" s="31"/>
      <c r="J58" s="31"/>
      <c r="K58" s="31"/>
      <c r="L58" s="31"/>
      <c r="M58" s="31"/>
      <c r="N58" s="31"/>
      <c r="O58" s="31"/>
      <c r="P58" s="31"/>
      <c r="Q58" s="31"/>
    </row>
    <row r="59" spans="1:17" s="23" customFormat="1">
      <c r="A59" s="194"/>
      <c r="B59" s="354"/>
      <c r="E59" s="31"/>
      <c r="F59" s="31"/>
      <c r="G59" s="31"/>
      <c r="H59" s="31"/>
      <c r="I59" s="31"/>
      <c r="J59" s="31"/>
      <c r="K59" s="31"/>
      <c r="L59" s="31"/>
      <c r="M59" s="31"/>
      <c r="N59" s="31"/>
      <c r="O59" s="31"/>
      <c r="P59" s="31"/>
      <c r="Q59" s="31"/>
    </row>
    <row r="60" spans="1:17" s="23" customFormat="1">
      <c r="A60" s="194"/>
      <c r="B60" s="354"/>
      <c r="E60" s="31"/>
      <c r="F60" s="31"/>
      <c r="G60" s="31"/>
      <c r="H60" s="31"/>
      <c r="I60" s="31"/>
      <c r="J60" s="31"/>
      <c r="K60" s="31"/>
      <c r="L60" s="31"/>
      <c r="M60" s="31"/>
      <c r="N60" s="31"/>
      <c r="O60" s="31"/>
      <c r="P60" s="31"/>
      <c r="Q60" s="31"/>
    </row>
    <row r="61" spans="1:17" s="23" customFormat="1" ht="25.5">
      <c r="A61" s="447">
        <v>42587</v>
      </c>
      <c r="B61" s="354" t="s">
        <v>272</v>
      </c>
      <c r="C61" s="23" t="s">
        <v>1127</v>
      </c>
      <c r="D61" s="23" t="s">
        <v>1144</v>
      </c>
      <c r="E61" s="31"/>
      <c r="F61" s="31"/>
      <c r="G61" s="31"/>
      <c r="H61" s="31"/>
      <c r="I61" s="31"/>
      <c r="J61" s="31"/>
      <c r="K61" s="31"/>
      <c r="L61" s="31"/>
      <c r="M61" s="31"/>
      <c r="N61" s="31"/>
      <c r="O61" s="31"/>
      <c r="P61" s="31"/>
      <c r="Q61" s="31"/>
    </row>
    <row r="62" spans="1:17" s="23" customFormat="1">
      <c r="A62" s="194"/>
      <c r="B62" s="354"/>
      <c r="E62" s="31"/>
      <c r="F62" s="31"/>
      <c r="G62" s="31"/>
      <c r="H62" s="31"/>
      <c r="I62" s="31"/>
      <c r="J62" s="31"/>
      <c r="K62" s="31"/>
      <c r="L62" s="31"/>
      <c r="M62" s="31"/>
      <c r="N62" s="31"/>
      <c r="O62" s="31"/>
      <c r="P62" s="31"/>
      <c r="Q62" s="31"/>
    </row>
    <row r="63" spans="1:17" s="23" customFormat="1" ht="25.5">
      <c r="A63" s="447">
        <v>42591</v>
      </c>
      <c r="B63" s="354"/>
      <c r="C63" s="23" t="s">
        <v>1128</v>
      </c>
      <c r="D63" s="23" t="s">
        <v>1142</v>
      </c>
      <c r="E63" s="31"/>
      <c r="F63" s="31"/>
      <c r="G63" s="31"/>
      <c r="H63" s="31"/>
      <c r="I63" s="31"/>
      <c r="J63" s="31"/>
      <c r="K63" s="31"/>
      <c r="L63" s="31"/>
      <c r="M63" s="31"/>
      <c r="N63" s="31"/>
      <c r="O63" s="31"/>
      <c r="P63" s="31"/>
      <c r="Q63" s="31"/>
    </row>
    <row r="64" spans="1:17" s="23" customFormat="1" ht="51">
      <c r="A64" s="447">
        <v>42591</v>
      </c>
      <c r="B64" s="354"/>
      <c r="C64" s="23" t="s">
        <v>1129</v>
      </c>
      <c r="D64" s="23" t="s">
        <v>1145</v>
      </c>
      <c r="E64" s="31"/>
      <c r="F64" s="31"/>
      <c r="G64" s="31"/>
      <c r="H64" s="31"/>
      <c r="I64" s="31"/>
      <c r="J64" s="31"/>
      <c r="K64" s="31"/>
      <c r="L64" s="31"/>
      <c r="M64" s="31"/>
      <c r="N64" s="31"/>
      <c r="O64" s="31"/>
      <c r="P64" s="31"/>
      <c r="Q64" s="31"/>
    </row>
    <row r="65" spans="1:17" s="23" customFormat="1" ht="25.5">
      <c r="A65" s="447">
        <v>42607</v>
      </c>
      <c r="B65" s="354" t="s">
        <v>272</v>
      </c>
      <c r="C65" s="23" t="s">
        <v>1143</v>
      </c>
      <c r="D65" s="23" t="s">
        <v>1146</v>
      </c>
      <c r="E65" s="31"/>
      <c r="F65" s="31"/>
      <c r="G65" s="31"/>
      <c r="H65" s="31"/>
      <c r="I65" s="31"/>
      <c r="J65" s="31"/>
      <c r="K65" s="31"/>
      <c r="L65" s="31"/>
      <c r="M65" s="31"/>
      <c r="N65" s="31"/>
      <c r="O65" s="31"/>
      <c r="P65" s="31"/>
      <c r="Q65" s="31"/>
    </row>
    <row r="66" spans="1:17" s="23" customFormat="1">
      <c r="A66" s="194"/>
      <c r="B66" s="354"/>
      <c r="E66" s="31"/>
      <c r="F66" s="31"/>
      <c r="G66" s="31"/>
      <c r="H66" s="31"/>
      <c r="I66" s="31"/>
      <c r="J66" s="31"/>
      <c r="K66" s="31"/>
      <c r="L66" s="31"/>
      <c r="M66" s="31"/>
      <c r="N66" s="31"/>
      <c r="O66" s="31"/>
      <c r="P66" s="31"/>
      <c r="Q66" s="31"/>
    </row>
    <row r="67" spans="1:17" s="23" customFormat="1" ht="25.5">
      <c r="A67" s="447">
        <v>42612</v>
      </c>
      <c r="B67" s="354"/>
      <c r="C67" s="432" t="s">
        <v>1147</v>
      </c>
      <c r="D67" s="23" t="s">
        <v>1148</v>
      </c>
      <c r="E67" s="31"/>
      <c r="F67" s="31"/>
      <c r="G67" s="31"/>
      <c r="H67" s="31"/>
      <c r="I67" s="31"/>
      <c r="J67" s="31"/>
      <c r="K67" s="31"/>
      <c r="L67" s="31"/>
      <c r="M67" s="31"/>
      <c r="N67" s="31"/>
      <c r="O67" s="31"/>
      <c r="P67" s="31"/>
      <c r="Q67" s="31"/>
    </row>
    <row r="68" spans="1:17" s="23" customFormat="1" ht="38.25">
      <c r="A68" s="447">
        <v>42632</v>
      </c>
      <c r="B68" s="354" t="s">
        <v>1153</v>
      </c>
      <c r="C68" s="23" t="s">
        <v>1154</v>
      </c>
      <c r="D68" s="23" t="s">
        <v>1155</v>
      </c>
      <c r="E68" s="31"/>
      <c r="F68" s="31"/>
      <c r="G68" s="31"/>
      <c r="H68" s="31"/>
      <c r="I68" s="31"/>
      <c r="J68" s="31"/>
      <c r="K68" s="31"/>
      <c r="L68" s="31"/>
      <c r="M68" s="31"/>
      <c r="N68" s="31"/>
      <c r="O68" s="31"/>
      <c r="P68" s="31"/>
      <c r="Q68" s="31"/>
    </row>
    <row r="69" spans="1:17" s="23" customFormat="1">
      <c r="A69" s="194"/>
      <c r="B69" s="354"/>
      <c r="E69" s="31"/>
      <c r="F69" s="31"/>
      <c r="G69" s="31"/>
      <c r="H69" s="31"/>
      <c r="I69" s="31"/>
      <c r="J69" s="31"/>
      <c r="K69" s="31"/>
      <c r="L69" s="31"/>
      <c r="M69" s="31"/>
      <c r="N69" s="31"/>
      <c r="O69" s="31"/>
      <c r="P69" s="31"/>
      <c r="Q69" s="31"/>
    </row>
    <row r="70" spans="1:17" s="23" customFormat="1" ht="38.25">
      <c r="A70" s="447">
        <v>42683</v>
      </c>
      <c r="B70" s="448" t="s">
        <v>272</v>
      </c>
      <c r="C70" s="442" t="s">
        <v>1159</v>
      </c>
      <c r="D70" s="442" t="s">
        <v>1264</v>
      </c>
      <c r="E70" s="31"/>
      <c r="F70" s="31"/>
      <c r="G70" s="31"/>
      <c r="H70" s="31"/>
      <c r="I70" s="31"/>
      <c r="J70" s="31"/>
      <c r="K70" s="31"/>
      <c r="L70" s="31"/>
      <c r="M70" s="31"/>
      <c r="N70" s="31"/>
      <c r="O70" s="31"/>
      <c r="P70" s="31"/>
      <c r="Q70" s="31"/>
    </row>
    <row r="71" spans="1:17" s="461" customFormat="1">
      <c r="A71" s="447"/>
      <c r="B71" s="462"/>
      <c r="E71" s="463"/>
      <c r="F71" s="463"/>
      <c r="G71" s="463"/>
      <c r="H71" s="463"/>
      <c r="I71" s="463"/>
      <c r="J71" s="463"/>
      <c r="K71" s="463"/>
      <c r="L71" s="463"/>
      <c r="M71" s="463"/>
      <c r="N71" s="463"/>
      <c r="O71" s="463"/>
      <c r="P71" s="463"/>
      <c r="Q71" s="463"/>
    </row>
    <row r="72" spans="1:17" s="23" customFormat="1" ht="52.35" customHeight="1">
      <c r="A72" s="447">
        <v>42775</v>
      </c>
      <c r="B72" s="23" t="s">
        <v>272</v>
      </c>
      <c r="C72" s="787" t="s">
        <v>1172</v>
      </c>
      <c r="D72" s="463" t="s">
        <v>1170</v>
      </c>
      <c r="E72" s="31"/>
      <c r="F72" s="31"/>
      <c r="G72" s="31"/>
      <c r="H72" s="31"/>
      <c r="I72" s="31"/>
      <c r="J72" s="31"/>
      <c r="K72" s="31"/>
      <c r="L72" s="31"/>
      <c r="M72" s="31"/>
      <c r="N72" s="31"/>
      <c r="O72" s="31"/>
      <c r="P72" s="31"/>
      <c r="Q72" s="31"/>
    </row>
    <row r="73" spans="1:17" s="23" customFormat="1">
      <c r="A73" s="447">
        <v>42776</v>
      </c>
      <c r="C73" s="787"/>
      <c r="D73" s="463" t="s">
        <v>1171</v>
      </c>
      <c r="E73" s="31"/>
      <c r="F73" s="31"/>
      <c r="G73" s="31"/>
      <c r="H73" s="31"/>
      <c r="I73" s="31"/>
      <c r="J73" s="31"/>
      <c r="K73" s="31"/>
      <c r="L73" s="31"/>
      <c r="M73" s="31"/>
      <c r="N73" s="31"/>
      <c r="O73" s="31"/>
      <c r="P73" s="31"/>
      <c r="Q73" s="31"/>
    </row>
    <row r="74" spans="1:17" s="23" customFormat="1">
      <c r="A74" s="447">
        <v>42780</v>
      </c>
      <c r="C74" s="787"/>
      <c r="D74" s="463" t="s">
        <v>1196</v>
      </c>
      <c r="E74" s="31"/>
      <c r="F74" s="31"/>
      <c r="G74" s="31"/>
      <c r="H74" s="31"/>
      <c r="I74" s="31"/>
      <c r="J74" s="31"/>
      <c r="K74" s="31"/>
      <c r="L74" s="31"/>
      <c r="M74" s="31"/>
      <c r="N74" s="31"/>
      <c r="O74" s="31"/>
      <c r="P74" s="31"/>
      <c r="Q74" s="31"/>
    </row>
    <row r="75" spans="1:17" s="23" customFormat="1">
      <c r="A75" s="194"/>
      <c r="B75" s="354"/>
      <c r="E75" s="31"/>
      <c r="F75" s="31"/>
      <c r="G75" s="31"/>
      <c r="H75" s="31"/>
      <c r="I75" s="31"/>
      <c r="J75" s="31"/>
      <c r="K75" s="31"/>
      <c r="L75" s="31"/>
      <c r="M75" s="31"/>
      <c r="N75" s="31"/>
      <c r="O75" s="31"/>
      <c r="P75" s="31"/>
      <c r="Q75" s="31"/>
    </row>
    <row r="76" spans="1:17" s="23" customFormat="1" ht="25.5">
      <c r="A76" s="447">
        <v>42804</v>
      </c>
      <c r="B76" s="513" t="s">
        <v>272</v>
      </c>
      <c r="C76" s="514" t="s">
        <v>336</v>
      </c>
      <c r="D76" s="514" t="s">
        <v>1179</v>
      </c>
      <c r="E76" s="31"/>
      <c r="F76" s="31"/>
      <c r="G76" s="31"/>
      <c r="H76" s="31"/>
      <c r="I76" s="31"/>
      <c r="J76" s="31"/>
      <c r="K76" s="31"/>
      <c r="L76" s="31"/>
      <c r="M76" s="31"/>
      <c r="N76" s="31"/>
      <c r="O76" s="31"/>
      <c r="P76" s="31"/>
      <c r="Q76" s="31"/>
    </row>
    <row r="77" spans="1:17" s="23" customFormat="1" ht="25.5">
      <c r="A77" s="447">
        <v>42818</v>
      </c>
      <c r="B77" s="554" t="s">
        <v>272</v>
      </c>
      <c r="C77" s="23" t="s">
        <v>1180</v>
      </c>
      <c r="D77" s="23" t="s">
        <v>1197</v>
      </c>
      <c r="E77" s="31"/>
      <c r="F77" s="31"/>
      <c r="G77" s="31"/>
      <c r="H77" s="31"/>
      <c r="I77" s="31"/>
      <c r="J77" s="31"/>
      <c r="K77" s="31"/>
      <c r="L77" s="31"/>
      <c r="M77" s="31"/>
      <c r="N77" s="31"/>
      <c r="O77" s="31"/>
      <c r="P77" s="31"/>
      <c r="Q77" s="31"/>
    </row>
    <row r="78" spans="1:17" s="552" customFormat="1" ht="20.45" customHeight="1">
      <c r="A78" s="707">
        <v>42825</v>
      </c>
      <c r="B78" s="554" t="s">
        <v>272</v>
      </c>
      <c r="C78" s="552" t="s">
        <v>1181</v>
      </c>
      <c r="D78" s="552" t="s">
        <v>1198</v>
      </c>
      <c r="E78" s="553"/>
      <c r="F78" s="553"/>
      <c r="G78" s="553"/>
      <c r="H78" s="553"/>
      <c r="I78" s="553"/>
      <c r="J78" s="553"/>
      <c r="K78" s="553"/>
      <c r="L78" s="553"/>
      <c r="M78" s="553"/>
      <c r="N78" s="553"/>
      <c r="O78" s="553"/>
      <c r="P78" s="553"/>
      <c r="Q78" s="553"/>
    </row>
    <row r="79" spans="1:17" s="23" customFormat="1" ht="11.45" customHeight="1">
      <c r="A79" s="194"/>
      <c r="B79" s="354"/>
      <c r="E79" s="31"/>
      <c r="F79" s="31"/>
      <c r="G79" s="31"/>
      <c r="H79" s="31"/>
      <c r="I79" s="31"/>
      <c r="J79" s="31"/>
      <c r="K79" s="31"/>
      <c r="L79" s="31"/>
      <c r="M79" s="31"/>
      <c r="N79" s="31"/>
      <c r="O79" s="31"/>
      <c r="P79" s="31"/>
      <c r="Q79" s="31"/>
    </row>
    <row r="80" spans="1:17" s="23" customFormat="1" ht="38.25">
      <c r="A80" s="447">
        <v>42835</v>
      </c>
      <c r="B80" s="554" t="s">
        <v>272</v>
      </c>
      <c r="C80" s="23" t="s">
        <v>1183</v>
      </c>
      <c r="D80" s="23" t="s">
        <v>1194</v>
      </c>
      <c r="E80" s="31"/>
      <c r="F80" s="31"/>
      <c r="G80" s="31"/>
      <c r="H80" s="31"/>
      <c r="I80" s="31"/>
      <c r="J80" s="31"/>
      <c r="K80" s="31"/>
      <c r="L80" s="31"/>
      <c r="M80" s="31"/>
      <c r="N80" s="31"/>
      <c r="O80" s="31"/>
      <c r="P80" s="31"/>
      <c r="Q80" s="31"/>
    </row>
    <row r="81" spans="1:17" s="23" customFormat="1" ht="15.6" customHeight="1">
      <c r="A81" s="194"/>
      <c r="B81" s="354"/>
      <c r="D81" s="23" t="s">
        <v>1193</v>
      </c>
      <c r="E81" s="31"/>
      <c r="F81" s="31"/>
      <c r="G81" s="31"/>
      <c r="H81" s="31"/>
      <c r="I81" s="31"/>
      <c r="J81" s="31"/>
      <c r="K81" s="31"/>
      <c r="L81" s="31"/>
      <c r="M81" s="31"/>
      <c r="N81" s="31"/>
      <c r="O81" s="31"/>
      <c r="P81" s="31"/>
      <c r="Q81" s="31"/>
    </row>
    <row r="82" spans="1:17" s="547" customFormat="1" ht="30" customHeight="1">
      <c r="A82" s="447">
        <v>42864</v>
      </c>
      <c r="B82" s="554" t="s">
        <v>272</v>
      </c>
      <c r="C82" s="547" t="s">
        <v>1195</v>
      </c>
      <c r="D82" s="547" t="s">
        <v>1199</v>
      </c>
      <c r="E82" s="548"/>
      <c r="F82" s="548"/>
      <c r="G82" s="548"/>
      <c r="H82" s="548"/>
      <c r="I82" s="548"/>
      <c r="J82" s="548"/>
      <c r="K82" s="548"/>
      <c r="L82" s="548"/>
      <c r="M82" s="548"/>
      <c r="N82" s="548"/>
      <c r="O82" s="548"/>
      <c r="P82" s="548"/>
      <c r="Q82" s="548"/>
    </row>
    <row r="83" spans="1:17" s="23" customFormat="1" ht="43.9" customHeight="1">
      <c r="A83" s="447">
        <v>42926</v>
      </c>
      <c r="B83" s="554" t="s">
        <v>272</v>
      </c>
      <c r="C83" s="23" t="s">
        <v>1265</v>
      </c>
      <c r="D83" s="23" t="s">
        <v>1266</v>
      </c>
      <c r="E83" s="31"/>
      <c r="F83" s="31"/>
      <c r="G83" s="31"/>
      <c r="H83" s="31"/>
      <c r="I83" s="31"/>
      <c r="J83" s="31"/>
      <c r="K83" s="31"/>
      <c r="L83" s="31"/>
      <c r="M83" s="31"/>
      <c r="N83" s="31"/>
      <c r="O83" s="31"/>
      <c r="P83" s="31"/>
      <c r="Q83" s="31"/>
    </row>
    <row r="84" spans="1:17" s="23" customFormat="1" ht="28.9" customHeight="1">
      <c r="A84" s="706">
        <v>42927</v>
      </c>
      <c r="B84" s="554" t="s">
        <v>272</v>
      </c>
      <c r="C84" s="547" t="s">
        <v>1265</v>
      </c>
      <c r="D84" s="549" t="s">
        <v>1267</v>
      </c>
      <c r="E84" s="31"/>
      <c r="F84" s="31"/>
      <c r="G84" s="31"/>
      <c r="H84" s="31"/>
      <c r="I84" s="31"/>
      <c r="J84" s="31"/>
      <c r="K84" s="31"/>
      <c r="L84" s="31"/>
      <c r="M84" s="31"/>
      <c r="N84" s="31"/>
      <c r="O84" s="31"/>
      <c r="P84" s="31"/>
      <c r="Q84" s="31"/>
    </row>
    <row r="85" spans="1:17" s="23" customFormat="1" ht="57.6" customHeight="1">
      <c r="A85" s="447">
        <v>43033</v>
      </c>
      <c r="B85" s="554" t="s">
        <v>272</v>
      </c>
      <c r="C85" s="551" t="s">
        <v>1180</v>
      </c>
      <c r="D85" s="23" t="s">
        <v>1200</v>
      </c>
      <c r="E85" s="31"/>
      <c r="F85" s="31"/>
      <c r="G85" s="31"/>
      <c r="H85" s="31"/>
      <c r="I85" s="31"/>
      <c r="J85" s="31"/>
      <c r="K85" s="31"/>
      <c r="L85" s="31"/>
      <c r="M85" s="31"/>
      <c r="N85" s="31"/>
      <c r="O85" s="31"/>
      <c r="P85" s="31"/>
      <c r="Q85" s="31"/>
    </row>
    <row r="86" spans="1:17" s="23" customFormat="1" ht="29.45" customHeight="1">
      <c r="A86" s="447">
        <v>43034</v>
      </c>
      <c r="B86" s="554" t="s">
        <v>272</v>
      </c>
      <c r="C86" s="551" t="s">
        <v>1265</v>
      </c>
      <c r="D86" s="551" t="s">
        <v>1351</v>
      </c>
      <c r="E86" s="31"/>
      <c r="F86" s="31"/>
      <c r="G86" s="31"/>
      <c r="H86" s="31"/>
      <c r="I86" s="31"/>
      <c r="J86" s="31"/>
      <c r="K86" s="31"/>
      <c r="L86" s="31"/>
      <c r="M86" s="31"/>
      <c r="N86" s="31"/>
      <c r="O86" s="31"/>
      <c r="P86" s="31"/>
      <c r="Q86" s="31"/>
    </row>
    <row r="87" spans="1:17" s="23" customFormat="1" ht="43.15" customHeight="1">
      <c r="A87" s="708">
        <v>43034</v>
      </c>
      <c r="B87" s="575" t="s">
        <v>272</v>
      </c>
      <c r="C87" s="576" t="s">
        <v>1265</v>
      </c>
      <c r="D87" s="576" t="s">
        <v>1268</v>
      </c>
      <c r="E87" s="31"/>
      <c r="F87" s="31"/>
      <c r="G87" s="31"/>
      <c r="H87" s="31"/>
      <c r="I87" s="31"/>
      <c r="J87" s="31"/>
      <c r="K87" s="31"/>
      <c r="L87" s="31"/>
      <c r="M87" s="31"/>
      <c r="N87" s="31"/>
      <c r="O87" s="31"/>
      <c r="P87" s="31"/>
      <c r="Q87" s="31"/>
    </row>
    <row r="88" spans="1:17" s="23" customFormat="1" ht="18.75" customHeight="1">
      <c r="A88" s="447">
        <v>43035</v>
      </c>
      <c r="B88" s="554" t="s">
        <v>272</v>
      </c>
      <c r="C88" s="23" t="s">
        <v>1201</v>
      </c>
      <c r="D88" s="23" t="s">
        <v>1202</v>
      </c>
      <c r="E88" s="31"/>
      <c r="F88" s="31"/>
      <c r="G88" s="31"/>
      <c r="H88" s="31"/>
      <c r="I88" s="31"/>
      <c r="J88" s="31"/>
      <c r="K88" s="31"/>
      <c r="L88" s="31"/>
      <c r="M88" s="31"/>
      <c r="N88" s="31"/>
      <c r="O88" s="31"/>
      <c r="P88" s="31"/>
      <c r="Q88" s="31"/>
    </row>
    <row r="89" spans="1:17" s="23" customFormat="1" ht="16.899999999999999" customHeight="1">
      <c r="A89" s="447">
        <v>43053</v>
      </c>
      <c r="B89" s="583" t="s">
        <v>272</v>
      </c>
      <c r="C89" s="23" t="s">
        <v>1217</v>
      </c>
      <c r="D89" s="23" t="s">
        <v>1218</v>
      </c>
      <c r="E89" s="31"/>
      <c r="F89" s="31"/>
      <c r="G89" s="31"/>
      <c r="H89" s="31"/>
      <c r="I89" s="31"/>
      <c r="J89" s="31"/>
      <c r="K89" s="31"/>
      <c r="L89" s="31"/>
      <c r="M89" s="31"/>
      <c r="N89" s="31"/>
      <c r="O89" s="31"/>
      <c r="P89" s="31"/>
      <c r="Q89" s="31"/>
    </row>
    <row r="90" spans="1:17" s="23" customFormat="1" ht="29.45" customHeight="1">
      <c r="A90" s="447">
        <v>43074</v>
      </c>
      <c r="B90" s="622" t="s">
        <v>272</v>
      </c>
      <c r="C90" s="621" t="s">
        <v>1217</v>
      </c>
      <c r="D90" s="624" t="s">
        <v>1269</v>
      </c>
      <c r="E90" s="31"/>
      <c r="F90" s="31"/>
      <c r="G90" s="31"/>
      <c r="H90" s="31"/>
      <c r="I90" s="31"/>
      <c r="J90" s="31"/>
      <c r="K90" s="31"/>
      <c r="L90" s="31"/>
      <c r="M90" s="31"/>
      <c r="N90" s="31"/>
      <c r="O90" s="31"/>
      <c r="P90" s="31"/>
      <c r="Q90" s="31"/>
    </row>
    <row r="91" spans="1:17" s="23" customFormat="1" ht="31.35" customHeight="1">
      <c r="A91" s="447">
        <v>43080</v>
      </c>
      <c r="B91" s="354" t="s">
        <v>272</v>
      </c>
      <c r="C91" s="23" t="s">
        <v>1242</v>
      </c>
      <c r="D91" s="23" t="s">
        <v>1270</v>
      </c>
      <c r="E91" s="31"/>
      <c r="F91" s="31"/>
      <c r="G91" s="31"/>
      <c r="H91" s="31"/>
      <c r="I91" s="31"/>
      <c r="J91" s="31"/>
      <c r="K91" s="31"/>
      <c r="L91" s="31"/>
      <c r="M91" s="31"/>
      <c r="N91" s="31"/>
      <c r="O91" s="31"/>
      <c r="P91" s="31"/>
      <c r="Q91" s="31"/>
    </row>
    <row r="92" spans="1:17" s="23" customFormat="1" ht="51">
      <c r="A92" s="447">
        <v>43116</v>
      </c>
      <c r="B92" s="354" t="s">
        <v>272</v>
      </c>
      <c r="C92" s="23" t="s">
        <v>1277</v>
      </c>
      <c r="D92" s="23" t="s">
        <v>1344</v>
      </c>
      <c r="E92" s="31"/>
      <c r="F92" s="31"/>
      <c r="G92" s="31"/>
      <c r="H92" s="31"/>
      <c r="I92" s="31"/>
      <c r="J92" s="31"/>
      <c r="K92" s="31"/>
      <c r="L92" s="31"/>
      <c r="M92" s="31"/>
      <c r="N92" s="31"/>
      <c r="O92" s="31"/>
      <c r="P92" s="31"/>
      <c r="Q92" s="31"/>
    </row>
    <row r="93" spans="1:17" s="23" customFormat="1" ht="89.25">
      <c r="A93" s="447">
        <v>43117</v>
      </c>
      <c r="B93" s="635" t="s">
        <v>272</v>
      </c>
      <c r="C93" s="23" t="s">
        <v>1282</v>
      </c>
      <c r="D93" s="23" t="s">
        <v>1347</v>
      </c>
      <c r="E93" s="31"/>
      <c r="F93" s="31"/>
      <c r="G93" s="31"/>
      <c r="H93" s="31"/>
      <c r="I93" s="31"/>
      <c r="J93" s="31"/>
      <c r="K93" s="31"/>
      <c r="L93" s="31"/>
      <c r="M93" s="31"/>
      <c r="N93" s="31"/>
      <c r="O93" s="31"/>
      <c r="P93" s="31"/>
      <c r="Q93" s="31"/>
    </row>
    <row r="94" spans="1:17" s="23" customFormat="1" ht="76.5">
      <c r="A94" s="447">
        <v>43138</v>
      </c>
      <c r="B94" s="354" t="s">
        <v>272</v>
      </c>
      <c r="C94" s="23" t="s">
        <v>1305</v>
      </c>
      <c r="D94" s="23" t="s">
        <v>1416</v>
      </c>
      <c r="E94" s="31"/>
      <c r="F94" s="31"/>
      <c r="G94" s="31"/>
      <c r="H94" s="31"/>
      <c r="I94" s="31"/>
      <c r="J94" s="31"/>
      <c r="K94" s="31"/>
      <c r="L94" s="31"/>
      <c r="M94" s="31"/>
      <c r="N94" s="31"/>
      <c r="O94" s="31"/>
      <c r="P94" s="31"/>
      <c r="Q94" s="31"/>
    </row>
    <row r="95" spans="1:17" s="23" customFormat="1">
      <c r="A95" s="194"/>
      <c r="B95" s="354"/>
      <c r="E95" s="31"/>
      <c r="F95" s="31"/>
      <c r="G95" s="31"/>
      <c r="H95" s="31"/>
      <c r="I95" s="31"/>
      <c r="J95" s="31"/>
      <c r="K95" s="31"/>
      <c r="L95" s="31"/>
      <c r="M95" s="31"/>
      <c r="N95" s="31"/>
      <c r="O95" s="31"/>
      <c r="P95" s="31"/>
      <c r="Q95" s="31"/>
    </row>
    <row r="96" spans="1:17" s="23" customFormat="1" ht="125.1" customHeight="1">
      <c r="A96" s="447">
        <v>43290</v>
      </c>
      <c r="B96" s="354" t="s">
        <v>272</v>
      </c>
      <c r="C96" s="23" t="s">
        <v>1357</v>
      </c>
      <c r="D96" s="23" t="s">
        <v>1415</v>
      </c>
      <c r="E96" s="31"/>
      <c r="F96" s="31"/>
      <c r="G96" s="31"/>
      <c r="H96" s="31"/>
      <c r="I96" s="31"/>
      <c r="J96" s="31"/>
      <c r="K96" s="31"/>
      <c r="L96" s="31"/>
      <c r="M96" s="31"/>
      <c r="N96" s="31"/>
      <c r="O96" s="31"/>
      <c r="P96" s="31"/>
      <c r="Q96" s="31"/>
    </row>
    <row r="97" spans="1:17" s="23" customFormat="1" ht="102">
      <c r="A97" s="447">
        <v>43291</v>
      </c>
      <c r="B97" s="354" t="s">
        <v>272</v>
      </c>
      <c r="C97" s="23" t="s">
        <v>1374</v>
      </c>
      <c r="D97" s="23" t="s">
        <v>1395</v>
      </c>
      <c r="E97" s="31"/>
      <c r="F97" s="31"/>
      <c r="G97" s="31"/>
      <c r="H97" s="31"/>
      <c r="I97" s="31"/>
      <c r="J97" s="31"/>
      <c r="K97" s="31"/>
      <c r="L97" s="31"/>
      <c r="M97" s="31"/>
      <c r="N97" s="31"/>
      <c r="O97" s="31"/>
      <c r="P97" s="31"/>
      <c r="Q97" s="31"/>
    </row>
    <row r="98" spans="1:17" s="23" customFormat="1">
      <c r="A98" s="194"/>
      <c r="B98" s="354"/>
      <c r="E98" s="31"/>
      <c r="F98" s="31"/>
      <c r="G98" s="31"/>
      <c r="H98" s="31"/>
      <c r="I98" s="31"/>
      <c r="J98" s="31"/>
      <c r="K98" s="31"/>
      <c r="L98" s="31"/>
      <c r="M98" s="31"/>
      <c r="N98" s="31"/>
      <c r="O98" s="31"/>
      <c r="P98" s="31"/>
      <c r="Q98" s="31"/>
    </row>
    <row r="99" spans="1:17" s="23" customFormat="1" ht="25.5">
      <c r="A99" s="447">
        <v>43293</v>
      </c>
      <c r="B99" s="354"/>
      <c r="C99" s="23" t="s">
        <v>1411</v>
      </c>
      <c r="D99" s="23" t="s">
        <v>1410</v>
      </c>
      <c r="E99" s="31"/>
      <c r="F99" s="31"/>
      <c r="G99" s="31"/>
      <c r="H99" s="31"/>
      <c r="I99" s="31"/>
      <c r="J99" s="31"/>
      <c r="K99" s="31"/>
      <c r="L99" s="31"/>
      <c r="M99" s="31"/>
      <c r="N99" s="31"/>
      <c r="O99" s="31"/>
      <c r="P99" s="31"/>
      <c r="Q99" s="31"/>
    </row>
    <row r="100" spans="1:17" s="23" customFormat="1">
      <c r="A100" s="194"/>
      <c r="B100" s="354"/>
      <c r="E100" s="31"/>
      <c r="F100" s="31"/>
      <c r="G100" s="31"/>
      <c r="H100" s="31"/>
      <c r="I100" s="31"/>
      <c r="J100" s="31"/>
      <c r="K100" s="31"/>
      <c r="L100" s="31"/>
      <c r="M100" s="31"/>
      <c r="N100" s="31"/>
      <c r="O100" s="31"/>
      <c r="P100" s="31"/>
      <c r="Q100" s="31"/>
    </row>
    <row r="101" spans="1:17" s="23" customFormat="1">
      <c r="A101" s="194"/>
      <c r="B101" s="354"/>
      <c r="E101" s="31"/>
      <c r="F101" s="31"/>
      <c r="G101" s="31"/>
      <c r="H101" s="31"/>
      <c r="I101" s="31"/>
      <c r="J101" s="31"/>
      <c r="K101" s="31"/>
      <c r="L101" s="31"/>
      <c r="M101" s="31"/>
      <c r="N101" s="31"/>
      <c r="O101" s="31"/>
      <c r="P101" s="31"/>
      <c r="Q101" s="31"/>
    </row>
    <row r="102" spans="1:17" s="23" customFormat="1">
      <c r="A102" s="194"/>
      <c r="B102" s="354"/>
      <c r="E102" s="31"/>
      <c r="F102" s="31"/>
      <c r="G102" s="31"/>
      <c r="H102" s="31"/>
      <c r="I102" s="31"/>
      <c r="J102" s="31"/>
      <c r="K102" s="31"/>
      <c r="L102" s="31"/>
      <c r="M102" s="31"/>
      <c r="N102" s="31"/>
      <c r="O102" s="31"/>
      <c r="P102" s="31"/>
      <c r="Q102" s="31"/>
    </row>
    <row r="103" spans="1:17" s="23" customFormat="1">
      <c r="A103" s="194"/>
      <c r="B103" s="354"/>
      <c r="E103" s="31"/>
      <c r="F103" s="31"/>
      <c r="G103" s="31"/>
      <c r="H103" s="31"/>
      <c r="I103" s="31"/>
      <c r="J103" s="31"/>
      <c r="K103" s="31"/>
      <c r="L103" s="31"/>
      <c r="M103" s="31"/>
      <c r="N103" s="31"/>
      <c r="O103" s="31"/>
      <c r="P103" s="31"/>
      <c r="Q103" s="31"/>
    </row>
    <row r="104" spans="1:17" s="23" customFormat="1">
      <c r="A104" s="194"/>
      <c r="B104" s="354"/>
      <c r="E104" s="31"/>
      <c r="F104" s="31"/>
      <c r="G104" s="31"/>
      <c r="H104" s="31"/>
      <c r="I104" s="31"/>
      <c r="J104" s="31"/>
      <c r="K104" s="31"/>
      <c r="L104" s="31"/>
      <c r="M104" s="31"/>
      <c r="N104" s="31"/>
      <c r="O104" s="31"/>
      <c r="P104" s="31"/>
      <c r="Q104" s="31"/>
    </row>
    <row r="105" spans="1:17">
      <c r="C105" s="23"/>
    </row>
    <row r="106" spans="1:17">
      <c r="C106" s="23"/>
    </row>
    <row r="107" spans="1:17">
      <c r="C107" s="23"/>
    </row>
    <row r="108" spans="1:17">
      <c r="C108" s="23"/>
    </row>
    <row r="109" spans="1:17">
      <c r="C109" s="23"/>
    </row>
    <row r="110" spans="1:17">
      <c r="C110" s="23"/>
    </row>
    <row r="111" spans="1:17">
      <c r="C111" s="23"/>
    </row>
    <row r="112" spans="1:17">
      <c r="C112" s="23"/>
    </row>
    <row r="113" spans="1:4">
      <c r="C113" s="23"/>
    </row>
    <row r="114" spans="1:4">
      <c r="C114" s="23"/>
    </row>
    <row r="115" spans="1:4">
      <c r="C115" s="23"/>
    </row>
    <row r="116" spans="1:4">
      <c r="C116" s="23"/>
    </row>
    <row r="117" spans="1:4">
      <c r="C117" s="23"/>
    </row>
    <row r="118" spans="1:4" ht="15">
      <c r="A118" s="362" t="s">
        <v>246</v>
      </c>
      <c r="B118" s="365"/>
      <c r="C118" s="25"/>
      <c r="D118" s="43"/>
    </row>
  </sheetData>
  <mergeCells count="1">
    <mergeCell ref="C72:C74"/>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3"/>
  <dimension ref="B1:F222"/>
  <sheetViews>
    <sheetView topLeftCell="A100" workbookViewId="0">
      <selection activeCell="F108" sqref="F108"/>
    </sheetView>
  </sheetViews>
  <sheetFormatPr defaultColWidth="10.7109375" defaultRowHeight="12.75"/>
  <cols>
    <col min="1" max="1" width="2.7109375" style="226" customWidth="1"/>
    <col min="2" max="3" width="12.7109375" style="235" customWidth="1"/>
    <col min="4" max="4" width="21.28515625" style="235" customWidth="1"/>
    <col min="5" max="5" width="11" style="235" customWidth="1"/>
    <col min="6" max="7" width="10.7109375" style="226" customWidth="1"/>
    <col min="8" max="8" width="10.7109375" style="226"/>
    <col min="9" max="9" width="10.7109375" style="226" customWidth="1"/>
    <col min="10" max="16384" width="10.7109375" style="226"/>
  </cols>
  <sheetData>
    <row r="1" spans="2:5" ht="32.1" customHeight="1">
      <c r="B1" s="270" t="s">
        <v>633</v>
      </c>
      <c r="C1" s="225"/>
      <c r="D1" s="225"/>
      <c r="E1" s="225"/>
    </row>
    <row r="2" spans="2:5" ht="13.5">
      <c r="B2" s="227" t="s">
        <v>634</v>
      </c>
      <c r="C2" s="228"/>
      <c r="D2" s="229"/>
      <c r="E2" s="230" t="s">
        <v>635</v>
      </c>
    </row>
    <row r="3" spans="2:5" ht="13.5">
      <c r="B3" s="231" t="s">
        <v>636</v>
      </c>
      <c r="C3" s="232" t="s">
        <v>637</v>
      </c>
      <c r="D3" s="233" t="s">
        <v>638</v>
      </c>
      <c r="E3" s="234" t="s">
        <v>639</v>
      </c>
    </row>
    <row r="4" spans="2:5">
      <c r="D4" s="236"/>
    </row>
    <row r="5" spans="2:5" ht="15.75">
      <c r="B5" s="237" t="s">
        <v>640</v>
      </c>
      <c r="C5" s="237"/>
      <c r="D5" s="237"/>
      <c r="E5" s="237"/>
    </row>
    <row r="6" spans="2:5">
      <c r="B6" s="226" t="s">
        <v>641</v>
      </c>
      <c r="C6" s="226" t="s">
        <v>642</v>
      </c>
      <c r="D6" s="226" t="s">
        <v>643</v>
      </c>
      <c r="E6" s="238">
        <f>1/E8</f>
        <v>0.39370078740157477</v>
      </c>
    </row>
    <row r="7" spans="2:5">
      <c r="B7" s="226" t="s">
        <v>644</v>
      </c>
      <c r="C7" s="226" t="s">
        <v>645</v>
      </c>
      <c r="D7" s="226" t="s">
        <v>646</v>
      </c>
      <c r="E7" s="62">
        <v>0.30480000000000002</v>
      </c>
    </row>
    <row r="8" spans="2:5">
      <c r="B8" s="226" t="s">
        <v>642</v>
      </c>
      <c r="C8" s="226" t="s">
        <v>641</v>
      </c>
      <c r="D8" s="226" t="s">
        <v>647</v>
      </c>
      <c r="E8" s="239">
        <f>E9/10</f>
        <v>2.54</v>
      </c>
    </row>
    <row r="9" spans="2:5">
      <c r="B9" s="226" t="s">
        <v>642</v>
      </c>
      <c r="C9" s="226" t="s">
        <v>648</v>
      </c>
      <c r="D9" s="226" t="s">
        <v>649</v>
      </c>
      <c r="E9" s="62">
        <v>25.4</v>
      </c>
    </row>
    <row r="10" spans="2:5">
      <c r="B10" s="226" t="s">
        <v>650</v>
      </c>
      <c r="C10" s="226" t="s">
        <v>651</v>
      </c>
      <c r="D10" s="226" t="s">
        <v>652</v>
      </c>
      <c r="E10" s="238">
        <f>1/E11</f>
        <v>0.62150403977625857</v>
      </c>
    </row>
    <row r="11" spans="2:5">
      <c r="B11" s="226" t="s">
        <v>651</v>
      </c>
      <c r="C11" s="226" t="s">
        <v>650</v>
      </c>
      <c r="D11" s="226" t="s">
        <v>653</v>
      </c>
      <c r="E11" s="62">
        <v>1.609</v>
      </c>
    </row>
    <row r="12" spans="2:5">
      <c r="B12" s="226" t="s">
        <v>648</v>
      </c>
      <c r="C12" s="226" t="s">
        <v>642</v>
      </c>
      <c r="D12" s="226" t="s">
        <v>654</v>
      </c>
      <c r="E12" s="240">
        <f>1/E9</f>
        <v>3.937007874015748E-2</v>
      </c>
    </row>
    <row r="13" spans="2:5">
      <c r="B13" s="226"/>
      <c r="C13" s="226"/>
      <c r="D13" s="226"/>
      <c r="E13" s="226"/>
    </row>
    <row r="14" spans="2:5" ht="15.75">
      <c r="B14" s="237" t="s">
        <v>655</v>
      </c>
      <c r="C14" s="237"/>
      <c r="D14" s="237"/>
      <c r="E14" s="237"/>
    </row>
    <row r="15" spans="2:5">
      <c r="B15" s="226" t="s">
        <v>656</v>
      </c>
      <c r="C15" s="226" t="s">
        <v>657</v>
      </c>
      <c r="D15" s="226" t="s">
        <v>658</v>
      </c>
      <c r="E15" s="62">
        <v>2.2049999999999999E-3</v>
      </c>
    </row>
    <row r="16" spans="2:5">
      <c r="B16" s="226" t="s">
        <v>659</v>
      </c>
      <c r="C16" s="226" t="s">
        <v>656</v>
      </c>
      <c r="D16" s="226" t="s">
        <v>660</v>
      </c>
      <c r="E16" s="62">
        <v>1000</v>
      </c>
    </row>
    <row r="17" spans="2:5">
      <c r="B17" s="226" t="s">
        <v>659</v>
      </c>
      <c r="C17" s="226" t="s">
        <v>657</v>
      </c>
      <c r="D17" s="226" t="s">
        <v>661</v>
      </c>
      <c r="E17" s="239">
        <f>1/E19</f>
        <v>2.204585537918871</v>
      </c>
    </row>
    <row r="18" spans="2:5">
      <c r="B18" s="226" t="s">
        <v>657</v>
      </c>
      <c r="C18" s="226" t="s">
        <v>656</v>
      </c>
      <c r="D18" s="226" t="s">
        <v>662</v>
      </c>
      <c r="E18" s="241">
        <f>lbTOkg*1000</f>
        <v>453.6</v>
      </c>
    </row>
    <row r="19" spans="2:5">
      <c r="B19" s="226" t="s">
        <v>657</v>
      </c>
      <c r="C19" s="226" t="s">
        <v>659</v>
      </c>
      <c r="D19" s="226" t="s">
        <v>663</v>
      </c>
      <c r="E19" s="62">
        <v>0.4536</v>
      </c>
    </row>
    <row r="20" spans="2:5">
      <c r="B20" s="226" t="s">
        <v>657</v>
      </c>
      <c r="C20" s="226" t="s">
        <v>664</v>
      </c>
      <c r="D20" s="226" t="s">
        <v>665</v>
      </c>
      <c r="E20" s="242">
        <f>lbTOkg/1000</f>
        <v>4.5360000000000002E-4</v>
      </c>
    </row>
    <row r="21" spans="2:5">
      <c r="B21" s="226" t="s">
        <v>657</v>
      </c>
      <c r="C21" s="226" t="s">
        <v>666</v>
      </c>
      <c r="D21" s="226" t="s">
        <v>667</v>
      </c>
      <c r="E21" s="242">
        <f>1/E26</f>
        <v>5.0000000000000001E-4</v>
      </c>
    </row>
    <row r="22" spans="2:5">
      <c r="B22" s="226" t="s">
        <v>664</v>
      </c>
      <c r="C22" s="226" t="s">
        <v>659</v>
      </c>
      <c r="D22" s="226" t="s">
        <v>668</v>
      </c>
      <c r="E22" s="62">
        <v>1000</v>
      </c>
    </row>
    <row r="23" spans="2:5">
      <c r="B23" s="226" t="s">
        <v>664</v>
      </c>
      <c r="C23" s="226" t="s">
        <v>666</v>
      </c>
      <c r="D23" s="226" t="s">
        <v>669</v>
      </c>
      <c r="E23" s="239">
        <f>1/E28</f>
        <v>1.1023170704821534</v>
      </c>
    </row>
    <row r="24" spans="2:5">
      <c r="B24" s="226" t="s">
        <v>657</v>
      </c>
      <c r="C24" s="226" t="s">
        <v>670</v>
      </c>
      <c r="D24" s="226" t="s">
        <v>671</v>
      </c>
      <c r="E24" s="62">
        <v>16</v>
      </c>
    </row>
    <row r="25" spans="2:5">
      <c r="B25" s="226" t="s">
        <v>670</v>
      </c>
      <c r="C25" s="226" t="s">
        <v>659</v>
      </c>
      <c r="D25" s="226" t="s">
        <v>672</v>
      </c>
      <c r="E25" s="243">
        <f>lbTOkg/lbTOoz</f>
        <v>2.835E-2</v>
      </c>
    </row>
    <row r="26" spans="2:5">
      <c r="B26" s="226" t="s">
        <v>666</v>
      </c>
      <c r="C26" s="226" t="s">
        <v>657</v>
      </c>
      <c r="D26" s="226" t="s">
        <v>673</v>
      </c>
      <c r="E26" s="62">
        <v>2000</v>
      </c>
    </row>
    <row r="27" spans="2:5">
      <c r="B27" s="226" t="s">
        <v>666</v>
      </c>
      <c r="C27" s="226" t="s">
        <v>659</v>
      </c>
      <c r="D27" s="226" t="s">
        <v>674</v>
      </c>
      <c r="E27" s="241">
        <f>tonTOMg*1000</f>
        <v>907.18</v>
      </c>
    </row>
    <row r="28" spans="2:5">
      <c r="B28" s="226" t="s">
        <v>666</v>
      </c>
      <c r="C28" s="226" t="s">
        <v>664</v>
      </c>
      <c r="D28" s="226" t="s">
        <v>675</v>
      </c>
      <c r="E28" s="62">
        <v>0.90717999999999999</v>
      </c>
    </row>
    <row r="29" spans="2:5">
      <c r="E29" s="244"/>
    </row>
    <row r="30" spans="2:5" ht="15.75">
      <c r="B30" s="237" t="s">
        <v>676</v>
      </c>
      <c r="C30" s="237"/>
      <c r="D30" s="237"/>
      <c r="E30" s="237"/>
    </row>
    <row r="31" spans="2:5">
      <c r="B31" s="226" t="s">
        <v>677</v>
      </c>
      <c r="C31" s="226" t="s">
        <v>678</v>
      </c>
      <c r="D31" s="226" t="s">
        <v>679</v>
      </c>
      <c r="E31" s="139">
        <v>1440</v>
      </c>
    </row>
    <row r="32" spans="2:5">
      <c r="B32" s="226" t="s">
        <v>677</v>
      </c>
      <c r="C32" s="226" t="s">
        <v>509</v>
      </c>
      <c r="D32" s="226" t="s">
        <v>680</v>
      </c>
      <c r="E32" s="245">
        <f>1/E43</f>
        <v>2.7379257474537291E-3</v>
      </c>
    </row>
    <row r="33" spans="2:5">
      <c r="B33" s="226" t="s">
        <v>681</v>
      </c>
      <c r="C33" s="226" t="s">
        <v>677</v>
      </c>
      <c r="D33" s="226" t="s">
        <v>682</v>
      </c>
      <c r="E33" s="246">
        <v>4.1669999999999999E-2</v>
      </c>
    </row>
    <row r="34" spans="2:5">
      <c r="B34" s="226" t="s">
        <v>681</v>
      </c>
      <c r="C34" s="226" t="s">
        <v>678</v>
      </c>
      <c r="D34" s="226" t="s">
        <v>683</v>
      </c>
      <c r="E34" s="139">
        <v>60</v>
      </c>
    </row>
    <row r="35" spans="2:5">
      <c r="B35" s="226" t="s">
        <v>681</v>
      </c>
      <c r="C35" s="226" t="s">
        <v>684</v>
      </c>
      <c r="D35" s="226" t="s">
        <v>685</v>
      </c>
      <c r="E35" s="62">
        <v>3600</v>
      </c>
    </row>
    <row r="36" spans="2:5">
      <c r="B36" s="226" t="s">
        <v>681</v>
      </c>
      <c r="C36" s="226" t="s">
        <v>509</v>
      </c>
      <c r="D36" s="226" t="s">
        <v>686</v>
      </c>
      <c r="E36" s="242">
        <f>1/E44</f>
        <v>1.1415525114155251E-4</v>
      </c>
    </row>
    <row r="37" spans="2:5">
      <c r="B37" s="226" t="s">
        <v>678</v>
      </c>
      <c r="C37" s="226" t="s">
        <v>677</v>
      </c>
      <c r="D37" s="226" t="s">
        <v>687</v>
      </c>
      <c r="E37" s="247">
        <f>1/dayTOmin</f>
        <v>6.9444444444444447E-4</v>
      </c>
    </row>
    <row r="38" spans="2:5">
      <c r="B38" s="226" t="s">
        <v>688</v>
      </c>
      <c r="C38" s="226" t="s">
        <v>677</v>
      </c>
      <c r="D38" s="226" t="s">
        <v>689</v>
      </c>
      <c r="E38" s="248">
        <f>yrTOday/yrTOmo</f>
        <v>30.436666666666667</v>
      </c>
    </row>
    <row r="39" spans="2:5">
      <c r="B39" s="226" t="s">
        <v>688</v>
      </c>
      <c r="C39" s="226" t="s">
        <v>509</v>
      </c>
      <c r="D39" s="226" t="s">
        <v>690</v>
      </c>
      <c r="E39" s="243">
        <f>1/yrTOmo</f>
        <v>8.3333333333333329E-2</v>
      </c>
    </row>
    <row r="40" spans="2:5">
      <c r="B40" s="226" t="s">
        <v>684</v>
      </c>
      <c r="C40" s="226" t="s">
        <v>677</v>
      </c>
      <c r="D40" s="226" t="s">
        <v>691</v>
      </c>
      <c r="E40" s="249">
        <v>1.1574E-5</v>
      </c>
    </row>
    <row r="41" spans="2:5">
      <c r="B41" s="226" t="s">
        <v>684</v>
      </c>
      <c r="C41" s="226" t="s">
        <v>681</v>
      </c>
      <c r="D41" s="226" t="s">
        <v>692</v>
      </c>
      <c r="E41" s="242">
        <f>1/E35</f>
        <v>2.7777777777777778E-4</v>
      </c>
    </row>
    <row r="42" spans="2:5">
      <c r="B42" s="226" t="s">
        <v>684</v>
      </c>
      <c r="C42" s="226" t="s">
        <v>509</v>
      </c>
      <c r="D42" s="226" t="s">
        <v>693</v>
      </c>
      <c r="E42" s="250">
        <f>1/E46</f>
        <v>3.1709791983764586E-8</v>
      </c>
    </row>
    <row r="43" spans="2:5">
      <c r="B43" s="226" t="s">
        <v>509</v>
      </c>
      <c r="C43" s="226" t="s">
        <v>677</v>
      </c>
      <c r="D43" s="226" t="s">
        <v>694</v>
      </c>
      <c r="E43" s="251">
        <v>365.24</v>
      </c>
    </row>
    <row r="44" spans="2:5">
      <c r="B44" s="226" t="s">
        <v>509</v>
      </c>
      <c r="C44" s="226" t="s">
        <v>681</v>
      </c>
      <c r="D44" s="226" t="s">
        <v>695</v>
      </c>
      <c r="E44" s="62">
        <v>8760</v>
      </c>
    </row>
    <row r="45" spans="2:5">
      <c r="B45" s="226" t="s">
        <v>509</v>
      </c>
      <c r="C45" s="226" t="s">
        <v>688</v>
      </c>
      <c r="D45" s="226" t="s">
        <v>696</v>
      </c>
      <c r="E45" s="62">
        <v>12</v>
      </c>
    </row>
    <row r="46" spans="2:5">
      <c r="B46" s="226" t="s">
        <v>509</v>
      </c>
      <c r="C46" s="226" t="s">
        <v>684</v>
      </c>
      <c r="D46" s="226" t="s">
        <v>697</v>
      </c>
      <c r="E46" s="250">
        <f>yrTOhr*hrTOs</f>
        <v>31536000</v>
      </c>
    </row>
    <row r="47" spans="2:5">
      <c r="B47" s="226"/>
      <c r="C47" s="226"/>
      <c r="D47" s="226"/>
      <c r="E47" s="226"/>
    </row>
    <row r="48" spans="2:5" ht="15.75">
      <c r="B48" s="237" t="s">
        <v>698</v>
      </c>
      <c r="C48" s="237"/>
      <c r="D48" s="237"/>
      <c r="E48" s="237"/>
    </row>
    <row r="49" spans="2:5">
      <c r="B49" s="226" t="s">
        <v>699</v>
      </c>
      <c r="C49" s="226" t="s">
        <v>700</v>
      </c>
      <c r="D49" s="226" t="s">
        <v>701</v>
      </c>
      <c r="E49" s="62">
        <v>43560</v>
      </c>
    </row>
    <row r="50" spans="2:5">
      <c r="B50" s="226" t="s">
        <v>699</v>
      </c>
      <c r="C50" s="226" t="s">
        <v>702</v>
      </c>
      <c r="D50" s="226" t="s">
        <v>703</v>
      </c>
      <c r="E50" s="62">
        <v>0.40468700000000002</v>
      </c>
    </row>
    <row r="51" spans="2:5">
      <c r="B51" s="226" t="s">
        <v>699</v>
      </c>
      <c r="C51" s="226" t="s">
        <v>704</v>
      </c>
      <c r="D51" s="226" t="s">
        <v>705</v>
      </c>
      <c r="E51" s="62">
        <v>4.0468600000000002E-3</v>
      </c>
    </row>
    <row r="52" spans="2:5">
      <c r="B52" s="226" t="s">
        <v>699</v>
      </c>
      <c r="C52" s="226" t="s">
        <v>706</v>
      </c>
      <c r="D52" s="226" t="s">
        <v>707</v>
      </c>
      <c r="E52" s="62">
        <v>4046.856421</v>
      </c>
    </row>
    <row r="53" spans="2:5">
      <c r="B53" s="226" t="s">
        <v>699</v>
      </c>
      <c r="C53" s="226" t="s">
        <v>708</v>
      </c>
      <c r="D53" s="226" t="s">
        <v>709</v>
      </c>
      <c r="E53" s="62">
        <v>1.5625000000000001E-3</v>
      </c>
    </row>
    <row r="54" spans="2:5">
      <c r="B54" s="226" t="s">
        <v>700</v>
      </c>
      <c r="C54" s="226" t="s">
        <v>706</v>
      </c>
      <c r="D54" s="226" t="s">
        <v>710</v>
      </c>
      <c r="E54" s="62">
        <v>9.2899999999999996E-2</v>
      </c>
    </row>
    <row r="55" spans="2:5">
      <c r="B55" s="226" t="s">
        <v>700</v>
      </c>
      <c r="C55" s="226" t="s">
        <v>711</v>
      </c>
      <c r="D55" s="226" t="s">
        <v>712</v>
      </c>
      <c r="E55" s="252">
        <f>1/E67</f>
        <v>0.1111111111111111</v>
      </c>
    </row>
    <row r="56" spans="2:5">
      <c r="B56" s="226" t="s">
        <v>702</v>
      </c>
      <c r="C56" s="226" t="s">
        <v>699</v>
      </c>
      <c r="D56" s="226" t="s">
        <v>713</v>
      </c>
      <c r="E56" s="239">
        <f>1/E50</f>
        <v>2.4710455240716898</v>
      </c>
    </row>
    <row r="57" spans="2:5">
      <c r="B57" s="226" t="s">
        <v>702</v>
      </c>
      <c r="C57" s="226" t="s">
        <v>704</v>
      </c>
      <c r="D57" s="226" t="s">
        <v>714</v>
      </c>
      <c r="E57" s="251">
        <v>0.01</v>
      </c>
    </row>
    <row r="58" spans="2:5">
      <c r="B58" s="226" t="s">
        <v>704</v>
      </c>
      <c r="C58" s="226" t="s">
        <v>699</v>
      </c>
      <c r="D58" s="226" t="s">
        <v>715</v>
      </c>
      <c r="E58" s="241">
        <f>1/acreTOkm2</f>
        <v>247.10516301527602</v>
      </c>
    </row>
    <row r="59" spans="2:5">
      <c r="B59" s="226" t="s">
        <v>704</v>
      </c>
      <c r="C59" s="226" t="s">
        <v>702</v>
      </c>
      <c r="D59" s="226" t="s">
        <v>716</v>
      </c>
      <c r="E59" s="241">
        <f>1/haTOkm2</f>
        <v>100</v>
      </c>
    </row>
    <row r="60" spans="2:5">
      <c r="B60" s="226" t="s">
        <v>704</v>
      </c>
      <c r="C60" s="226" t="s">
        <v>706</v>
      </c>
      <c r="D60" s="226" t="s">
        <v>717</v>
      </c>
      <c r="E60" s="253">
        <v>1000000</v>
      </c>
    </row>
    <row r="61" spans="2:5">
      <c r="B61" s="226" t="s">
        <v>704</v>
      </c>
      <c r="C61" s="226" t="s">
        <v>708</v>
      </c>
      <c r="D61" s="226" t="s">
        <v>718</v>
      </c>
      <c r="E61" s="254">
        <v>0.3861</v>
      </c>
    </row>
    <row r="62" spans="2:5">
      <c r="B62" s="226" t="s">
        <v>706</v>
      </c>
      <c r="C62" s="226" t="s">
        <v>699</v>
      </c>
      <c r="D62" s="226" t="s">
        <v>719</v>
      </c>
      <c r="E62" s="242">
        <f>1/E52</f>
        <v>2.4710538155265082E-4</v>
      </c>
    </row>
    <row r="63" spans="2:5">
      <c r="B63" s="226" t="s">
        <v>706</v>
      </c>
      <c r="C63" s="226" t="s">
        <v>700</v>
      </c>
      <c r="D63" s="226" t="s">
        <v>720</v>
      </c>
      <c r="E63" s="255">
        <f>1/E54</f>
        <v>10.764262648008613</v>
      </c>
    </row>
    <row r="64" spans="2:5">
      <c r="B64" s="226" t="s">
        <v>706</v>
      </c>
      <c r="C64" s="226" t="s">
        <v>702</v>
      </c>
      <c r="D64" s="226" t="s">
        <v>721</v>
      </c>
      <c r="E64" s="62">
        <v>1E-4</v>
      </c>
    </row>
    <row r="65" spans="2:5">
      <c r="B65" s="226" t="s">
        <v>706</v>
      </c>
      <c r="C65" s="226" t="s">
        <v>704</v>
      </c>
      <c r="D65" s="226" t="s">
        <v>722</v>
      </c>
      <c r="E65" s="249">
        <v>9.9999999999999995E-7</v>
      </c>
    </row>
    <row r="66" spans="2:5">
      <c r="B66" s="226" t="s">
        <v>708</v>
      </c>
      <c r="C66" s="226" t="s">
        <v>699</v>
      </c>
      <c r="D66" s="226" t="s">
        <v>723</v>
      </c>
      <c r="E66" s="256">
        <f>1/E53</f>
        <v>640</v>
      </c>
    </row>
    <row r="67" spans="2:5">
      <c r="B67" s="226" t="s">
        <v>711</v>
      </c>
      <c r="C67" s="226" t="s">
        <v>700</v>
      </c>
      <c r="D67" s="226" t="s">
        <v>724</v>
      </c>
      <c r="E67" s="139">
        <v>9</v>
      </c>
    </row>
    <row r="68" spans="2:5">
      <c r="B68" s="226" t="s">
        <v>708</v>
      </c>
      <c r="C68" s="226" t="s">
        <v>704</v>
      </c>
      <c r="D68" s="226" t="s">
        <v>725</v>
      </c>
      <c r="E68" s="246">
        <v>2.5899899999999998</v>
      </c>
    </row>
    <row r="69" spans="2:5">
      <c r="B69" s="226"/>
      <c r="C69" s="226"/>
      <c r="D69" s="226"/>
      <c r="E69" s="226"/>
    </row>
    <row r="70" spans="2:5" ht="15.75">
      <c r="B70" s="237" t="s">
        <v>726</v>
      </c>
      <c r="C70" s="237"/>
      <c r="D70" s="237"/>
      <c r="E70" s="237"/>
    </row>
    <row r="71" spans="2:5">
      <c r="B71" s="226" t="s">
        <v>727</v>
      </c>
      <c r="C71" s="226" t="s">
        <v>728</v>
      </c>
      <c r="D71" s="226" t="s">
        <v>729</v>
      </c>
      <c r="E71" s="257">
        <v>325900</v>
      </c>
    </row>
    <row r="72" spans="2:5">
      <c r="B72" s="226" t="s">
        <v>727</v>
      </c>
      <c r="C72" s="226" t="s">
        <v>730</v>
      </c>
      <c r="D72" s="226" t="s">
        <v>731</v>
      </c>
      <c r="E72" s="258">
        <v>1233.482</v>
      </c>
    </row>
    <row r="73" spans="2:5">
      <c r="B73" s="226" t="s">
        <v>732</v>
      </c>
      <c r="C73" s="226" t="s">
        <v>728</v>
      </c>
      <c r="D73" s="226" t="s">
        <v>733</v>
      </c>
      <c r="E73" s="62">
        <v>27154.286</v>
      </c>
    </row>
    <row r="74" spans="2:5">
      <c r="B74" s="226" t="s">
        <v>734</v>
      </c>
      <c r="C74" s="226" t="s">
        <v>728</v>
      </c>
      <c r="D74" s="226" t="s">
        <v>735</v>
      </c>
      <c r="E74" s="139">
        <v>42</v>
      </c>
    </row>
    <row r="75" spans="2:5">
      <c r="B75" s="226" t="s">
        <v>734</v>
      </c>
      <c r="C75" s="226" t="s">
        <v>736</v>
      </c>
      <c r="D75" s="226" t="s">
        <v>737</v>
      </c>
      <c r="E75" s="241">
        <f>bblTOgal*galTOL</f>
        <v>158.98680000000002</v>
      </c>
    </row>
    <row r="76" spans="2:5">
      <c r="B76" s="226" t="s">
        <v>738</v>
      </c>
      <c r="C76" s="226" t="s">
        <v>728</v>
      </c>
      <c r="D76" s="226" t="s">
        <v>739</v>
      </c>
      <c r="E76" s="62">
        <v>7.4805200000000003</v>
      </c>
    </row>
    <row r="77" spans="2:5">
      <c r="B77" s="226" t="s">
        <v>738</v>
      </c>
      <c r="C77" s="226" t="s">
        <v>736</v>
      </c>
      <c r="D77" s="226" t="s">
        <v>740</v>
      </c>
      <c r="E77" s="62">
        <v>28.316870000000002</v>
      </c>
    </row>
    <row r="78" spans="2:5">
      <c r="B78" s="226" t="s">
        <v>738</v>
      </c>
      <c r="C78" s="226" t="s">
        <v>730</v>
      </c>
      <c r="D78" s="226" t="s">
        <v>741</v>
      </c>
      <c r="E78" s="62">
        <v>2.8320000000000001E-2</v>
      </c>
    </row>
    <row r="79" spans="2:5">
      <c r="B79" s="226" t="s">
        <v>728</v>
      </c>
      <c r="C79" s="226" t="s">
        <v>727</v>
      </c>
      <c r="D79" s="226" t="s">
        <v>742</v>
      </c>
      <c r="E79" s="250">
        <f>1/E71</f>
        <v>3.068425897514575E-6</v>
      </c>
    </row>
    <row r="80" spans="2:5">
      <c r="B80" s="226" t="s">
        <v>728</v>
      </c>
      <c r="C80" s="226" t="s">
        <v>732</v>
      </c>
      <c r="D80" s="226" t="s">
        <v>743</v>
      </c>
      <c r="E80" s="250">
        <f>1/E73</f>
        <v>3.6826598939114067E-5</v>
      </c>
    </row>
    <row r="81" spans="2:5">
      <c r="B81" s="226" t="s">
        <v>728</v>
      </c>
      <c r="C81" s="226" t="s">
        <v>734</v>
      </c>
      <c r="D81" s="226" t="s">
        <v>744</v>
      </c>
      <c r="E81" s="243">
        <f>1/bblTOgal</f>
        <v>2.3809523809523808E-2</v>
      </c>
    </row>
    <row r="82" spans="2:5">
      <c r="B82" s="226" t="s">
        <v>728</v>
      </c>
      <c r="C82" s="226" t="s">
        <v>736</v>
      </c>
      <c r="D82" s="226" t="s">
        <v>745</v>
      </c>
      <c r="E82" s="62">
        <v>3.7854000000000001</v>
      </c>
    </row>
    <row r="83" spans="2:5">
      <c r="B83" s="226" t="s">
        <v>728</v>
      </c>
      <c r="C83" s="226" t="s">
        <v>730</v>
      </c>
      <c r="D83" s="226" t="s">
        <v>746</v>
      </c>
      <c r="E83" s="62">
        <v>3.7850000000000002E-3</v>
      </c>
    </row>
    <row r="84" spans="2:5">
      <c r="B84" s="226" t="s">
        <v>736</v>
      </c>
      <c r="C84" s="226" t="s">
        <v>738</v>
      </c>
      <c r="D84" s="226" t="s">
        <v>747</v>
      </c>
      <c r="E84" s="62">
        <v>3.5310000000000001E-2</v>
      </c>
    </row>
    <row r="85" spans="2:5">
      <c r="B85" s="226" t="s">
        <v>736</v>
      </c>
      <c r="C85" s="226" t="s">
        <v>728</v>
      </c>
      <c r="D85" s="226" t="s">
        <v>748</v>
      </c>
      <c r="E85" s="252">
        <f>1/galTOliter</f>
        <v>0.2641728747292228</v>
      </c>
    </row>
    <row r="86" spans="2:5">
      <c r="B86" s="226" t="s">
        <v>736</v>
      </c>
      <c r="C86" s="226" t="s">
        <v>730</v>
      </c>
      <c r="D86" s="226" t="s">
        <v>749</v>
      </c>
      <c r="E86" s="62">
        <v>1E-3</v>
      </c>
    </row>
    <row r="87" spans="2:5">
      <c r="B87" s="226" t="s">
        <v>730</v>
      </c>
      <c r="C87" s="226" t="s">
        <v>727</v>
      </c>
      <c r="D87" s="226" t="s">
        <v>750</v>
      </c>
      <c r="E87" s="242">
        <f>1/E72</f>
        <v>8.1071308701707845E-4</v>
      </c>
    </row>
    <row r="88" spans="2:5">
      <c r="B88" s="226" t="s">
        <v>730</v>
      </c>
      <c r="C88" s="226" t="s">
        <v>738</v>
      </c>
      <c r="D88" s="226" t="s">
        <v>751</v>
      </c>
      <c r="E88" s="255">
        <f>1/E78</f>
        <v>35.310734463276837</v>
      </c>
    </row>
    <row r="89" spans="2:5">
      <c r="B89" s="226" t="s">
        <v>730</v>
      </c>
      <c r="C89" s="226" t="s">
        <v>728</v>
      </c>
      <c r="D89" s="226" t="s">
        <v>752</v>
      </c>
      <c r="E89" s="256">
        <f>1/E83</f>
        <v>264.20079260237782</v>
      </c>
    </row>
    <row r="90" spans="2:5">
      <c r="B90" s="226" t="s">
        <v>730</v>
      </c>
      <c r="C90" s="226" t="s">
        <v>753</v>
      </c>
      <c r="D90" s="226" t="s">
        <v>754</v>
      </c>
      <c r="E90" s="259">
        <f>1/LTOm3</f>
        <v>1000</v>
      </c>
    </row>
    <row r="91" spans="2:5">
      <c r="B91" s="226" t="s">
        <v>755</v>
      </c>
      <c r="C91" s="226" t="s">
        <v>730</v>
      </c>
      <c r="D91" s="226" t="s">
        <v>756</v>
      </c>
      <c r="E91" s="62">
        <v>0.76454999999999995</v>
      </c>
    </row>
    <row r="92" spans="2:5">
      <c r="B92" s="226"/>
      <c r="C92" s="226"/>
      <c r="D92" s="226"/>
      <c r="E92" s="260"/>
    </row>
    <row r="93" spans="2:5" ht="15.75">
      <c r="B93" s="237" t="s">
        <v>757</v>
      </c>
      <c r="C93" s="237"/>
      <c r="D93" s="237"/>
      <c r="E93" s="237"/>
    </row>
    <row r="94" spans="2:5">
      <c r="B94" s="226" t="s">
        <v>657</v>
      </c>
      <c r="C94" s="226" t="s">
        <v>758</v>
      </c>
      <c r="D94" s="226" t="s">
        <v>759</v>
      </c>
      <c r="E94" s="246">
        <v>4.4482200000000001</v>
      </c>
    </row>
    <row r="95" spans="2:5">
      <c r="B95" s="226"/>
      <c r="C95" s="226"/>
      <c r="D95" s="226"/>
      <c r="E95" s="260"/>
    </row>
    <row r="96" spans="2:5" ht="15.75">
      <c r="B96" s="237" t="s">
        <v>760</v>
      </c>
      <c r="C96" s="237"/>
      <c r="D96" s="237"/>
      <c r="E96" s="237"/>
    </row>
    <row r="97" spans="2:6">
      <c r="B97" s="226" t="s">
        <v>761</v>
      </c>
      <c r="C97" s="226" t="s">
        <v>762</v>
      </c>
      <c r="D97" s="226" t="s">
        <v>763</v>
      </c>
      <c r="E97" s="261">
        <v>1.01325</v>
      </c>
    </row>
    <row r="98" spans="2:6">
      <c r="B98" s="226" t="s">
        <v>761</v>
      </c>
      <c r="C98" s="226" t="s">
        <v>764</v>
      </c>
      <c r="D98" s="226" t="s">
        <v>765</v>
      </c>
      <c r="E98" s="254">
        <v>14.696</v>
      </c>
    </row>
    <row r="99" spans="2:6">
      <c r="B99" s="226" t="s">
        <v>762</v>
      </c>
      <c r="C99" s="226" t="s">
        <v>766</v>
      </c>
      <c r="D99" s="226" t="s">
        <v>767</v>
      </c>
      <c r="E99" s="62">
        <v>100000</v>
      </c>
    </row>
    <row r="100" spans="2:6">
      <c r="B100" s="226" t="s">
        <v>762</v>
      </c>
      <c r="C100" s="226" t="s">
        <v>764</v>
      </c>
      <c r="D100" s="226" t="s">
        <v>768</v>
      </c>
      <c r="E100" s="254">
        <v>14.5038</v>
      </c>
    </row>
    <row r="101" spans="2:6">
      <c r="B101" s="226" t="s">
        <v>764</v>
      </c>
      <c r="C101" s="226" t="s">
        <v>766</v>
      </c>
      <c r="D101" s="226" t="s">
        <v>769</v>
      </c>
      <c r="E101" s="251">
        <v>6894.76</v>
      </c>
    </row>
    <row r="102" spans="2:6">
      <c r="B102" s="226"/>
      <c r="C102" s="226"/>
      <c r="D102" s="226"/>
      <c r="E102" s="226"/>
    </row>
    <row r="103" spans="2:6" ht="15.75">
      <c r="B103" s="237" t="s">
        <v>770</v>
      </c>
      <c r="C103" s="237"/>
      <c r="D103" s="237"/>
      <c r="E103" s="237"/>
    </row>
    <row r="104" spans="2:6">
      <c r="B104" s="226" t="s">
        <v>771</v>
      </c>
      <c r="C104" s="226" t="s">
        <v>772</v>
      </c>
      <c r="D104" s="226" t="s">
        <v>773</v>
      </c>
      <c r="E104" s="258">
        <v>251.99600000000001</v>
      </c>
    </row>
    <row r="105" spans="2:6">
      <c r="B105" s="226" t="s">
        <v>771</v>
      </c>
      <c r="C105" s="226" t="s">
        <v>774</v>
      </c>
      <c r="D105" s="226" t="s">
        <v>775</v>
      </c>
      <c r="E105" s="258">
        <v>1054.18</v>
      </c>
    </row>
    <row r="106" spans="2:6">
      <c r="B106" s="226" t="s">
        <v>771</v>
      </c>
      <c r="C106" s="226" t="s">
        <v>776</v>
      </c>
      <c r="D106" s="226" t="s">
        <v>777</v>
      </c>
      <c r="E106" s="239">
        <f>E105/1000</f>
        <v>1.0541800000000001</v>
      </c>
    </row>
    <row r="107" spans="2:6">
      <c r="B107" s="226" t="s">
        <v>771</v>
      </c>
      <c r="C107" s="226" t="s">
        <v>778</v>
      </c>
      <c r="D107" s="226" t="s">
        <v>779</v>
      </c>
      <c r="E107" s="62">
        <v>2.92875E-4</v>
      </c>
      <c r="F107" s="226">
        <f>1/BtuTOkWh</f>
        <v>3414.4259496372174</v>
      </c>
    </row>
    <row r="108" spans="2:6">
      <c r="B108" s="226" t="s">
        <v>771</v>
      </c>
      <c r="C108" s="226" t="s">
        <v>780</v>
      </c>
      <c r="D108" s="226" t="s">
        <v>781</v>
      </c>
      <c r="E108" s="245">
        <f>E105/1000000</f>
        <v>1.05418E-3</v>
      </c>
    </row>
    <row r="109" spans="2:6">
      <c r="B109" s="226" t="s">
        <v>771</v>
      </c>
      <c r="C109" s="226" t="s">
        <v>782</v>
      </c>
      <c r="D109" s="226" t="s">
        <v>783</v>
      </c>
      <c r="E109" s="238">
        <f>E107*1000</f>
        <v>0.292875</v>
      </c>
    </row>
    <row r="110" spans="2:6">
      <c r="B110" s="226" t="s">
        <v>772</v>
      </c>
      <c r="C110" s="226" t="s">
        <v>771</v>
      </c>
      <c r="D110" s="226" t="s">
        <v>784</v>
      </c>
      <c r="E110" s="245">
        <f>1/E104</f>
        <v>3.9683169574120224E-3</v>
      </c>
    </row>
    <row r="111" spans="2:6">
      <c r="B111" s="226" t="s">
        <v>772</v>
      </c>
      <c r="C111" s="226" t="s">
        <v>774</v>
      </c>
      <c r="D111" s="226" t="s">
        <v>785</v>
      </c>
      <c r="E111" s="62">
        <v>4.1840000000000002</v>
      </c>
    </row>
    <row r="112" spans="2:6">
      <c r="B112" s="226" t="s">
        <v>786</v>
      </c>
      <c r="C112" s="226" t="s">
        <v>787</v>
      </c>
      <c r="D112" s="226" t="s">
        <v>788</v>
      </c>
      <c r="E112" s="256">
        <f>1/E149</f>
        <v>277.82330993134985</v>
      </c>
    </row>
    <row r="113" spans="2:5">
      <c r="B113" s="226" t="s">
        <v>789</v>
      </c>
      <c r="C113" s="226" t="s">
        <v>780</v>
      </c>
      <c r="D113" s="226" t="s">
        <v>790</v>
      </c>
      <c r="E113" s="256">
        <f>galTOL*gasolineHHV</f>
        <v>131.84779857142857</v>
      </c>
    </row>
    <row r="114" spans="2:5">
      <c r="B114" s="226" t="s">
        <v>791</v>
      </c>
      <c r="C114" s="226" t="s">
        <v>534</v>
      </c>
      <c r="D114" s="226" t="s">
        <v>792</v>
      </c>
      <c r="E114" s="238">
        <f>1/E138</f>
        <v>0.2778233099313499</v>
      </c>
    </row>
    <row r="115" spans="2:5">
      <c r="B115" s="226" t="s">
        <v>791</v>
      </c>
      <c r="C115" s="226" t="s">
        <v>793</v>
      </c>
      <c r="D115" s="226" t="s">
        <v>794</v>
      </c>
      <c r="E115" s="238">
        <f>kJTOBtu</f>
        <v>0.94860460262953183</v>
      </c>
    </row>
    <row r="116" spans="2:5">
      <c r="B116" s="226" t="s">
        <v>791</v>
      </c>
      <c r="C116" s="226" t="s">
        <v>795</v>
      </c>
      <c r="D116" s="226" t="s">
        <v>796</v>
      </c>
      <c r="E116" s="238">
        <f>GJTOmmBtu*mmBtuTOtherm</f>
        <v>9.4860460262953179</v>
      </c>
    </row>
    <row r="117" spans="2:5">
      <c r="B117" s="226" t="s">
        <v>774</v>
      </c>
      <c r="C117" s="226" t="s">
        <v>771</v>
      </c>
      <c r="D117" s="226" t="s">
        <v>797</v>
      </c>
      <c r="E117" s="242">
        <f>1/E105</f>
        <v>9.4860460262953192E-4</v>
      </c>
    </row>
    <row r="118" spans="2:5">
      <c r="B118" s="226" t="s">
        <v>774</v>
      </c>
      <c r="C118" s="226" t="s">
        <v>772</v>
      </c>
      <c r="D118" s="226" t="s">
        <v>798</v>
      </c>
      <c r="E118" s="238">
        <f>1/E111</f>
        <v>0.23900573613766729</v>
      </c>
    </row>
    <row r="119" spans="2:5">
      <c r="B119" s="226" t="s">
        <v>774</v>
      </c>
      <c r="C119" s="226" t="s">
        <v>782</v>
      </c>
      <c r="D119" s="226" t="s">
        <v>799</v>
      </c>
      <c r="E119" s="242">
        <f>1/E152</f>
        <v>2.7782330993134986E-4</v>
      </c>
    </row>
    <row r="120" spans="2:5">
      <c r="B120" s="226" t="s">
        <v>800</v>
      </c>
      <c r="C120" s="226" t="s">
        <v>780</v>
      </c>
      <c r="D120" s="226" t="s">
        <v>801</v>
      </c>
      <c r="E120" s="245">
        <f>E111/1000</f>
        <v>4.1840000000000002E-3</v>
      </c>
    </row>
    <row r="121" spans="2:5">
      <c r="B121" s="226" t="s">
        <v>776</v>
      </c>
      <c r="C121" s="226" t="s">
        <v>771</v>
      </c>
      <c r="D121" s="226" t="s">
        <v>802</v>
      </c>
      <c r="E121" s="238">
        <f>1/E106</f>
        <v>0.94860460262953183</v>
      </c>
    </row>
    <row r="122" spans="2:5">
      <c r="B122" s="226" t="s">
        <v>778</v>
      </c>
      <c r="C122" s="226" t="s">
        <v>771</v>
      </c>
      <c r="D122" s="226" t="s">
        <v>803</v>
      </c>
      <c r="E122" s="262">
        <f>1/E107</f>
        <v>3414.4259496372174</v>
      </c>
    </row>
    <row r="123" spans="2:5">
      <c r="B123" s="226" t="s">
        <v>778</v>
      </c>
      <c r="C123" s="226" t="s">
        <v>780</v>
      </c>
      <c r="D123" s="226" t="s">
        <v>804</v>
      </c>
      <c r="E123" s="239">
        <f>E152/1000</f>
        <v>3.5994099999999998</v>
      </c>
    </row>
    <row r="124" spans="2:5">
      <c r="B124" s="226" t="s">
        <v>780</v>
      </c>
      <c r="C124" s="226" t="s">
        <v>771</v>
      </c>
      <c r="D124" s="226" t="s">
        <v>805</v>
      </c>
      <c r="E124" s="256">
        <f>1000000/E105</f>
        <v>948.60460262953188</v>
      </c>
    </row>
    <row r="125" spans="2:5">
      <c r="B125" s="226" t="s">
        <v>780</v>
      </c>
      <c r="C125" s="226" t="s">
        <v>778</v>
      </c>
      <c r="D125" s="226" t="s">
        <v>806</v>
      </c>
      <c r="E125" s="238">
        <f>1/E123</f>
        <v>0.2778233099313499</v>
      </c>
    </row>
    <row r="126" spans="2:5">
      <c r="B126" s="226" t="s">
        <v>780</v>
      </c>
      <c r="C126" s="226" t="s">
        <v>800</v>
      </c>
      <c r="D126" s="226" t="s">
        <v>807</v>
      </c>
      <c r="E126" s="256">
        <f>1/E120</f>
        <v>239.0057361376673</v>
      </c>
    </row>
    <row r="127" spans="2:5">
      <c r="B127" s="226" t="s">
        <v>780</v>
      </c>
      <c r="C127" s="226" t="s">
        <v>534</v>
      </c>
      <c r="D127" s="226" t="s">
        <v>808</v>
      </c>
      <c r="E127" s="242">
        <f>MJTOkWh/1000</f>
        <v>2.7782330993134991E-4</v>
      </c>
    </row>
    <row r="128" spans="2:5">
      <c r="B128" s="226" t="s">
        <v>780</v>
      </c>
      <c r="C128" s="226" t="s">
        <v>795</v>
      </c>
      <c r="D128" s="226" t="s">
        <v>809</v>
      </c>
      <c r="E128" s="263">
        <f>GJTOtherm/1000</f>
        <v>9.4860460262953181E-3</v>
      </c>
    </row>
    <row r="129" spans="2:5">
      <c r="B129" s="226" t="s">
        <v>793</v>
      </c>
      <c r="C129" s="226" t="s">
        <v>778</v>
      </c>
      <c r="D129" s="226" t="s">
        <v>932</v>
      </c>
      <c r="E129" s="241">
        <f>mmBtuTOMWh*1000</f>
        <v>292.875</v>
      </c>
    </row>
    <row r="130" spans="2:5">
      <c r="B130" s="226" t="s">
        <v>793</v>
      </c>
      <c r="C130" s="226" t="s">
        <v>780</v>
      </c>
      <c r="D130" s="226" t="s">
        <v>810</v>
      </c>
      <c r="E130" s="259">
        <f>BtuTOJ</f>
        <v>1054.18</v>
      </c>
    </row>
    <row r="131" spans="2:5">
      <c r="B131" s="226" t="s">
        <v>793</v>
      </c>
      <c r="C131" s="226" t="s">
        <v>534</v>
      </c>
      <c r="D131" s="226" t="s">
        <v>811</v>
      </c>
      <c r="E131" s="238">
        <f>E107*1000</f>
        <v>0.292875</v>
      </c>
    </row>
    <row r="132" spans="2:5">
      <c r="B132" s="226" t="s">
        <v>793</v>
      </c>
      <c r="C132" s="226" t="s">
        <v>795</v>
      </c>
      <c r="D132" s="226" t="s">
        <v>812</v>
      </c>
      <c r="E132" s="251">
        <v>10</v>
      </c>
    </row>
    <row r="133" spans="2:5">
      <c r="B133" s="226" t="s">
        <v>793</v>
      </c>
      <c r="C133" s="226" t="s">
        <v>813</v>
      </c>
      <c r="D133" s="226" t="s">
        <v>814</v>
      </c>
      <c r="E133" s="263">
        <f>mmBtuTOMJ/1000000</f>
        <v>1.05418E-3</v>
      </c>
    </row>
    <row r="134" spans="2:5">
      <c r="B134" s="226" t="s">
        <v>815</v>
      </c>
      <c r="C134" s="226" t="s">
        <v>816</v>
      </c>
      <c r="D134" s="226" t="s">
        <v>817</v>
      </c>
      <c r="E134" s="139">
        <v>11630</v>
      </c>
    </row>
    <row r="135" spans="2:5">
      <c r="B135" s="226" t="s">
        <v>815</v>
      </c>
      <c r="C135" s="226" t="s">
        <v>793</v>
      </c>
      <c r="D135" s="226" t="s">
        <v>818</v>
      </c>
      <c r="E135" s="257">
        <v>39680000</v>
      </c>
    </row>
    <row r="136" spans="2:5">
      <c r="B136" s="226" t="s">
        <v>815</v>
      </c>
      <c r="C136" s="226" t="s">
        <v>813</v>
      </c>
      <c r="D136" s="226" t="s">
        <v>819</v>
      </c>
      <c r="E136" s="139">
        <v>41868</v>
      </c>
    </row>
    <row r="137" spans="2:5">
      <c r="B137" s="226" t="s">
        <v>820</v>
      </c>
      <c r="C137" s="226" t="s">
        <v>534</v>
      </c>
      <c r="D137" s="226" t="s">
        <v>821</v>
      </c>
      <c r="E137" s="259">
        <f>yrTOhr</f>
        <v>8760</v>
      </c>
    </row>
    <row r="138" spans="2:5">
      <c r="B138" s="226" t="s">
        <v>534</v>
      </c>
      <c r="C138" s="226" t="s">
        <v>791</v>
      </c>
      <c r="D138" s="226" t="s">
        <v>822</v>
      </c>
      <c r="E138" s="239">
        <f>E123</f>
        <v>3.5994099999999998</v>
      </c>
    </row>
    <row r="139" spans="2:5">
      <c r="B139" s="226" t="s">
        <v>534</v>
      </c>
      <c r="C139" s="226" t="s">
        <v>793</v>
      </c>
      <c r="D139" s="226" t="s">
        <v>823</v>
      </c>
      <c r="E139" s="239">
        <f>1/E131</f>
        <v>3.4144259496372174</v>
      </c>
    </row>
    <row r="140" spans="2:5">
      <c r="B140" s="226" t="s">
        <v>534</v>
      </c>
      <c r="C140" s="226" t="s">
        <v>820</v>
      </c>
      <c r="D140" s="226" t="s">
        <v>824</v>
      </c>
      <c r="E140" s="264">
        <f>hrTOyr</f>
        <v>1.1415525114155251E-4</v>
      </c>
    </row>
    <row r="141" spans="2:5">
      <c r="B141" s="226" t="s">
        <v>534</v>
      </c>
      <c r="C141" s="226" t="s">
        <v>813</v>
      </c>
      <c r="D141" s="226" t="s">
        <v>825</v>
      </c>
      <c r="E141" s="245">
        <f>MWhTOGJ/1000</f>
        <v>3.5994099999999999E-3</v>
      </c>
    </row>
    <row r="142" spans="2:5">
      <c r="B142" s="226" t="s">
        <v>826</v>
      </c>
      <c r="C142" s="226" t="s">
        <v>786</v>
      </c>
      <c r="D142" s="226" t="s">
        <v>827</v>
      </c>
      <c r="E142" s="239">
        <f>quadTOTWh*TWhTOEJ</f>
        <v>1.0541772037499999</v>
      </c>
    </row>
    <row r="143" spans="2:5">
      <c r="B143" s="226" t="s">
        <v>826</v>
      </c>
      <c r="C143" s="226" t="s">
        <v>787</v>
      </c>
      <c r="D143" s="226" t="s">
        <v>828</v>
      </c>
      <c r="E143" s="241">
        <f>1/E150</f>
        <v>292.875</v>
      </c>
    </row>
    <row r="144" spans="2:5">
      <c r="B144" s="226" t="s">
        <v>795</v>
      </c>
      <c r="C144" s="226" t="s">
        <v>771</v>
      </c>
      <c r="D144" s="226" t="s">
        <v>829</v>
      </c>
      <c r="E144" s="139">
        <v>100000</v>
      </c>
    </row>
    <row r="145" spans="2:5">
      <c r="B145" s="226" t="s">
        <v>795</v>
      </c>
      <c r="C145" s="226" t="s">
        <v>791</v>
      </c>
      <c r="D145" s="226" t="s">
        <v>830</v>
      </c>
      <c r="E145" s="263">
        <f>1/GJTOtherm</f>
        <v>0.10541800000000003</v>
      </c>
    </row>
    <row r="146" spans="2:5">
      <c r="B146" s="226" t="s">
        <v>795</v>
      </c>
      <c r="C146" s="226" t="s">
        <v>778</v>
      </c>
      <c r="D146" s="226" t="s">
        <v>831</v>
      </c>
      <c r="E146" s="248">
        <f>thermTOBtu*BtuTOkWh</f>
        <v>29.287500000000001</v>
      </c>
    </row>
    <row r="147" spans="2:5">
      <c r="B147" s="226" t="s">
        <v>795</v>
      </c>
      <c r="C147" s="226" t="s">
        <v>780</v>
      </c>
      <c r="D147" s="226" t="s">
        <v>832</v>
      </c>
      <c r="E147" s="241">
        <f>1/MJTOtherm</f>
        <v>105.41800000000002</v>
      </c>
    </row>
    <row r="148" spans="2:5">
      <c r="B148" s="226" t="s">
        <v>795</v>
      </c>
      <c r="C148" s="226" t="s">
        <v>813</v>
      </c>
      <c r="D148" s="226" t="s">
        <v>833</v>
      </c>
      <c r="E148" s="247">
        <f>thermTOMJ/1000000</f>
        <v>1.0541800000000003E-4</v>
      </c>
    </row>
    <row r="149" spans="2:5">
      <c r="B149" s="226" t="s">
        <v>787</v>
      </c>
      <c r="C149" s="226" t="s">
        <v>786</v>
      </c>
      <c r="D149" s="226" t="s">
        <v>834</v>
      </c>
      <c r="E149" s="245">
        <f>WhTOJ/1000000</f>
        <v>3.5994099999999999E-3</v>
      </c>
    </row>
    <row r="150" spans="2:5">
      <c r="B150" s="226" t="s">
        <v>787</v>
      </c>
      <c r="C150" s="226" t="s">
        <v>826</v>
      </c>
      <c r="D150" s="226" t="s">
        <v>835</v>
      </c>
      <c r="E150" s="245">
        <f>E139/1000</f>
        <v>3.4144259496372174E-3</v>
      </c>
    </row>
    <row r="151" spans="2:5">
      <c r="B151" s="226" t="s">
        <v>782</v>
      </c>
      <c r="C151" s="226" t="s">
        <v>771</v>
      </c>
      <c r="D151" s="226" t="s">
        <v>836</v>
      </c>
      <c r="E151" s="239">
        <f>1/E109</f>
        <v>3.4144259496372174</v>
      </c>
    </row>
    <row r="152" spans="2:5">
      <c r="B152" s="226" t="s">
        <v>782</v>
      </c>
      <c r="C152" s="226" t="s">
        <v>774</v>
      </c>
      <c r="D152" s="226" t="s">
        <v>837</v>
      </c>
      <c r="E152" s="62">
        <v>3599.41</v>
      </c>
    </row>
    <row r="153" spans="2:5">
      <c r="B153" s="226"/>
      <c r="C153" s="226"/>
      <c r="D153" s="226"/>
      <c r="E153" s="226"/>
    </row>
    <row r="154" spans="2:5" ht="15.75">
      <c r="B154" s="237" t="s">
        <v>838</v>
      </c>
      <c r="C154" s="237"/>
      <c r="D154" s="237"/>
      <c r="E154" s="237"/>
    </row>
    <row r="155" spans="2:5">
      <c r="B155" s="226" t="s">
        <v>839</v>
      </c>
      <c r="C155" s="226" t="s">
        <v>538</v>
      </c>
      <c r="D155" s="226" t="s">
        <v>840</v>
      </c>
      <c r="E155" s="238">
        <f>1000/E35</f>
        <v>0.27777777777777779</v>
      </c>
    </row>
    <row r="156" spans="2:5">
      <c r="B156" s="226" t="s">
        <v>841</v>
      </c>
      <c r="C156" s="226" t="s">
        <v>842</v>
      </c>
      <c r="D156" s="226" t="s">
        <v>843</v>
      </c>
      <c r="E156" s="139">
        <v>1000000</v>
      </c>
    </row>
    <row r="157" spans="2:5">
      <c r="B157" s="226" t="s">
        <v>841</v>
      </c>
      <c r="C157" s="226" t="s">
        <v>844</v>
      </c>
      <c r="D157" s="226" t="s">
        <v>845</v>
      </c>
      <c r="E157" s="240">
        <f>1/E164</f>
        <v>2.9910371318822026E-2</v>
      </c>
    </row>
    <row r="158" spans="2:5">
      <c r="B158" s="226" t="s">
        <v>841</v>
      </c>
      <c r="C158" s="226" t="s">
        <v>846</v>
      </c>
      <c r="D158" s="226" t="s">
        <v>847</v>
      </c>
      <c r="E158" s="265">
        <f>1/E165</f>
        <v>8.76</v>
      </c>
    </row>
    <row r="159" spans="2:5">
      <c r="B159" s="226" t="s">
        <v>848</v>
      </c>
      <c r="C159" s="226" t="s">
        <v>842</v>
      </c>
      <c r="D159" s="226" t="s">
        <v>849</v>
      </c>
      <c r="E159" s="62">
        <v>0.746</v>
      </c>
    </row>
    <row r="160" spans="2:5">
      <c r="B160" s="226" t="s">
        <v>842</v>
      </c>
      <c r="C160" s="226" t="s">
        <v>848</v>
      </c>
      <c r="D160" s="226" t="s">
        <v>850</v>
      </c>
      <c r="E160" s="239">
        <f>1/E159</f>
        <v>1.3404825737265416</v>
      </c>
    </row>
    <row r="161" spans="2:5">
      <c r="B161" s="226" t="s">
        <v>851</v>
      </c>
      <c r="C161" s="226" t="s">
        <v>842</v>
      </c>
      <c r="D161" s="226" t="s">
        <v>852</v>
      </c>
      <c r="E161" s="252">
        <f>GJ.hrTOMW</f>
        <v>0.27777777777777779</v>
      </c>
    </row>
    <row r="162" spans="2:5">
      <c r="B162" s="226" t="s">
        <v>538</v>
      </c>
      <c r="C162" s="226" t="s">
        <v>839</v>
      </c>
      <c r="D162" s="226" t="s">
        <v>853</v>
      </c>
      <c r="E162" s="239">
        <f>1/E155</f>
        <v>3.5999999999999996</v>
      </c>
    </row>
    <row r="163" spans="2:5">
      <c r="B163" s="226" t="s">
        <v>538</v>
      </c>
      <c r="C163" s="226" t="s">
        <v>842</v>
      </c>
      <c r="D163" s="226" t="s">
        <v>854</v>
      </c>
      <c r="E163" s="139">
        <v>1000</v>
      </c>
    </row>
    <row r="164" spans="2:5">
      <c r="B164" s="226" t="s">
        <v>844</v>
      </c>
      <c r="C164" s="226" t="s">
        <v>841</v>
      </c>
      <c r="D164" s="226" t="s">
        <v>855</v>
      </c>
      <c r="E164" s="248">
        <f>quadTOTWh*hrTOyr*1000</f>
        <v>33.43321917808219</v>
      </c>
    </row>
    <row r="165" spans="2:5">
      <c r="B165" s="226" t="s">
        <v>846</v>
      </c>
      <c r="C165" s="226" t="s">
        <v>841</v>
      </c>
      <c r="D165" s="226" t="s">
        <v>856</v>
      </c>
      <c r="E165" s="252">
        <f>1000*hrTOyr</f>
        <v>0.11415525114155251</v>
      </c>
    </row>
    <row r="166" spans="2:5">
      <c r="B166" s="226"/>
      <c r="C166" s="226"/>
      <c r="D166" s="226"/>
      <c r="E166" s="226"/>
    </row>
    <row r="167" spans="2:5" ht="15.75">
      <c r="B167" s="237" t="s">
        <v>857</v>
      </c>
      <c r="C167" s="237"/>
      <c r="D167" s="237"/>
      <c r="E167" s="237"/>
    </row>
    <row r="168" spans="2:5">
      <c r="B168" s="226" t="s">
        <v>858</v>
      </c>
      <c r="C168" s="226" t="s">
        <v>859</v>
      </c>
      <c r="D168" s="226" t="s">
        <v>860</v>
      </c>
      <c r="E168" s="62">
        <v>6.3089999999999993E-2</v>
      </c>
    </row>
    <row r="169" spans="2:5">
      <c r="B169" s="226" t="s">
        <v>861</v>
      </c>
      <c r="C169" s="226" t="s">
        <v>858</v>
      </c>
      <c r="D169" s="226" t="s">
        <v>862</v>
      </c>
      <c r="E169" s="255">
        <f>1/E168</f>
        <v>15.85037248375337</v>
      </c>
    </row>
    <row r="170" spans="2:5" ht="15">
      <c r="B170" s="226" t="s">
        <v>863</v>
      </c>
      <c r="C170" s="226" t="s">
        <v>858</v>
      </c>
      <c r="D170" s="226" t="s">
        <v>864</v>
      </c>
      <c r="E170" s="252">
        <f>L.sTOgpm*40:40/LTOm3</f>
        <v>0.1834522111269615</v>
      </c>
    </row>
    <row r="171" spans="2:5">
      <c r="B171" s="226"/>
      <c r="C171" s="226"/>
      <c r="D171" s="226"/>
      <c r="E171" s="226"/>
    </row>
    <row r="172" spans="2:5" ht="15.75">
      <c r="B172" s="237" t="s">
        <v>865</v>
      </c>
      <c r="C172" s="237"/>
      <c r="D172" s="237"/>
      <c r="E172" s="237"/>
    </row>
    <row r="173" spans="2:5">
      <c r="B173" s="226" t="s">
        <v>866</v>
      </c>
      <c r="C173" s="226" t="s">
        <v>867</v>
      </c>
      <c r="D173" s="226" t="s">
        <v>868</v>
      </c>
      <c r="E173" s="245">
        <f>1/(E159*1000)</f>
        <v>1.3404825737265416E-3</v>
      </c>
    </row>
    <row r="174" spans="2:5">
      <c r="B174" s="226" t="s">
        <v>869</v>
      </c>
      <c r="C174" s="226" t="s">
        <v>867</v>
      </c>
      <c r="D174" s="226" t="s">
        <v>870</v>
      </c>
      <c r="E174" s="242">
        <f>1/E177</f>
        <v>9.4860460262953192E-4</v>
      </c>
    </row>
    <row r="175" spans="2:5">
      <c r="B175" s="226" t="s">
        <v>871</v>
      </c>
      <c r="C175" s="226" t="s">
        <v>867</v>
      </c>
      <c r="D175" s="226" t="s">
        <v>872</v>
      </c>
      <c r="E175" s="238">
        <f>1/E178</f>
        <v>0.94860460262953183</v>
      </c>
    </row>
    <row r="176" spans="2:5">
      <c r="B176" s="226" t="s">
        <v>867</v>
      </c>
      <c r="C176" s="226" t="s">
        <v>866</v>
      </c>
      <c r="D176" s="226" t="s">
        <v>873</v>
      </c>
      <c r="E176" s="256">
        <f>1/E173</f>
        <v>746</v>
      </c>
    </row>
    <row r="177" spans="2:5">
      <c r="B177" s="226" t="s">
        <v>867</v>
      </c>
      <c r="C177" s="226" t="s">
        <v>869</v>
      </c>
      <c r="D177" s="226" t="s">
        <v>874</v>
      </c>
      <c r="E177" s="262">
        <f>E105</f>
        <v>1054.18</v>
      </c>
    </row>
    <row r="178" spans="2:5">
      <c r="B178" s="226" t="s">
        <v>867</v>
      </c>
      <c r="C178" s="226" t="s">
        <v>871</v>
      </c>
      <c r="D178" s="226" t="s">
        <v>875</v>
      </c>
      <c r="E178" s="239">
        <f>E106</f>
        <v>1.0541800000000001</v>
      </c>
    </row>
    <row r="179" spans="2:5">
      <c r="B179" s="226"/>
      <c r="C179" s="226"/>
      <c r="D179" s="226"/>
      <c r="E179" s="226"/>
    </row>
    <row r="180" spans="2:5" ht="15.75">
      <c r="B180" s="237" t="s">
        <v>876</v>
      </c>
      <c r="C180" s="237"/>
      <c r="D180" s="237"/>
      <c r="E180" s="237"/>
    </row>
    <row r="181" spans="2:5">
      <c r="B181" s="226" t="s">
        <v>877</v>
      </c>
      <c r="C181" s="226" t="s">
        <v>878</v>
      </c>
      <c r="D181" s="226" t="s">
        <v>879</v>
      </c>
      <c r="E181" s="239">
        <f>E17*E160</f>
        <v>2.9552084958698002</v>
      </c>
    </row>
    <row r="182" spans="2:5">
      <c r="B182" s="226" t="s">
        <v>880</v>
      </c>
      <c r="C182" s="226" t="s">
        <v>878</v>
      </c>
      <c r="D182" s="226" t="s">
        <v>881</v>
      </c>
      <c r="E182" s="239">
        <f>E17</f>
        <v>2.204585537918871</v>
      </c>
    </row>
    <row r="183" spans="2:5">
      <c r="B183" s="226" t="s">
        <v>882</v>
      </c>
      <c r="C183" s="226" t="s">
        <v>878</v>
      </c>
      <c r="D183" s="226" t="s">
        <v>883</v>
      </c>
      <c r="E183" s="239">
        <f>1/E189</f>
        <v>7.9352072310405646</v>
      </c>
    </row>
    <row r="184" spans="2:5">
      <c r="B184" s="226" t="s">
        <v>884</v>
      </c>
      <c r="C184" s="226" t="s">
        <v>885</v>
      </c>
      <c r="D184" s="226" t="s">
        <v>886</v>
      </c>
      <c r="E184" s="242">
        <f>E20</f>
        <v>4.5360000000000002E-4</v>
      </c>
    </row>
    <row r="185" spans="2:5">
      <c r="B185" s="226" t="s">
        <v>884</v>
      </c>
      <c r="C185" s="226" t="s">
        <v>887</v>
      </c>
      <c r="D185" s="226" t="s">
        <v>888</v>
      </c>
      <c r="E185" s="256">
        <f>1/E191</f>
        <v>430.28704775275571</v>
      </c>
    </row>
    <row r="186" spans="2:5">
      <c r="B186" s="226" t="s">
        <v>884</v>
      </c>
      <c r="C186" s="226" t="s">
        <v>889</v>
      </c>
      <c r="D186" s="226" t="s">
        <v>890</v>
      </c>
      <c r="E186" s="238">
        <f>1/E192</f>
        <v>0.45360000000000006</v>
      </c>
    </row>
    <row r="187" spans="2:5">
      <c r="B187" s="226" t="s">
        <v>878</v>
      </c>
      <c r="C187" s="226" t="s">
        <v>877</v>
      </c>
      <c r="D187" s="226" t="s">
        <v>891</v>
      </c>
      <c r="E187" s="238">
        <f>1/E181</f>
        <v>0.33838560000000006</v>
      </c>
    </row>
    <row r="188" spans="2:5">
      <c r="B188" s="226" t="s">
        <v>878</v>
      </c>
      <c r="C188" s="226" t="s">
        <v>880</v>
      </c>
      <c r="D188" s="226" t="s">
        <v>892</v>
      </c>
      <c r="E188" s="247">
        <f>1/E182</f>
        <v>0.45360000000000006</v>
      </c>
    </row>
    <row r="189" spans="2:5">
      <c r="B189" s="226" t="s">
        <v>878</v>
      </c>
      <c r="C189" s="226" t="s">
        <v>882</v>
      </c>
      <c r="D189" s="226" t="s">
        <v>893</v>
      </c>
      <c r="E189" s="238">
        <f>E19/E138</f>
        <v>0.12602065338486029</v>
      </c>
    </row>
    <row r="190" spans="2:5">
      <c r="B190" s="226" t="s">
        <v>878</v>
      </c>
      <c r="C190" s="226" t="s">
        <v>894</v>
      </c>
      <c r="D190" s="226" t="s">
        <v>895</v>
      </c>
      <c r="E190" s="247">
        <f>1/E193</f>
        <v>0.5</v>
      </c>
    </row>
    <row r="191" spans="2:5">
      <c r="B191" s="226" t="s">
        <v>887</v>
      </c>
      <c r="C191" s="226" t="s">
        <v>884</v>
      </c>
      <c r="D191" s="226" t="s">
        <v>896</v>
      </c>
      <c r="E191" s="245">
        <f>E17/(E117*1000000)</f>
        <v>2.3240299823633157E-3</v>
      </c>
    </row>
    <row r="192" spans="2:5">
      <c r="B192" s="226" t="s">
        <v>889</v>
      </c>
      <c r="C192" s="226" t="s">
        <v>884</v>
      </c>
      <c r="D192" s="226" t="s">
        <v>897</v>
      </c>
      <c r="E192" s="239">
        <f>E17</f>
        <v>2.204585537918871</v>
      </c>
    </row>
    <row r="193" spans="2:5">
      <c r="B193" s="226" t="s">
        <v>894</v>
      </c>
      <c r="C193" s="226" t="s">
        <v>878</v>
      </c>
      <c r="D193" s="226" t="s">
        <v>898</v>
      </c>
      <c r="E193" s="239">
        <f>2000/1000</f>
        <v>2</v>
      </c>
    </row>
    <row r="194" spans="2:5">
      <c r="B194" s="226"/>
      <c r="C194" s="226"/>
      <c r="D194" s="226"/>
      <c r="E194" s="226"/>
    </row>
    <row r="195" spans="2:5" ht="15.75">
      <c r="B195" s="237" t="s">
        <v>899</v>
      </c>
      <c r="C195" s="237"/>
      <c r="D195" s="237"/>
      <c r="E195" s="237"/>
    </row>
    <row r="196" spans="2:5">
      <c r="B196" s="226" t="s">
        <v>900</v>
      </c>
      <c r="C196" s="226" t="s">
        <v>901</v>
      </c>
      <c r="D196" s="226" t="s">
        <v>902</v>
      </c>
      <c r="E196" s="263">
        <f>E106/(E19*1000)</f>
        <v>2.3240299823633157E-3</v>
      </c>
    </row>
    <row r="197" spans="2:5">
      <c r="B197" s="226" t="s">
        <v>900</v>
      </c>
      <c r="C197" s="226" t="s">
        <v>903</v>
      </c>
      <c r="D197" s="226" t="s">
        <v>904</v>
      </c>
      <c r="E197" s="263">
        <f>1/E202</f>
        <v>2E-3</v>
      </c>
    </row>
    <row r="198" spans="2:5">
      <c r="B198" s="226" t="s">
        <v>905</v>
      </c>
      <c r="C198" s="226" t="s">
        <v>901</v>
      </c>
      <c r="D198" s="226" t="s">
        <v>906</v>
      </c>
      <c r="E198" s="263">
        <f>E123/(E19*2000)</f>
        <v>3.9676036155202815E-3</v>
      </c>
    </row>
    <row r="199" spans="2:5">
      <c r="B199" s="226" t="s">
        <v>901</v>
      </c>
      <c r="C199" s="226" t="s">
        <v>900</v>
      </c>
      <c r="D199" s="226" t="s">
        <v>907</v>
      </c>
      <c r="E199" s="256">
        <f>1/E196</f>
        <v>430.28704775275571</v>
      </c>
    </row>
    <row r="200" spans="2:5">
      <c r="B200" s="226" t="s">
        <v>901</v>
      </c>
      <c r="C200" s="226" t="s">
        <v>905</v>
      </c>
      <c r="D200" s="226" t="s">
        <v>908</v>
      </c>
      <c r="E200" s="241">
        <f>1/E198</f>
        <v>252.04130676972062</v>
      </c>
    </row>
    <row r="201" spans="2:5">
      <c r="B201" s="226" t="s">
        <v>901</v>
      </c>
      <c r="C201" s="226" t="s">
        <v>903</v>
      </c>
      <c r="D201" s="226" t="s">
        <v>909</v>
      </c>
      <c r="E201" s="252">
        <f>MJ.kgTOBtu.lb*Btu.lbTOmmBtu.ton</f>
        <v>0.86057409550551145</v>
      </c>
    </row>
    <row r="202" spans="2:5">
      <c r="B202" s="226" t="s">
        <v>903</v>
      </c>
      <c r="C202" s="226" t="s">
        <v>900</v>
      </c>
      <c r="D202" s="226" t="s">
        <v>910</v>
      </c>
      <c r="E202" s="241">
        <f>1000000/E26</f>
        <v>500</v>
      </c>
    </row>
    <row r="203" spans="2:5">
      <c r="B203" s="226"/>
      <c r="C203" s="226"/>
      <c r="D203" s="226"/>
      <c r="E203" s="266"/>
    </row>
    <row r="204" spans="2:5" ht="15.75">
      <c r="B204" s="237" t="s">
        <v>911</v>
      </c>
      <c r="C204" s="237"/>
      <c r="D204" s="237"/>
      <c r="E204" s="237"/>
    </row>
    <row r="205" spans="2:5">
      <c r="B205" s="226" t="s">
        <v>912</v>
      </c>
      <c r="C205" s="226" t="s">
        <v>913</v>
      </c>
      <c r="D205" s="226" t="s">
        <v>914</v>
      </c>
      <c r="E205" s="243">
        <f>BtuTOkJ/(1000*ft3TOm3)</f>
        <v>3.7223870056497181E-2</v>
      </c>
    </row>
    <row r="206" spans="2:5">
      <c r="B206" s="226" t="s">
        <v>913</v>
      </c>
      <c r="C206" s="226" t="s">
        <v>912</v>
      </c>
      <c r="D206" s="226" t="s">
        <v>915</v>
      </c>
      <c r="E206" s="255">
        <f>1/E205</f>
        <v>26.864482346468339</v>
      </c>
    </row>
    <row r="207" spans="2:5">
      <c r="B207" s="226"/>
      <c r="C207" s="226"/>
      <c r="D207" s="226"/>
      <c r="E207" s="267"/>
    </row>
    <row r="208" spans="2:5" ht="15.75">
      <c r="B208" s="237" t="s">
        <v>916</v>
      </c>
      <c r="C208" s="237"/>
      <c r="D208" s="237"/>
      <c r="E208" s="237"/>
    </row>
    <row r="209" spans="2:5">
      <c r="B209" s="226" t="s">
        <v>917</v>
      </c>
      <c r="C209" s="226" t="s">
        <v>918</v>
      </c>
      <c r="D209" s="226" t="s">
        <v>919</v>
      </c>
      <c r="E209" s="265">
        <f>kmTOmi*E82</f>
        <v>2.3526413921690494</v>
      </c>
    </row>
    <row r="210" spans="2:5">
      <c r="B210" s="226"/>
      <c r="C210" s="226"/>
      <c r="D210" s="226"/>
      <c r="E210" s="267"/>
    </row>
    <row r="211" spans="2:5" ht="15.75">
      <c r="B211" s="237" t="s">
        <v>920</v>
      </c>
      <c r="C211" s="237"/>
      <c r="D211" s="237"/>
      <c r="E211" s="237"/>
    </row>
    <row r="212" spans="2:5">
      <c r="B212" s="226" t="s">
        <v>921</v>
      </c>
      <c r="C212" s="226" t="s">
        <v>922</v>
      </c>
      <c r="D212" s="226" t="s">
        <v>923</v>
      </c>
      <c r="E212" s="252">
        <f>MgTOton/haTOacre</f>
        <v>0.44609338830221129</v>
      </c>
    </row>
    <row r="213" spans="2:5">
      <c r="B213" s="226"/>
      <c r="C213" s="226"/>
      <c r="D213" s="226"/>
    </row>
    <row r="214" spans="2:5">
      <c r="B214" s="226"/>
      <c r="C214" s="226"/>
      <c r="D214" s="226"/>
      <c r="E214" s="268"/>
    </row>
    <row r="215" spans="2:5" ht="15.75">
      <c r="B215" s="269" t="s">
        <v>924</v>
      </c>
      <c r="C215" s="226"/>
      <c r="D215" s="226"/>
    </row>
    <row r="216" spans="2:5">
      <c r="B216" s="226" t="s">
        <v>925</v>
      </c>
      <c r="C216" s="226"/>
      <c r="D216" s="226"/>
    </row>
    <row r="217" spans="2:5">
      <c r="B217" s="226" t="s">
        <v>926</v>
      </c>
      <c r="C217" s="226"/>
      <c r="D217" s="226"/>
    </row>
    <row r="218" spans="2:5">
      <c r="B218" s="226" t="s">
        <v>927</v>
      </c>
      <c r="C218" s="226"/>
      <c r="D218" s="226"/>
    </row>
    <row r="219" spans="2:5">
      <c r="B219" s="226" t="s">
        <v>928</v>
      </c>
      <c r="C219" s="226"/>
      <c r="D219" s="226"/>
    </row>
    <row r="220" spans="2:5">
      <c r="B220" s="226" t="s">
        <v>929</v>
      </c>
      <c r="C220" s="226"/>
      <c r="D220" s="226"/>
    </row>
    <row r="221" spans="2:5">
      <c r="B221" s="226" t="s">
        <v>930</v>
      </c>
      <c r="C221" s="226"/>
      <c r="D221" s="226"/>
    </row>
    <row r="222" spans="2:5">
      <c r="B222" s="226" t="s">
        <v>931</v>
      </c>
      <c r="C222" s="226"/>
      <c r="D222" s="226"/>
    </row>
  </sheetData>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F9"/>
  <sheetViews>
    <sheetView workbookViewId="0"/>
  </sheetViews>
  <sheetFormatPr defaultRowHeight="12.75"/>
  <cols>
    <col min="1" max="1" width="2.7109375" customWidth="1"/>
    <col min="2" max="10" width="10.7109375" customWidth="1"/>
  </cols>
  <sheetData>
    <row r="1" spans="2:6" ht="27">
      <c r="B1" s="294" t="s">
        <v>1044</v>
      </c>
    </row>
    <row r="2" spans="2:6" s="292" customFormat="1" ht="14.1" customHeight="1">
      <c r="B2" s="294"/>
    </row>
    <row r="3" spans="2:6" ht="15" thickBot="1">
      <c r="B3" s="142" t="s">
        <v>484</v>
      </c>
    </row>
    <row r="4" spans="2:6">
      <c r="B4" s="143" t="s">
        <v>370</v>
      </c>
    </row>
    <row r="5" spans="2:6" ht="13.5" thickBot="1">
      <c r="B5" s="144" t="s">
        <v>320</v>
      </c>
    </row>
    <row r="9" spans="2:6" s="57" customFormat="1">
      <c r="B9"/>
      <c r="C9"/>
      <c r="D9"/>
      <c r="E9"/>
      <c r="F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N148"/>
  <sheetViews>
    <sheetView topLeftCell="A16" workbookViewId="0">
      <selection activeCell="F38" sqref="F38"/>
    </sheetView>
  </sheetViews>
  <sheetFormatPr defaultColWidth="9.140625" defaultRowHeight="12.75"/>
  <cols>
    <col min="1" max="1" width="1.7109375" customWidth="1"/>
    <col min="2" max="2" width="37.28515625" style="6" customWidth="1"/>
    <col min="3" max="3" width="10.7109375" style="6" customWidth="1"/>
    <col min="4" max="4" width="19.28515625" style="6" customWidth="1"/>
    <col min="5" max="5" width="8.7109375" style="128" customWidth="1"/>
    <col min="6" max="6" width="47" style="6" customWidth="1"/>
    <col min="7" max="7" width="18.5703125" style="6" customWidth="1"/>
    <col min="8" max="8" width="14.5703125" style="6" bestFit="1" customWidth="1"/>
    <col min="9" max="10" width="13.7109375" style="6" bestFit="1" customWidth="1"/>
    <col min="11" max="11" width="12.5703125" style="6" bestFit="1" customWidth="1"/>
    <col min="12" max="12" width="13.28515625" style="6" customWidth="1"/>
    <col min="13" max="13" width="12.42578125" style="6" customWidth="1"/>
    <col min="14" max="14" width="11.7109375" style="6" customWidth="1"/>
    <col min="15" max="16384" width="9.140625" style="6"/>
  </cols>
  <sheetData>
    <row r="1" spans="1:7" ht="27">
      <c r="B1" s="81" t="s">
        <v>476</v>
      </c>
      <c r="C1" s="15"/>
      <c r="G1"/>
    </row>
    <row r="2" spans="1:7" ht="15.75">
      <c r="A2" s="49"/>
      <c r="B2" s="89" t="s">
        <v>382</v>
      </c>
      <c r="C2" s="90" t="s">
        <v>516</v>
      </c>
    </row>
    <row r="3" spans="1:7" ht="15.75">
      <c r="A3" s="49"/>
      <c r="B3" s="89" t="s">
        <v>381</v>
      </c>
      <c r="C3" s="90" t="s">
        <v>260</v>
      </c>
    </row>
    <row r="4" spans="1:7" ht="15.75">
      <c r="A4" s="49"/>
      <c r="B4" s="89" t="s">
        <v>380</v>
      </c>
      <c r="C4" s="90" t="s">
        <v>260</v>
      </c>
    </row>
    <row r="5" spans="1:7" ht="15">
      <c r="B5"/>
      <c r="C5" s="15"/>
    </row>
    <row r="6" spans="1:7" customFormat="1" ht="15" customHeight="1">
      <c r="B6" s="121" t="s">
        <v>310</v>
      </c>
      <c r="C6" s="121"/>
      <c r="D6" s="121"/>
      <c r="E6" s="129"/>
      <c r="F6" s="121"/>
    </row>
    <row r="7" spans="1:7" ht="15" customHeight="1">
      <c r="B7" s="122" t="s">
        <v>472</v>
      </c>
      <c r="C7" s="59" t="s">
        <v>468</v>
      </c>
      <c r="D7" s="59" t="s">
        <v>469</v>
      </c>
      <c r="E7" s="130" t="s">
        <v>470</v>
      </c>
      <c r="F7" s="122" t="s">
        <v>471</v>
      </c>
    </row>
    <row r="8" spans="1:7" customFormat="1">
      <c r="A8" s="57"/>
      <c r="B8" s="57" t="s">
        <v>73</v>
      </c>
      <c r="C8" s="51"/>
      <c r="D8" s="57"/>
      <c r="E8" s="131"/>
      <c r="F8" s="57"/>
    </row>
    <row r="9" spans="1:7" customFormat="1">
      <c r="A9" s="57"/>
      <c r="B9" s="77" t="s">
        <v>267</v>
      </c>
      <c r="C9" s="157">
        <f>IF(ISBLANK(Dashboard!D5),Dashboard!C5,Dashboard!D5)</f>
        <v>2020</v>
      </c>
      <c r="D9" s="21"/>
      <c r="E9" s="132"/>
      <c r="F9" s="57"/>
    </row>
    <row r="10" spans="1:7" customFormat="1">
      <c r="A10" s="57"/>
      <c r="B10" s="77" t="s">
        <v>18</v>
      </c>
      <c r="C10" s="308">
        <f>IF(ISBLANK(Dashboard!D6),Dashboard!C6,Dashboard!D6)</f>
        <v>10</v>
      </c>
      <c r="D10" s="21" t="s">
        <v>280</v>
      </c>
      <c r="E10" s="132"/>
      <c r="F10" s="57"/>
    </row>
    <row r="11" spans="1:7" customFormat="1">
      <c r="A11" s="57"/>
      <c r="B11" s="77" t="s">
        <v>19</v>
      </c>
      <c r="C11" s="308">
        <f>IF(ISBLANK(Dashboard!D7),Dashboard!C7,Dashboard!D7)</f>
        <v>5</v>
      </c>
      <c r="D11" s="21" t="s">
        <v>280</v>
      </c>
      <c r="E11" s="132"/>
      <c r="F11" s="57"/>
    </row>
    <row r="12" spans="1:7" customFormat="1">
      <c r="A12" s="57"/>
      <c r="B12" s="77" t="s">
        <v>20</v>
      </c>
      <c r="C12" s="308">
        <f>IF(ISBLANK(Dashboard!D8),Dashboard!C8,Dashboard!D8)</f>
        <v>30</v>
      </c>
      <c r="D12" s="21" t="s">
        <v>280</v>
      </c>
      <c r="E12" s="132"/>
      <c r="F12" s="57"/>
    </row>
    <row r="13" spans="1:7" s="455" customFormat="1">
      <c r="B13" s="77" t="s">
        <v>1166</v>
      </c>
      <c r="C13" s="460">
        <f>IF(ISBLANK(Dashboard!D9),Dashboard!C9,Dashboard!D9)</f>
        <v>0</v>
      </c>
      <c r="D13" s="21"/>
      <c r="E13" s="132"/>
    </row>
    <row r="14" spans="1:7" customFormat="1">
      <c r="A14" s="57"/>
      <c r="B14" s="57" t="s">
        <v>87</v>
      </c>
      <c r="C14" s="109"/>
      <c r="D14" s="21"/>
      <c r="E14" s="132"/>
      <c r="F14" s="57"/>
    </row>
    <row r="15" spans="1:7" customFormat="1">
      <c r="A15" s="57"/>
      <c r="B15" s="77" t="s">
        <v>89</v>
      </c>
      <c r="C15" s="68">
        <f>IF(Dashboard!$D$18="valid",Dashboard!D12,Dashboard!C12)</f>
        <v>0</v>
      </c>
      <c r="D15" s="21"/>
      <c r="E15" s="132"/>
      <c r="F15" s="57"/>
    </row>
    <row r="16" spans="1:7" customFormat="1">
      <c r="A16" s="57"/>
      <c r="B16" s="77" t="s">
        <v>90</v>
      </c>
      <c r="C16" s="68">
        <f>IF(Dashboard!$D$18="valid",Dashboard!D13,Dashboard!C13)</f>
        <v>0.45</v>
      </c>
      <c r="D16" s="21"/>
      <c r="E16" s="132"/>
      <c r="F16" s="57"/>
    </row>
    <row r="17" spans="1:13" customFormat="1">
      <c r="A17" s="57"/>
      <c r="B17" s="77" t="s">
        <v>91</v>
      </c>
      <c r="C17" s="68">
        <f>IF(Dashboard!$D$18="valid",Dashboard!D14,Dashboard!C14)</f>
        <v>0.45</v>
      </c>
      <c r="D17" s="21"/>
      <c r="E17" s="132"/>
      <c r="F17" s="57"/>
    </row>
    <row r="18" spans="1:13" customFormat="1">
      <c r="A18" s="57"/>
      <c r="B18" s="77" t="s">
        <v>83</v>
      </c>
      <c r="C18" s="68">
        <f>IF(Dashboard!$D$18="valid",Dashboard!D15,Dashboard!C15)</f>
        <v>0.1</v>
      </c>
      <c r="D18" s="21"/>
      <c r="E18" s="132"/>
      <c r="F18" s="57"/>
    </row>
    <row r="19" spans="1:13" customFormat="1">
      <c r="A19" s="57"/>
      <c r="B19" s="77" t="s">
        <v>88</v>
      </c>
      <c r="C19" s="68">
        <f>IF(Dashboard!$D$18="valid",Dashboard!D16,Dashboard!C16)</f>
        <v>0</v>
      </c>
      <c r="D19" s="21"/>
      <c r="E19" s="132"/>
      <c r="F19" s="57"/>
    </row>
    <row r="20" spans="1:13" customFormat="1" ht="17.25">
      <c r="A20" s="57"/>
      <c r="B20" s="77" t="s">
        <v>278</v>
      </c>
      <c r="C20" s="68">
        <f>IF(Dashboard!$D$18="valid",Dashboard!D17,Dashboard!C17)</f>
        <v>0</v>
      </c>
      <c r="D20" s="21"/>
      <c r="E20" s="132"/>
      <c r="F20" s="57"/>
    </row>
    <row r="21" spans="1:13" customFormat="1">
      <c r="A21" s="57"/>
      <c r="B21" s="57" t="s">
        <v>198</v>
      </c>
      <c r="C21" s="57"/>
      <c r="D21" s="21"/>
      <c r="E21" s="132"/>
      <c r="F21" s="6"/>
      <c r="G21" s="6"/>
      <c r="H21" s="6"/>
    </row>
    <row r="22" spans="1:13" s="31" customFormat="1" ht="38.25">
      <c r="A22" s="57"/>
      <c r="B22" s="523" t="s">
        <v>377</v>
      </c>
      <c r="C22" s="164">
        <v>0.5</v>
      </c>
      <c r="D22" s="626" t="s">
        <v>1243</v>
      </c>
      <c r="E22" s="625">
        <v>1360</v>
      </c>
      <c r="H22" s="626" t="s">
        <v>1402</v>
      </c>
      <c r="I22" s="625">
        <v>614</v>
      </c>
      <c r="J22"/>
      <c r="K22"/>
      <c r="L22"/>
      <c r="M22"/>
    </row>
    <row r="23" spans="1:13" customFormat="1">
      <c r="A23" s="57"/>
      <c r="B23" s="77" t="s">
        <v>473</v>
      </c>
      <c r="C23" s="76" t="str">
        <f>IF(ISBLANK(Dashboard!D25),Dashboard!C25,Dashboard!D25)</f>
        <v>Yes</v>
      </c>
      <c r="D23" s="6"/>
      <c r="E23" s="194" t="s">
        <v>1284</v>
      </c>
      <c r="F23" s="6"/>
      <c r="G23" s="6"/>
    </row>
    <row r="24" spans="1:13" customFormat="1">
      <c r="A24" s="57"/>
      <c r="B24" s="77" t="s">
        <v>474</v>
      </c>
      <c r="C24" s="76" t="str">
        <f>IF(ISBLANK(Dashboard!D26),Dashboard!C26,Dashboard!D26)</f>
        <v>Yes</v>
      </c>
      <c r="D24" s="6"/>
      <c r="E24" s="761">
        <v>11.256602726155577</v>
      </c>
      <c r="F24" s="57"/>
      <c r="G24" s="6"/>
      <c r="I24" s="194" t="s">
        <v>1304</v>
      </c>
    </row>
    <row r="25" spans="1:13" s="57" customFormat="1">
      <c r="B25" s="77" t="s">
        <v>525</v>
      </c>
      <c r="C25" s="76" t="str">
        <f>IF(ISBLANK(Dashboard!D24),Dashboard!C24,Dashboard!D24)</f>
        <v>No</v>
      </c>
      <c r="D25" s="21"/>
      <c r="E25" s="132"/>
      <c r="I25" s="50">
        <v>10.877309584639946</v>
      </c>
      <c r="J25"/>
    </row>
    <row r="26" spans="1:13" s="31" customFormat="1" ht="25.5">
      <c r="A26" s="57"/>
      <c r="B26" s="77" t="s">
        <v>1221</v>
      </c>
      <c r="C26" s="76" t="str">
        <f>IF(ISBLANK(Dashboard!D27),Dashboard!C27,Dashboard!D27)</f>
        <v>Yes</v>
      </c>
      <c r="D26" s="626" t="s">
        <v>1220</v>
      </c>
      <c r="E26" s="608">
        <v>0.57789999999999997</v>
      </c>
      <c r="F26" s="765" t="s">
        <v>1406</v>
      </c>
      <c r="G26" s="320" t="str">
        <f>IF(ISBLANK(Dashboard!D28),Dashboard!C28,Dashboard!D28)</f>
        <v>Yes</v>
      </c>
      <c r="H26" s="763" t="s">
        <v>1403</v>
      </c>
      <c r="I26" s="608">
        <v>0.78939999999999999</v>
      </c>
      <c r="J26" s="194" t="s">
        <v>1412</v>
      </c>
    </row>
    <row r="27" spans="1:13" s="31" customFormat="1">
      <c r="A27" s="57"/>
      <c r="B27" s="77" t="s">
        <v>335</v>
      </c>
      <c r="C27" s="76" t="str">
        <f>IF(ISBLANK(Dashboard!D22),Dashboard!C22,Dashboard!D22)</f>
        <v>A</v>
      </c>
      <c r="D27" s="762" t="s">
        <v>1289</v>
      </c>
      <c r="E27" s="640">
        <v>0.9</v>
      </c>
      <c r="F27" s="57" t="s">
        <v>1294</v>
      </c>
      <c r="H27" s="764" t="s">
        <v>1404</v>
      </c>
      <c r="I27" s="640">
        <v>0.9</v>
      </c>
      <c r="J27" s="758" t="s">
        <v>1294</v>
      </c>
    </row>
    <row r="28" spans="1:13" s="31" customFormat="1">
      <c r="A28" s="57"/>
      <c r="D28" s="556" t="s">
        <v>1290</v>
      </c>
      <c r="H28" s="765" t="s">
        <v>1290</v>
      </c>
      <c r="I28" s="758"/>
      <c r="J28" s="758"/>
    </row>
    <row r="29" spans="1:13" s="14" customFormat="1" ht="14.25">
      <c r="A29" s="2"/>
      <c r="B29" s="121" t="s">
        <v>15</v>
      </c>
      <c r="C29" s="121"/>
      <c r="D29" s="121"/>
      <c r="E29" s="129"/>
      <c r="F29" s="121"/>
      <c r="G29" s="607"/>
    </row>
    <row r="30" spans="1:13" ht="13.5">
      <c r="A30" s="57"/>
      <c r="B30" s="122" t="s">
        <v>472</v>
      </c>
      <c r="C30" s="59" t="s">
        <v>468</v>
      </c>
      <c r="D30" s="59" t="s">
        <v>469</v>
      </c>
      <c r="E30" s="130" t="s">
        <v>470</v>
      </c>
      <c r="F30" s="122" t="s">
        <v>471</v>
      </c>
      <c r="G30" s="609" t="s">
        <v>1222</v>
      </c>
    </row>
    <row r="31" spans="1:13" s="14" customFormat="1" ht="14.25">
      <c r="A31" s="2"/>
      <c r="B31" s="57" t="s">
        <v>0</v>
      </c>
      <c r="C31" s="165">
        <v>70.876666666666651</v>
      </c>
      <c r="D31" s="57" t="s">
        <v>531</v>
      </c>
      <c r="E31" s="131" t="s">
        <v>100</v>
      </c>
      <c r="F31" s="2" t="s">
        <v>948</v>
      </c>
      <c r="G31" s="662">
        <v>19.399999999999999</v>
      </c>
      <c r="H31" s="14" t="s">
        <v>1390</v>
      </c>
    </row>
    <row r="32" spans="1:13" s="14" customFormat="1">
      <c r="A32" s="2"/>
      <c r="B32" s="57" t="s">
        <v>939</v>
      </c>
      <c r="C32" s="663">
        <v>124340</v>
      </c>
      <c r="D32" s="57" t="s">
        <v>940</v>
      </c>
      <c r="E32" s="184" t="s">
        <v>941</v>
      </c>
      <c r="F32" s="2" t="s">
        <v>1271</v>
      </c>
    </row>
    <row r="33" spans="1:8" s="14" customFormat="1">
      <c r="A33" s="2"/>
      <c r="B33" s="273" t="s">
        <v>942</v>
      </c>
      <c r="C33" s="665">
        <f>C32/10^6</f>
        <v>0.12434000000000001</v>
      </c>
      <c r="D33" s="57" t="s">
        <v>530</v>
      </c>
      <c r="E33" s="131"/>
      <c r="F33" s="57"/>
    </row>
    <row r="34" spans="1:8" s="14" customFormat="1" ht="14.25">
      <c r="A34" s="2"/>
      <c r="B34" s="57" t="s">
        <v>1</v>
      </c>
      <c r="C34" s="664">
        <v>53.0566666666667</v>
      </c>
      <c r="D34" s="57" t="s">
        <v>531</v>
      </c>
      <c r="E34" s="131" t="s">
        <v>100</v>
      </c>
      <c r="F34" s="2" t="s">
        <v>948</v>
      </c>
      <c r="G34" s="632">
        <f>C34*2.2045</f>
        <v>116.96342166666673</v>
      </c>
      <c r="H34" s="14" t="s">
        <v>1389</v>
      </c>
    </row>
    <row r="35" spans="1:8" s="14" customFormat="1" ht="14.25">
      <c r="A35" s="2"/>
      <c r="B35" s="2" t="s">
        <v>1372</v>
      </c>
      <c r="C35" s="664">
        <v>54.71</v>
      </c>
      <c r="D35" s="729" t="s">
        <v>531</v>
      </c>
      <c r="E35" s="730" t="s">
        <v>100</v>
      </c>
      <c r="F35" s="2" t="s">
        <v>948</v>
      </c>
      <c r="G35" s="14" t="s">
        <v>1373</v>
      </c>
    </row>
    <row r="36" spans="1:8" s="14" customFormat="1" ht="14.25">
      <c r="A36" s="2"/>
      <c r="B36" s="57" t="s">
        <v>2</v>
      </c>
      <c r="C36" s="165">
        <v>94.7</v>
      </c>
      <c r="D36" s="57" t="s">
        <v>531</v>
      </c>
      <c r="E36" s="131" t="s">
        <v>100</v>
      </c>
      <c r="F36" s="2" t="s">
        <v>948</v>
      </c>
    </row>
    <row r="37" spans="1:8" s="14" customFormat="1" ht="14.25">
      <c r="A37" s="2"/>
      <c r="B37" s="57" t="s">
        <v>7</v>
      </c>
      <c r="C37" s="165">
        <v>73.150000000000006</v>
      </c>
      <c r="D37" s="57" t="s">
        <v>531</v>
      </c>
      <c r="E37" s="131" t="s">
        <v>100</v>
      </c>
      <c r="F37" s="2" t="s">
        <v>948</v>
      </c>
      <c r="G37" s="632">
        <f>C37*2.2045*C39</f>
        <v>22.1537854615</v>
      </c>
      <c r="H37" s="14" t="s">
        <v>1390</v>
      </c>
    </row>
    <row r="38" spans="1:8" s="14" customFormat="1">
      <c r="A38" s="2"/>
      <c r="B38" s="57" t="s">
        <v>943</v>
      </c>
      <c r="C38" s="663">
        <v>137380</v>
      </c>
      <c r="D38" s="57" t="s">
        <v>940</v>
      </c>
      <c r="E38" s="184" t="s">
        <v>941</v>
      </c>
      <c r="F38" s="57"/>
      <c r="G38" s="633"/>
    </row>
    <row r="39" spans="1:8" s="14" customFormat="1">
      <c r="A39" s="2"/>
      <c r="B39" s="273" t="s">
        <v>942</v>
      </c>
      <c r="C39" s="665">
        <f>C38/10^6</f>
        <v>0.13738</v>
      </c>
      <c r="D39" s="57" t="s">
        <v>530</v>
      </c>
      <c r="E39" s="184"/>
      <c r="F39" s="57"/>
      <c r="G39" s="633"/>
    </row>
    <row r="40" spans="1:8" s="14" customFormat="1" ht="14.25">
      <c r="A40" s="2"/>
      <c r="B40" s="57" t="s">
        <v>1272</v>
      </c>
      <c r="C40" s="664">
        <v>70.876666666666651</v>
      </c>
      <c r="D40" s="57" t="s">
        <v>531</v>
      </c>
      <c r="E40" s="131" t="s">
        <v>100</v>
      </c>
      <c r="F40" s="2" t="s">
        <v>948</v>
      </c>
      <c r="G40" s="632">
        <f>C40*2.2045*C41</f>
        <v>21.093427574999993</v>
      </c>
      <c r="H40" s="14" t="s">
        <v>1390</v>
      </c>
    </row>
    <row r="41" spans="1:8" s="14" customFormat="1">
      <c r="A41" s="2"/>
      <c r="B41" s="57" t="s">
        <v>367</v>
      </c>
      <c r="C41" s="166">
        <v>0.13500000000000001</v>
      </c>
      <c r="D41" s="57" t="s">
        <v>337</v>
      </c>
      <c r="E41" s="131"/>
      <c r="F41" s="57"/>
    </row>
    <row r="42" spans="1:8" s="14" customFormat="1" ht="14.25">
      <c r="A42" s="2"/>
      <c r="B42" s="57" t="s">
        <v>75</v>
      </c>
      <c r="C42" s="165">
        <v>62.28</v>
      </c>
      <c r="D42" s="57" t="s">
        <v>531</v>
      </c>
      <c r="E42" s="131" t="s">
        <v>100</v>
      </c>
      <c r="F42" s="2" t="s">
        <v>948</v>
      </c>
    </row>
    <row r="43" spans="1:8" s="14" customFormat="1">
      <c r="A43" s="2"/>
      <c r="B43" s="2" t="s">
        <v>944</v>
      </c>
      <c r="C43" s="663">
        <v>91410</v>
      </c>
      <c r="D43" s="57" t="s">
        <v>940</v>
      </c>
      <c r="E43" s="184" t="s">
        <v>941</v>
      </c>
      <c r="F43" s="57"/>
    </row>
    <row r="44" spans="1:8" s="14" customFormat="1">
      <c r="A44" s="2"/>
      <c r="B44" s="77" t="s">
        <v>942</v>
      </c>
      <c r="C44" s="665">
        <f>C43/10^6</f>
        <v>9.1410000000000005E-2</v>
      </c>
      <c r="D44" s="57" t="s">
        <v>530</v>
      </c>
      <c r="E44" s="184"/>
      <c r="F44" s="57"/>
    </row>
    <row r="45" spans="1:8" s="14" customFormat="1" ht="14.25">
      <c r="A45" s="2"/>
      <c r="B45" s="57" t="s">
        <v>77</v>
      </c>
      <c r="C45" s="664">
        <v>72.31</v>
      </c>
      <c r="D45" s="57" t="s">
        <v>531</v>
      </c>
      <c r="E45" s="131" t="s">
        <v>100</v>
      </c>
      <c r="F45" s="2" t="s">
        <v>948</v>
      </c>
    </row>
    <row r="46" spans="1:8" s="14" customFormat="1" ht="14.25">
      <c r="A46" s="2"/>
      <c r="B46" s="57" t="s">
        <v>74</v>
      </c>
      <c r="C46" s="165">
        <v>14.79</v>
      </c>
      <c r="D46" s="57" t="s">
        <v>531</v>
      </c>
      <c r="E46" s="131" t="s">
        <v>100</v>
      </c>
      <c r="F46" s="2" t="s">
        <v>948</v>
      </c>
      <c r="G46" s="631">
        <f>(1-0.73)*19.4</f>
        <v>5.2379999999999995</v>
      </c>
      <c r="H46" s="14" t="s">
        <v>1390</v>
      </c>
    </row>
    <row r="47" spans="1:8" s="14" customFormat="1" ht="14.25">
      <c r="A47" s="2"/>
      <c r="B47" s="57" t="s">
        <v>44</v>
      </c>
      <c r="C47" s="165">
        <v>78.8</v>
      </c>
      <c r="D47" s="57" t="s">
        <v>531</v>
      </c>
      <c r="E47" s="131" t="s">
        <v>100</v>
      </c>
      <c r="F47" s="2" t="s">
        <v>948</v>
      </c>
    </row>
    <row r="48" spans="1:8" s="14" customFormat="1">
      <c r="A48" s="2"/>
      <c r="B48" s="77" t="s">
        <v>942</v>
      </c>
      <c r="C48" s="166">
        <v>0.14960000000000001</v>
      </c>
      <c r="D48" s="57" t="s">
        <v>530</v>
      </c>
      <c r="E48" s="131"/>
      <c r="F48" s="57" t="s">
        <v>366</v>
      </c>
    </row>
    <row r="49" spans="1:10" s="14" customFormat="1" ht="14.25">
      <c r="A49" s="2"/>
      <c r="B49" s="57" t="s">
        <v>82</v>
      </c>
      <c r="C49" s="165">
        <v>0</v>
      </c>
      <c r="D49" s="57" t="s">
        <v>531</v>
      </c>
      <c r="E49" s="131"/>
      <c r="F49" s="57" t="s">
        <v>342</v>
      </c>
    </row>
    <row r="50" spans="1:10" s="14" customFormat="1" ht="14.25">
      <c r="A50" s="2"/>
      <c r="B50" s="57" t="s">
        <v>343</v>
      </c>
      <c r="C50" s="165">
        <v>0</v>
      </c>
      <c r="D50" s="57" t="s">
        <v>531</v>
      </c>
      <c r="E50" s="131"/>
      <c r="F50" s="57" t="s">
        <v>1346</v>
      </c>
    </row>
    <row r="51" spans="1:10">
      <c r="A51" s="57"/>
    </row>
    <row r="52" spans="1:10" s="14" customFormat="1" ht="14.25">
      <c r="A52" s="2"/>
      <c r="B52" s="121" t="s">
        <v>281</v>
      </c>
      <c r="C52" s="121"/>
      <c r="D52" s="121"/>
      <c r="E52" s="129"/>
      <c r="F52" s="121"/>
    </row>
    <row r="53" spans="1:10" ht="13.5">
      <c r="A53" s="57"/>
      <c r="B53" s="122" t="s">
        <v>472</v>
      </c>
      <c r="C53" s="59" t="s">
        <v>468</v>
      </c>
      <c r="D53" s="59" t="s">
        <v>469</v>
      </c>
      <c r="E53" s="130" t="s">
        <v>470</v>
      </c>
      <c r="F53" s="122" t="s">
        <v>471</v>
      </c>
    </row>
    <row r="54" spans="1:10" s="14" customFormat="1" ht="15">
      <c r="A54" s="2"/>
      <c r="B54" s="137" t="s">
        <v>467</v>
      </c>
      <c r="C54" s="16"/>
      <c r="D54" s="17"/>
      <c r="E54" s="133"/>
      <c r="F54" s="2"/>
    </row>
    <row r="55" spans="1:10" s="14" customFormat="1" ht="14.25">
      <c r="A55" s="2"/>
      <c r="B55" s="77" t="s">
        <v>481</v>
      </c>
      <c r="C55" s="135">
        <v>73</v>
      </c>
      <c r="D55" s="24" t="s">
        <v>480</v>
      </c>
      <c r="E55" s="131" t="s">
        <v>477</v>
      </c>
      <c r="F55" s="14" t="s">
        <v>483</v>
      </c>
    </row>
    <row r="56" spans="1:10" s="14" customFormat="1" ht="14.25">
      <c r="A56" s="2"/>
      <c r="B56" s="77" t="s">
        <v>618</v>
      </c>
      <c r="C56" s="135">
        <v>7</v>
      </c>
      <c r="D56" s="24" t="s">
        <v>480</v>
      </c>
      <c r="E56" s="131" t="s">
        <v>477</v>
      </c>
      <c r="F56" s="14" t="s">
        <v>483</v>
      </c>
    </row>
    <row r="57" spans="1:10" s="14" customFormat="1" ht="14.25">
      <c r="A57" s="2"/>
      <c r="B57" s="77" t="s">
        <v>617</v>
      </c>
      <c r="C57" s="222">
        <f>SUM(C55:C56)</f>
        <v>80</v>
      </c>
      <c r="D57" s="24" t="s">
        <v>480</v>
      </c>
      <c r="E57" s="184"/>
    </row>
    <row r="58" spans="1:10" s="14" customFormat="1" ht="14.25">
      <c r="A58" s="2"/>
      <c r="B58" s="77" t="s">
        <v>619</v>
      </c>
      <c r="C58" s="222">
        <f>(85.6*C36+167.4*C34+167.6*C37+126*C40+8.3*C42+280.8*C31+102.3*C47+0.7*C46)/1000</f>
        <v>66.669090999999995</v>
      </c>
      <c r="D58" s="24" t="s">
        <v>480</v>
      </c>
      <c r="E58" s="131"/>
    </row>
    <row r="59" spans="1:10" s="14" customFormat="1">
      <c r="B59" s="77" t="s">
        <v>1300</v>
      </c>
      <c r="C59" s="660">
        <v>4866692</v>
      </c>
      <c r="D59" s="661" t="s">
        <v>1301</v>
      </c>
      <c r="E59"/>
      <c r="F59"/>
      <c r="G59"/>
      <c r="H59"/>
      <c r="I59"/>
      <c r="J59"/>
    </row>
    <row r="60" spans="1:10" s="14" customFormat="1">
      <c r="A60" s="2"/>
      <c r="B60" s="194" t="s">
        <v>613</v>
      </c>
      <c r="C60" s="136"/>
      <c r="D60" s="24"/>
      <c r="E60" s="184"/>
    </row>
    <row r="61" spans="1:10" s="14" customFormat="1">
      <c r="A61" s="2"/>
      <c r="B61" s="77">
        <v>2020</v>
      </c>
      <c r="C61" s="136"/>
      <c r="D61" s="24"/>
      <c r="E61" s="184"/>
    </row>
    <row r="62" spans="1:10" s="14" customFormat="1">
      <c r="A62" s="2"/>
      <c r="B62" s="156" t="s">
        <v>616</v>
      </c>
      <c r="C62" s="223">
        <v>0</v>
      </c>
      <c r="D62" s="24"/>
      <c r="E62" s="184" t="s">
        <v>621</v>
      </c>
    </row>
    <row r="63" spans="1:10" s="14" customFormat="1" ht="14.25">
      <c r="A63" s="2"/>
      <c r="B63" s="156" t="s">
        <v>614</v>
      </c>
      <c r="C63" s="222">
        <f>$C$55*(1-C62)</f>
        <v>73</v>
      </c>
      <c r="D63" s="24" t="s">
        <v>480</v>
      </c>
      <c r="E63" s="184"/>
    </row>
    <row r="64" spans="1:10" s="14" customFormat="1" ht="14.25">
      <c r="A64" s="2"/>
      <c r="B64" s="156" t="s">
        <v>615</v>
      </c>
      <c r="C64" s="222">
        <f>$C$57*(1-C62)</f>
        <v>80</v>
      </c>
      <c r="D64" s="24" t="s">
        <v>480</v>
      </c>
      <c r="E64" s="184"/>
    </row>
    <row r="65" spans="1:6" s="14" customFormat="1">
      <c r="A65" s="2"/>
      <c r="B65" s="77">
        <v>2035</v>
      </c>
      <c r="C65" s="136"/>
      <c r="D65" s="24"/>
      <c r="E65" s="184"/>
    </row>
    <row r="66" spans="1:6" s="14" customFormat="1">
      <c r="A66" s="2"/>
      <c r="B66" s="156" t="s">
        <v>616</v>
      </c>
      <c r="C66" s="223">
        <v>0.25</v>
      </c>
      <c r="D66" s="24"/>
      <c r="E66" s="184" t="s">
        <v>621</v>
      </c>
    </row>
    <row r="67" spans="1:6" s="14" customFormat="1" ht="14.25">
      <c r="A67" s="2"/>
      <c r="B67" s="156" t="s">
        <v>614</v>
      </c>
      <c r="C67" s="222">
        <f>$C$55*(1-C66)</f>
        <v>54.75</v>
      </c>
      <c r="D67" s="24" t="s">
        <v>480</v>
      </c>
      <c r="E67" s="184"/>
    </row>
    <row r="68" spans="1:6" s="14" customFormat="1" ht="14.25">
      <c r="A68" s="2"/>
      <c r="B68" s="156" t="s">
        <v>615</v>
      </c>
      <c r="C68" s="222">
        <f>$C$57*(1-C66)</f>
        <v>60</v>
      </c>
      <c r="D68" s="24" t="s">
        <v>480</v>
      </c>
      <c r="E68" s="184"/>
    </row>
    <row r="69" spans="1:6" s="14" customFormat="1">
      <c r="A69" s="2"/>
      <c r="B69" s="77">
        <v>2050</v>
      </c>
      <c r="C69" s="136"/>
      <c r="D69" s="24"/>
      <c r="E69" s="184"/>
    </row>
    <row r="70" spans="1:6" s="14" customFormat="1">
      <c r="A70" s="2"/>
      <c r="B70" s="156" t="s">
        <v>616</v>
      </c>
      <c r="C70" s="223">
        <v>0.5</v>
      </c>
      <c r="D70" s="24"/>
      <c r="E70" s="184" t="s">
        <v>621</v>
      </c>
      <c r="F70" s="14" t="s">
        <v>622</v>
      </c>
    </row>
    <row r="71" spans="1:6" s="14" customFormat="1" ht="14.25">
      <c r="A71" s="2"/>
      <c r="B71" s="156" t="s">
        <v>614</v>
      </c>
      <c r="C71" s="222">
        <f>$C$55*(1-C70)</f>
        <v>36.5</v>
      </c>
      <c r="D71" s="24" t="s">
        <v>480</v>
      </c>
      <c r="E71" s="184"/>
    </row>
    <row r="72" spans="1:6" s="14" customFormat="1" ht="14.25">
      <c r="A72" s="2"/>
      <c r="B72" s="156" t="s">
        <v>615</v>
      </c>
      <c r="C72" s="222">
        <f>$C$57*(1-C70)</f>
        <v>40</v>
      </c>
      <c r="D72" s="24" t="s">
        <v>480</v>
      </c>
      <c r="E72" s="184"/>
    </row>
    <row r="73" spans="1:6" s="14" customFormat="1">
      <c r="A73" s="2"/>
      <c r="B73" s="77" t="s">
        <v>620</v>
      </c>
      <c r="C73" s="222"/>
      <c r="D73" s="24"/>
      <c r="E73" s="184"/>
    </row>
    <row r="74" spans="1:6" s="14" customFormat="1">
      <c r="A74" s="2"/>
      <c r="B74" s="156" t="s">
        <v>623</v>
      </c>
      <c r="C74" s="221">
        <f>(C112-2035)/15</f>
        <v>0.33333333333333331</v>
      </c>
      <c r="D74" s="24"/>
      <c r="E74" s="184"/>
    </row>
    <row r="75" spans="1:6" s="14" customFormat="1" ht="14.25">
      <c r="A75" s="2"/>
      <c r="B75" s="156" t="s">
        <v>614</v>
      </c>
      <c r="C75" s="222">
        <f>C67+$C$74*(C71-C67)</f>
        <v>48.666666666666664</v>
      </c>
      <c r="D75" s="24" t="s">
        <v>480</v>
      </c>
      <c r="E75" s="184"/>
    </row>
    <row r="76" spans="1:6" s="14" customFormat="1" ht="14.25">
      <c r="A76" s="2"/>
      <c r="B76" s="156" t="s">
        <v>615</v>
      </c>
      <c r="C76" s="222">
        <f>C68+$C$74*(C72-C68)</f>
        <v>53.333333333333336</v>
      </c>
      <c r="D76" s="24" t="s">
        <v>480</v>
      </c>
      <c r="E76" s="184"/>
    </row>
    <row r="77" spans="1:6" s="14" customFormat="1">
      <c r="A77" s="2"/>
      <c r="B77" s="57" t="s">
        <v>99</v>
      </c>
      <c r="C77" s="57"/>
      <c r="D77" s="57"/>
      <c r="E77" s="131"/>
      <c r="F77" s="57"/>
    </row>
    <row r="78" spans="1:6" s="14" customFormat="1">
      <c r="A78" s="2"/>
      <c r="B78" s="125" t="s">
        <v>96</v>
      </c>
      <c r="C78" s="62">
        <v>49.4</v>
      </c>
      <c r="D78" s="57" t="s">
        <v>17</v>
      </c>
      <c r="E78" s="131" t="s">
        <v>101</v>
      </c>
      <c r="F78" s="57" t="s">
        <v>1123</v>
      </c>
    </row>
    <row r="79" spans="1:6" s="14" customFormat="1">
      <c r="A79" s="2"/>
      <c r="B79" s="125" t="s">
        <v>97</v>
      </c>
      <c r="C79" s="95">
        <v>12</v>
      </c>
      <c r="D79" s="57" t="s">
        <v>17</v>
      </c>
      <c r="E79" s="131" t="s">
        <v>101</v>
      </c>
      <c r="F79" s="57" t="s">
        <v>86</v>
      </c>
    </row>
    <row r="80" spans="1:6" s="14" customFormat="1">
      <c r="A80" s="2"/>
      <c r="B80" s="125" t="s">
        <v>98</v>
      </c>
      <c r="C80" s="95">
        <v>11</v>
      </c>
      <c r="D80" s="57" t="s">
        <v>17</v>
      </c>
      <c r="E80" s="131" t="s">
        <v>101</v>
      </c>
      <c r="F80" s="57" t="s">
        <v>86</v>
      </c>
    </row>
    <row r="81" spans="1:9" s="14" customFormat="1">
      <c r="A81" s="2"/>
      <c r="B81" s="57" t="s">
        <v>9</v>
      </c>
      <c r="C81" s="57"/>
      <c r="D81" s="57"/>
      <c r="E81" s="131"/>
      <c r="F81" s="57"/>
    </row>
    <row r="82" spans="1:9" s="14" customFormat="1">
      <c r="A82" s="2"/>
      <c r="B82" s="126" t="s">
        <v>127</v>
      </c>
      <c r="C82" s="138">
        <v>1939.9</v>
      </c>
      <c r="D82" s="57" t="s">
        <v>132</v>
      </c>
      <c r="E82" s="131" t="s">
        <v>102</v>
      </c>
      <c r="F82" s="57" t="s">
        <v>378</v>
      </c>
    </row>
    <row r="83" spans="1:9" s="14" customFormat="1">
      <c r="A83" s="2"/>
      <c r="B83" s="126" t="s">
        <v>128</v>
      </c>
      <c r="C83" s="138">
        <v>14647.2</v>
      </c>
      <c r="D83" s="57" t="s">
        <v>132</v>
      </c>
      <c r="E83" s="131" t="s">
        <v>102</v>
      </c>
      <c r="F83" s="57" t="s">
        <v>378</v>
      </c>
    </row>
    <row r="84" spans="1:9" s="14" customFormat="1">
      <c r="A84" s="2"/>
      <c r="B84" s="126" t="s">
        <v>14</v>
      </c>
      <c r="C84" s="138">
        <v>2573</v>
      </c>
      <c r="D84" s="57" t="s">
        <v>132</v>
      </c>
      <c r="E84" s="131" t="s">
        <v>102</v>
      </c>
      <c r="F84" s="57" t="s">
        <v>300</v>
      </c>
    </row>
    <row r="85" spans="1:9" s="14" customFormat="1">
      <c r="A85" s="2"/>
      <c r="B85" s="126" t="s">
        <v>129</v>
      </c>
      <c r="C85" s="138">
        <v>1194.9000000000001</v>
      </c>
      <c r="D85" s="57" t="s">
        <v>132</v>
      </c>
      <c r="E85" s="131" t="s">
        <v>102</v>
      </c>
      <c r="F85" s="57" t="s">
        <v>378</v>
      </c>
    </row>
    <row r="86" spans="1:9" s="14" customFormat="1">
      <c r="A86" s="2"/>
      <c r="B86" s="126" t="s">
        <v>10</v>
      </c>
      <c r="C86" s="138">
        <v>2359</v>
      </c>
      <c r="D86" s="57" t="s">
        <v>132</v>
      </c>
      <c r="E86" s="131" t="s">
        <v>102</v>
      </c>
      <c r="F86" s="57" t="s">
        <v>378</v>
      </c>
    </row>
    <row r="87" spans="1:9" s="14" customFormat="1">
      <c r="A87" s="2"/>
      <c r="B87" s="126" t="s">
        <v>11</v>
      </c>
      <c r="C87" s="138">
        <v>509.8</v>
      </c>
      <c r="D87" s="57" t="s">
        <v>132</v>
      </c>
      <c r="E87" s="131" t="s">
        <v>102</v>
      </c>
      <c r="F87" s="57" t="s">
        <v>378</v>
      </c>
    </row>
    <row r="88" spans="1:9" s="14" customFormat="1">
      <c r="A88" s="2"/>
      <c r="B88" s="127" t="s">
        <v>201</v>
      </c>
      <c r="C88" s="139">
        <v>2632621</v>
      </c>
      <c r="D88" s="57"/>
      <c r="E88" s="131" t="s">
        <v>103</v>
      </c>
      <c r="F88" s="54">
        <v>2012</v>
      </c>
    </row>
    <row r="89" spans="1:9" s="14" customFormat="1">
      <c r="A89" s="2"/>
      <c r="B89" s="57" t="s">
        <v>282</v>
      </c>
      <c r="C89" s="57"/>
      <c r="D89" s="57"/>
      <c r="E89" s="131"/>
      <c r="F89" s="57"/>
    </row>
    <row r="90" spans="1:9" s="14" customFormat="1">
      <c r="A90" s="2"/>
      <c r="B90" s="126" t="s">
        <v>130</v>
      </c>
      <c r="C90" s="140">
        <v>2.7900000000000001E-2</v>
      </c>
      <c r="D90" s="57"/>
      <c r="E90" s="131" t="s">
        <v>104</v>
      </c>
      <c r="F90" s="57" t="s">
        <v>1072</v>
      </c>
    </row>
    <row r="91" spans="1:9">
      <c r="A91" s="2"/>
      <c r="B91" s="125" t="s">
        <v>199</v>
      </c>
      <c r="C91" s="141">
        <v>9.0830000000000008E-3</v>
      </c>
      <c r="D91" s="57"/>
      <c r="E91" s="131" t="s">
        <v>105</v>
      </c>
      <c r="F91" s="57" t="s">
        <v>1072</v>
      </c>
      <c r="G91" s="14"/>
      <c r="H91" s="14"/>
      <c r="I91" s="14"/>
    </row>
    <row r="92" spans="1:9" s="14" customFormat="1">
      <c r="A92" s="57"/>
      <c r="B92" s="6"/>
      <c r="C92" s="6"/>
      <c r="D92" s="6"/>
      <c r="E92" s="128"/>
      <c r="F92" s="6"/>
      <c r="G92" s="6"/>
      <c r="H92" s="6"/>
      <c r="I92" s="6"/>
    </row>
    <row r="93" spans="1:9" ht="14.25">
      <c r="A93" s="2"/>
      <c r="B93" s="121" t="s">
        <v>344</v>
      </c>
      <c r="C93" s="121"/>
      <c r="D93" s="121"/>
      <c r="E93" s="129"/>
      <c r="F93" s="121"/>
      <c r="G93" s="14"/>
      <c r="H93" s="14"/>
      <c r="I93" s="14"/>
    </row>
    <row r="94" spans="1:9" ht="13.5">
      <c r="A94" s="57"/>
      <c r="B94" s="122" t="s">
        <v>472</v>
      </c>
      <c r="C94" s="59" t="s">
        <v>468</v>
      </c>
      <c r="D94" s="59" t="s">
        <v>469</v>
      </c>
      <c r="E94" s="130" t="s">
        <v>470</v>
      </c>
      <c r="F94" s="122" t="s">
        <v>471</v>
      </c>
    </row>
    <row r="95" spans="1:9" s="14" customFormat="1">
      <c r="A95"/>
      <c r="B95" s="57" t="s">
        <v>2</v>
      </c>
      <c r="C95" s="95">
        <v>98.9</v>
      </c>
      <c r="D95" s="57" t="s">
        <v>1240</v>
      </c>
      <c r="E95" s="131" t="s">
        <v>257</v>
      </c>
      <c r="F95" s="2" t="s">
        <v>1237</v>
      </c>
      <c r="G95" s="6"/>
      <c r="H95" s="6"/>
      <c r="I95" s="6"/>
    </row>
    <row r="96" spans="1:9" s="14" customFormat="1">
      <c r="A96" s="2"/>
      <c r="B96" s="57" t="s">
        <v>1</v>
      </c>
      <c r="C96" s="95">
        <v>58.6</v>
      </c>
      <c r="D96" s="57" t="s">
        <v>256</v>
      </c>
      <c r="E96" s="131" t="s">
        <v>257</v>
      </c>
      <c r="F96" s="2" t="s">
        <v>1236</v>
      </c>
    </row>
    <row r="97" spans="1:9" s="14" customFormat="1">
      <c r="A97" s="2"/>
      <c r="B97" s="57" t="s">
        <v>435</v>
      </c>
      <c r="C97" s="96">
        <f>C96</f>
        <v>58.6</v>
      </c>
      <c r="D97" s="57" t="s">
        <v>256</v>
      </c>
      <c r="E97" s="131"/>
      <c r="F97" s="57" t="s">
        <v>434</v>
      </c>
    </row>
    <row r="98" spans="1:9">
      <c r="A98" s="2"/>
      <c r="B98" s="57" t="s">
        <v>253</v>
      </c>
      <c r="C98" s="96">
        <f>C95</f>
        <v>98.9</v>
      </c>
      <c r="D98" s="57" t="s">
        <v>256</v>
      </c>
      <c r="E98" s="131"/>
      <c r="F98" s="57" t="s">
        <v>258</v>
      </c>
      <c r="G98" s="14"/>
      <c r="H98" s="14"/>
      <c r="I98" s="14"/>
    </row>
    <row r="99" spans="1:9">
      <c r="B99" s="57" t="s">
        <v>250</v>
      </c>
      <c r="C99" s="95">
        <v>108.4</v>
      </c>
      <c r="D99" s="57" t="s">
        <v>256</v>
      </c>
      <c r="E99" s="131" t="s">
        <v>257</v>
      </c>
      <c r="F99" s="2" t="s">
        <v>1252</v>
      </c>
    </row>
    <row r="100" spans="1:9">
      <c r="B100" s="57" t="s">
        <v>249</v>
      </c>
      <c r="C100" s="95">
        <v>90.3</v>
      </c>
      <c r="D100" s="57" t="s">
        <v>256</v>
      </c>
      <c r="E100" s="131" t="s">
        <v>257</v>
      </c>
      <c r="F100" s="2" t="str">
        <f>F99</f>
        <v>older value, 2013 EIA Levelized Cost of Generation</v>
      </c>
    </row>
    <row r="101" spans="1:9">
      <c r="B101" s="57" t="s">
        <v>252</v>
      </c>
      <c r="C101" s="95">
        <v>97.7</v>
      </c>
      <c r="D101" s="57" t="s">
        <v>256</v>
      </c>
      <c r="E101" s="131" t="s">
        <v>257</v>
      </c>
      <c r="F101" s="2" t="s">
        <v>1235</v>
      </c>
    </row>
    <row r="102" spans="1:9">
      <c r="B102" s="57" t="s">
        <v>254</v>
      </c>
      <c r="C102" s="95">
        <v>89.6</v>
      </c>
      <c r="D102" s="57" t="s">
        <v>256</v>
      </c>
      <c r="E102" s="131" t="s">
        <v>257</v>
      </c>
      <c r="F102" s="2" t="str">
        <f>F99</f>
        <v>older value, 2013 EIA Levelized Cost of Generation</v>
      </c>
    </row>
    <row r="103" spans="1:9">
      <c r="B103" s="57" t="s">
        <v>251</v>
      </c>
      <c r="C103" s="95">
        <v>55.8</v>
      </c>
      <c r="D103" s="57" t="s">
        <v>256</v>
      </c>
      <c r="E103" s="131" t="s">
        <v>257</v>
      </c>
      <c r="F103" s="2" t="s">
        <v>1235</v>
      </c>
    </row>
    <row r="104" spans="1:9">
      <c r="B104" s="57" t="s">
        <v>255</v>
      </c>
      <c r="C104" s="95">
        <v>73.7</v>
      </c>
      <c r="D104" s="48" t="s">
        <v>256</v>
      </c>
      <c r="E104" s="131" t="s">
        <v>257</v>
      </c>
      <c r="F104" s="57" t="s">
        <v>1235</v>
      </c>
    </row>
    <row r="105" spans="1:9">
      <c r="A105" s="57"/>
      <c r="B105" s="57" t="s">
        <v>433</v>
      </c>
      <c r="C105" s="84">
        <f>C96</f>
        <v>58.6</v>
      </c>
      <c r="D105" s="48" t="s">
        <v>256</v>
      </c>
      <c r="E105" s="131"/>
      <c r="F105" s="57" t="s">
        <v>434</v>
      </c>
    </row>
    <row r="106" spans="1:9">
      <c r="A106" s="57"/>
      <c r="B106" s="57" t="s">
        <v>371</v>
      </c>
      <c r="C106" s="84">
        <f>C95</f>
        <v>98.9</v>
      </c>
      <c r="D106" s="48" t="s">
        <v>256</v>
      </c>
      <c r="E106" s="131"/>
      <c r="F106" s="57" t="s">
        <v>258</v>
      </c>
    </row>
    <row r="107" spans="1:9">
      <c r="B107" s="57" t="s">
        <v>375</v>
      </c>
      <c r="C107" s="84">
        <f>C95</f>
        <v>98.9</v>
      </c>
      <c r="D107" s="57" t="s">
        <v>256</v>
      </c>
      <c r="E107" s="131"/>
      <c r="F107" s="57" t="s">
        <v>258</v>
      </c>
    </row>
    <row r="108" spans="1:9" s="14" customFormat="1">
      <c r="A108"/>
      <c r="B108" s="6"/>
      <c r="C108" s="6"/>
      <c r="D108" s="6"/>
      <c r="E108" s="128"/>
      <c r="F108" s="6"/>
      <c r="G108" s="6"/>
      <c r="H108" s="6"/>
      <c r="I108" s="6"/>
    </row>
    <row r="109" spans="1:9" ht="14.25">
      <c r="A109" s="2"/>
      <c r="B109" s="121" t="s">
        <v>464</v>
      </c>
      <c r="C109" s="121"/>
      <c r="D109" s="121"/>
      <c r="E109" s="129"/>
      <c r="F109" s="121"/>
      <c r="G109" s="14"/>
      <c r="H109" s="14"/>
      <c r="I109" s="14"/>
    </row>
    <row r="110" spans="1:9" ht="13.5">
      <c r="A110" s="57"/>
      <c r="B110" s="122" t="s">
        <v>472</v>
      </c>
      <c r="C110" s="59" t="s">
        <v>468</v>
      </c>
      <c r="D110" s="59" t="s">
        <v>469</v>
      </c>
      <c r="E110" s="130" t="s">
        <v>470</v>
      </c>
      <c r="F110" s="122" t="s">
        <v>471</v>
      </c>
    </row>
    <row r="111" spans="1:9">
      <c r="B111" s="14" t="s">
        <v>514</v>
      </c>
      <c r="C111" s="154">
        <v>2018</v>
      </c>
      <c r="F111" s="14" t="s">
        <v>515</v>
      </c>
    </row>
    <row r="112" spans="1:9">
      <c r="B112" s="14" t="s">
        <v>517</v>
      </c>
      <c r="C112" s="154">
        <v>2040</v>
      </c>
      <c r="F112" s="14"/>
    </row>
    <row r="113" spans="1:9">
      <c r="A113" s="57"/>
      <c r="B113" s="14" t="s">
        <v>632</v>
      </c>
      <c r="C113" s="154">
        <v>5.55</v>
      </c>
      <c r="D113" s="6" t="s">
        <v>1273</v>
      </c>
      <c r="F113" s="14" t="s">
        <v>935</v>
      </c>
    </row>
    <row r="114" spans="1:9" s="14" customFormat="1">
      <c r="A114" s="57"/>
      <c r="B114" s="6"/>
      <c r="C114" s="6"/>
      <c r="D114" s="6"/>
      <c r="E114" s="128"/>
      <c r="F114" s="6"/>
      <c r="G114" s="6"/>
      <c r="H114" s="6"/>
      <c r="I114" s="6"/>
    </row>
    <row r="115" spans="1:9" ht="14.25">
      <c r="A115" s="2"/>
      <c r="B115" s="121" t="s">
        <v>547</v>
      </c>
      <c r="C115" s="121"/>
      <c r="D115" s="121"/>
      <c r="E115" s="129"/>
      <c r="F115" s="121"/>
      <c r="G115" s="14"/>
      <c r="H115" s="14"/>
      <c r="I115" s="14"/>
    </row>
    <row r="116" spans="1:9" ht="13.5">
      <c r="A116" s="57"/>
      <c r="B116" s="122" t="s">
        <v>472</v>
      </c>
      <c r="C116" s="59" t="s">
        <v>468</v>
      </c>
      <c r="D116" s="59" t="s">
        <v>469</v>
      </c>
      <c r="E116" s="130" t="s">
        <v>470</v>
      </c>
      <c r="F116" s="122" t="s">
        <v>471</v>
      </c>
    </row>
    <row r="117" spans="1:9" ht="16.5">
      <c r="B117" s="114" t="s">
        <v>548</v>
      </c>
    </row>
    <row r="118" spans="1:9">
      <c r="B118" s="57" t="s">
        <v>542</v>
      </c>
      <c r="C118" s="57"/>
      <c r="D118" s="57"/>
      <c r="E118" s="57"/>
      <c r="F118" s="57" t="s">
        <v>1253</v>
      </c>
    </row>
    <row r="119" spans="1:9">
      <c r="B119" s="77" t="s">
        <v>543</v>
      </c>
      <c r="C119" s="62">
        <v>153.5</v>
      </c>
      <c r="D119" s="57" t="s">
        <v>538</v>
      </c>
      <c r="E119" s="131" t="s">
        <v>539</v>
      </c>
    </row>
    <row r="120" spans="1:9">
      <c r="B120" s="77" t="s">
        <v>544</v>
      </c>
      <c r="C120" s="62">
        <v>153.5</v>
      </c>
      <c r="D120" s="57" t="s">
        <v>538</v>
      </c>
      <c r="E120" s="131" t="s">
        <v>539</v>
      </c>
    </row>
    <row r="121" spans="1:9">
      <c r="B121" s="77" t="s">
        <v>545</v>
      </c>
      <c r="C121" s="95">
        <v>185</v>
      </c>
      <c r="D121" s="57" t="s">
        <v>538</v>
      </c>
      <c r="E121" s="131" t="s">
        <v>539</v>
      </c>
    </row>
    <row r="122" spans="1:9">
      <c r="B122" s="77" t="s">
        <v>546</v>
      </c>
      <c r="C122" s="95">
        <v>185</v>
      </c>
      <c r="D122" s="57" t="s">
        <v>538</v>
      </c>
      <c r="E122" s="131" t="s">
        <v>539</v>
      </c>
    </row>
    <row r="123" spans="1:9">
      <c r="B123" s="77" t="s">
        <v>955</v>
      </c>
      <c r="C123" s="183">
        <f>SUM(C119:C120)/SUM(C119:C122)</f>
        <v>0.45347119645494832</v>
      </c>
      <c r="D123" s="57"/>
      <c r="E123" s="57"/>
    </row>
    <row r="124" spans="1:9">
      <c r="B124" s="57" t="s">
        <v>533</v>
      </c>
    </row>
    <row r="125" spans="1:9">
      <c r="B125" s="77" t="s">
        <v>535</v>
      </c>
      <c r="C125" s="139">
        <f>N136</f>
        <v>961742.83333333337</v>
      </c>
      <c r="D125" s="6" t="s">
        <v>534</v>
      </c>
      <c r="E125" s="131" t="s">
        <v>537</v>
      </c>
    </row>
    <row r="126" spans="1:9">
      <c r="B126" s="77" t="s">
        <v>532</v>
      </c>
      <c r="C126" s="139">
        <f>N137</f>
        <v>4495652.333333333</v>
      </c>
      <c r="D126" s="6" t="s">
        <v>534</v>
      </c>
      <c r="E126" s="131" t="s">
        <v>537</v>
      </c>
    </row>
    <row r="127" spans="1:9">
      <c r="B127" s="77" t="s">
        <v>1254</v>
      </c>
      <c r="C127" s="139">
        <f>N146</f>
        <v>1133649.8298333334</v>
      </c>
      <c r="D127" s="6" t="s">
        <v>534</v>
      </c>
      <c r="E127" s="131" t="s">
        <v>537</v>
      </c>
    </row>
    <row r="128" spans="1:9">
      <c r="B128" s="77" t="s">
        <v>540</v>
      </c>
      <c r="C128" s="151">
        <f>parameters!$C$123*C126</f>
        <v>2038648.8424421467</v>
      </c>
      <c r="D128" s="6" t="s">
        <v>534</v>
      </c>
      <c r="E128" s="131"/>
    </row>
    <row r="129" spans="2:14">
      <c r="B129" s="77" t="s">
        <v>541</v>
      </c>
      <c r="C129" s="151">
        <f>SUM(C125:C127)-C128</f>
        <v>4552396.1540578529</v>
      </c>
      <c r="D129" s="6" t="s">
        <v>534</v>
      </c>
      <c r="E129" s="131"/>
    </row>
    <row r="130" spans="2:14">
      <c r="B130" s="77" t="s">
        <v>536</v>
      </c>
      <c r="C130" s="139">
        <v>10444038</v>
      </c>
      <c r="D130" s="6" t="s">
        <v>534</v>
      </c>
      <c r="E130" s="131" t="s">
        <v>537</v>
      </c>
    </row>
    <row r="131" spans="2:14">
      <c r="B131" s="77" t="s">
        <v>549</v>
      </c>
      <c r="C131" s="183">
        <f>C128/C130</f>
        <v>0.1951973788722472</v>
      </c>
      <c r="D131"/>
    </row>
    <row r="132" spans="2:14">
      <c r="B132" s="77" t="s">
        <v>550</v>
      </c>
      <c r="C132" s="183">
        <f>C129/C130</f>
        <v>0.43588467928380314</v>
      </c>
      <c r="D132"/>
      <c r="J132" s="387"/>
      <c r="K132" s="387"/>
      <c r="L132" s="387"/>
      <c r="M132" s="387"/>
      <c r="N132" s="387"/>
    </row>
    <row r="133" spans="2:14" ht="15.75">
      <c r="G133" s="389" t="s">
        <v>1137</v>
      </c>
      <c r="H133" s="387"/>
      <c r="I133" s="387"/>
      <c r="J133" s="387"/>
      <c r="K133" s="387"/>
      <c r="L133" s="387"/>
      <c r="M133" s="387"/>
      <c r="N133" s="387"/>
    </row>
    <row r="134" spans="2:14">
      <c r="G134" s="387" t="s">
        <v>1186</v>
      </c>
      <c r="H134" s="387"/>
      <c r="I134" s="387"/>
    </row>
    <row r="135" spans="2:14" ht="25.5">
      <c r="G135" s="390" t="s">
        <v>1130</v>
      </c>
      <c r="H135" s="391">
        <v>2010</v>
      </c>
      <c r="I135" s="391">
        <v>2011</v>
      </c>
      <c r="J135" s="391">
        <v>2012</v>
      </c>
      <c r="K135" s="391">
        <v>2013</v>
      </c>
      <c r="L135" s="391">
        <v>2014</v>
      </c>
      <c r="M135" s="391">
        <v>2015</v>
      </c>
      <c r="N135" s="392" t="s">
        <v>1255</v>
      </c>
    </row>
    <row r="136" spans="2:14">
      <c r="G136" s="393" t="s">
        <v>1131</v>
      </c>
      <c r="H136" s="674">
        <v>1096559</v>
      </c>
      <c r="I136" s="674">
        <v>898745</v>
      </c>
      <c r="J136" s="674">
        <v>946310</v>
      </c>
      <c r="K136" s="674">
        <v>790108</v>
      </c>
      <c r="L136" s="674">
        <v>958517</v>
      </c>
      <c r="M136" s="674">
        <v>1080218</v>
      </c>
      <c r="N136" s="394">
        <f>AVERAGE(H136:M136)</f>
        <v>961742.83333333337</v>
      </c>
    </row>
    <row r="137" spans="2:14">
      <c r="G137" s="393" t="s">
        <v>1132</v>
      </c>
      <c r="H137" s="675">
        <v>5908791</v>
      </c>
      <c r="I137" s="675">
        <v>4140214</v>
      </c>
      <c r="J137" s="675">
        <v>3751382</v>
      </c>
      <c r="K137" s="675">
        <v>4283132</v>
      </c>
      <c r="L137" s="675">
        <v>4439477</v>
      </c>
      <c r="M137" s="675">
        <v>4450918</v>
      </c>
      <c r="N137" s="394">
        <f>AVERAGE(H137:M137)</f>
        <v>4495652.333333333</v>
      </c>
    </row>
    <row r="138" spans="2:14">
      <c r="G138" s="393" t="s">
        <v>1133</v>
      </c>
      <c r="H138" s="675">
        <v>2076660</v>
      </c>
      <c r="I138" s="675">
        <v>1615529</v>
      </c>
      <c r="J138" s="675">
        <v>1599858</v>
      </c>
      <c r="K138" s="675">
        <v>2005910</v>
      </c>
      <c r="L138" s="675">
        <v>1773637</v>
      </c>
      <c r="M138" s="675">
        <v>1940639</v>
      </c>
      <c r="N138" s="394">
        <f>AVERAGE(H138:M138)</f>
        <v>1835372.1666666667</v>
      </c>
    </row>
    <row r="139" spans="2:14">
      <c r="G139" s="393" t="s">
        <v>1134</v>
      </c>
      <c r="H139" s="675">
        <f t="shared" ref="H139:M139" si="0">SUM(H136:H138)</f>
        <v>9082010</v>
      </c>
      <c r="I139" s="675">
        <f t="shared" si="0"/>
        <v>6654488</v>
      </c>
      <c r="J139" s="675">
        <f t="shared" si="0"/>
        <v>6297550</v>
      </c>
      <c r="K139" s="675">
        <f t="shared" si="0"/>
        <v>7079150</v>
      </c>
      <c r="L139" s="675">
        <f t="shared" si="0"/>
        <v>7171631</v>
      </c>
      <c r="M139" s="675">
        <f t="shared" si="0"/>
        <v>7471775</v>
      </c>
      <c r="N139" s="394">
        <f>AVERAGE(H139:M139)</f>
        <v>7292767.333333333</v>
      </c>
    </row>
    <row r="140" spans="2:14">
      <c r="G140" s="393" t="s">
        <v>1139</v>
      </c>
      <c r="H140" s="676">
        <v>15955168</v>
      </c>
      <c r="I140" s="676">
        <v>14131168</v>
      </c>
      <c r="J140" s="676">
        <v>12149258</v>
      </c>
      <c r="K140" s="676">
        <v>13519852</v>
      </c>
      <c r="L140" s="676">
        <v>14026540</v>
      </c>
      <c r="M140" s="675">
        <v>14388993</v>
      </c>
      <c r="N140" s="394">
        <f>AVERAGE(H140:M140)</f>
        <v>14028496.5</v>
      </c>
    </row>
    <row r="141" spans="2:14" ht="21.6" customHeight="1">
      <c r="G141" s="387"/>
      <c r="H141" s="387"/>
      <c r="I141" s="387"/>
      <c r="J141" s="387"/>
      <c r="K141" s="387"/>
      <c r="L141" s="387"/>
      <c r="N141" s="387"/>
    </row>
    <row r="142" spans="2:14" ht="15">
      <c r="G142" s="616" t="s">
        <v>1138</v>
      </c>
      <c r="H142" s="617">
        <f>H135</f>
        <v>2010</v>
      </c>
      <c r="I142" s="617">
        <f>I135</f>
        <v>2011</v>
      </c>
      <c r="J142" s="617">
        <f>J135</f>
        <v>2012</v>
      </c>
      <c r="K142" s="617">
        <f>K135</f>
        <v>2013</v>
      </c>
      <c r="L142" s="618">
        <f>L135</f>
        <v>2014</v>
      </c>
      <c r="M142" s="619">
        <v>2015</v>
      </c>
      <c r="N142" s="620" t="str">
        <f>N135</f>
        <v>2010-15 ave.</v>
      </c>
    </row>
    <row r="143" spans="2:14">
      <c r="G143" s="393" t="s">
        <v>1135</v>
      </c>
      <c r="H143" s="675">
        <v>4413721</v>
      </c>
      <c r="I143" s="675">
        <v>4409938</v>
      </c>
      <c r="J143" s="675">
        <v>4491174</v>
      </c>
      <c r="K143" s="675">
        <v>4452698</v>
      </c>
      <c r="L143" s="677">
        <v>4571235</v>
      </c>
      <c r="M143" s="678">
        <v>4432720</v>
      </c>
      <c r="N143" s="394">
        <f>AVERAGE(H143:M143)</f>
        <v>4461914.333333333</v>
      </c>
    </row>
    <row r="144" spans="2:14">
      <c r="G144" s="393" t="s">
        <v>1136</v>
      </c>
      <c r="H144" s="679">
        <v>12717172</v>
      </c>
      <c r="I144" s="680">
        <v>13014573</v>
      </c>
      <c r="J144" s="681">
        <v>12778782</v>
      </c>
      <c r="K144" s="681">
        <v>13089576</v>
      </c>
      <c r="L144" s="682">
        <v>12958735</v>
      </c>
      <c r="M144" s="678">
        <v>15614094</v>
      </c>
      <c r="N144" s="394">
        <f>AVERAGE(H144:M144)</f>
        <v>13362155.333333334</v>
      </c>
    </row>
    <row r="145" spans="7:14" ht="15">
      <c r="G145" s="393" t="s">
        <v>1140</v>
      </c>
      <c r="H145" s="683">
        <v>12771492.789999999</v>
      </c>
      <c r="I145" s="683">
        <v>10344832.550000001</v>
      </c>
      <c r="J145" s="683">
        <v>10606065.92</v>
      </c>
      <c r="K145" s="683">
        <v>8907633.0299999993</v>
      </c>
      <c r="L145" s="684">
        <v>10557595.5</v>
      </c>
      <c r="M145" s="678">
        <v>14831370</v>
      </c>
      <c r="N145" s="394">
        <f>AVERAGE(H145:M145)</f>
        <v>11336498.298333332</v>
      </c>
    </row>
    <row r="146" spans="7:14">
      <c r="G146" s="393" t="s">
        <v>1141</v>
      </c>
      <c r="H146" s="685">
        <f t="shared" ref="H146:M146" si="1">H145*0.1</f>
        <v>1277149.2790000001</v>
      </c>
      <c r="I146" s="685">
        <f t="shared" si="1"/>
        <v>1034483.2550000001</v>
      </c>
      <c r="J146" s="685">
        <f t="shared" si="1"/>
        <v>1060606.5919999999</v>
      </c>
      <c r="K146" s="685">
        <f t="shared" si="1"/>
        <v>890763.30299999996</v>
      </c>
      <c r="L146" s="686">
        <f t="shared" si="1"/>
        <v>1055759.55</v>
      </c>
      <c r="M146" s="687">
        <f t="shared" si="1"/>
        <v>1483137</v>
      </c>
      <c r="N146" s="394">
        <f>AVERAGE(H146:M146)</f>
        <v>1133649.8298333334</v>
      </c>
    </row>
    <row r="147" spans="7:14">
      <c r="G147"/>
      <c r="H147"/>
      <c r="I147"/>
    </row>
    <row r="148" spans="7:14">
      <c r="M148" s="70"/>
    </row>
  </sheetData>
  <phoneticPr fontId="22"/>
  <dataValidations count="1">
    <dataValidation type="list" allowBlank="1" showDropDown="1" showErrorMessage="1" errorTitle="electric methodology" error="Choose either &quot;A&quot; or &quot;B&quot; electric methodology. See footnote (a) for explanation." sqref="C27">
      <formula1>"A,B,C"</formula1>
    </dataValidation>
  </dataValidations>
  <pageMargins left="0.7" right="0.7" top="0.75" bottom="0.75" header="0.3" footer="0.3"/>
  <pageSetup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35"/>
  <sheetViews>
    <sheetView workbookViewId="0">
      <selection activeCell="M20" sqref="M20"/>
    </sheetView>
  </sheetViews>
  <sheetFormatPr defaultRowHeight="12.75"/>
  <cols>
    <col min="1" max="1" width="1.7109375" customWidth="1"/>
    <col min="2" max="2" width="34.140625" customWidth="1"/>
    <col min="3" max="3" width="8.7109375" style="31" customWidth="1"/>
    <col min="4" max="4" width="8.140625" style="31" customWidth="1"/>
    <col min="5" max="5" width="2.7109375" style="57" customWidth="1"/>
    <col min="6" max="7" width="8.7109375" style="31" customWidth="1"/>
    <col min="8" max="8" width="2.7109375" customWidth="1"/>
    <col min="9" max="10" width="8.7109375" customWidth="1"/>
    <col min="11" max="11" width="4.7109375" customWidth="1"/>
    <col min="12" max="12" width="14.28515625" customWidth="1"/>
    <col min="13" max="17" width="8.7109375" customWidth="1"/>
    <col min="18" max="18" width="4.7109375" customWidth="1"/>
    <col min="19" max="33" width="8.7109375" customWidth="1"/>
    <col min="34" max="34" width="10.28515625" customWidth="1"/>
    <col min="35" max="38" width="8.7109375" customWidth="1"/>
    <col min="39" max="39" width="12.28515625" customWidth="1"/>
    <col min="40" max="40" width="9.85546875" customWidth="1"/>
    <col min="42" max="42" width="13.28515625" customWidth="1"/>
    <col min="43" max="43" width="11.140625" customWidth="1"/>
    <col min="44" max="44" width="12" customWidth="1"/>
  </cols>
  <sheetData>
    <row r="1" spans="1:10" ht="27">
      <c r="B1" s="162" t="s">
        <v>1073</v>
      </c>
      <c r="C1" s="22"/>
      <c r="E1" s="666" t="s">
        <v>1074</v>
      </c>
      <c r="F1" s="35"/>
      <c r="G1" s="35"/>
    </row>
    <row r="2" spans="1:10">
      <c r="A2" s="57"/>
      <c r="B2" s="57"/>
      <c r="C2" s="57"/>
      <c r="D2" s="57"/>
      <c r="F2" s="57"/>
      <c r="G2" s="57"/>
      <c r="H2" s="57"/>
      <c r="I2" s="57"/>
      <c r="J2" s="57"/>
    </row>
    <row r="3" spans="1:10" ht="15.75">
      <c r="A3" s="57"/>
      <c r="C3" s="167" t="s">
        <v>126</v>
      </c>
      <c r="D3" s="167"/>
      <c r="F3" s="167" t="s">
        <v>1330</v>
      </c>
      <c r="G3" s="167"/>
      <c r="H3" s="57"/>
      <c r="I3" s="167" t="s">
        <v>287</v>
      </c>
      <c r="J3" s="167"/>
    </row>
    <row r="4" spans="1:10" ht="13.5">
      <c r="A4" s="57"/>
      <c r="C4" s="59" t="s">
        <v>285</v>
      </c>
      <c r="D4" s="59" t="s">
        <v>286</v>
      </c>
      <c r="F4" s="59" t="s">
        <v>285</v>
      </c>
      <c r="G4" s="59" t="s">
        <v>286</v>
      </c>
      <c r="H4" s="57"/>
      <c r="I4" s="59" t="s">
        <v>288</v>
      </c>
      <c r="J4" s="59" t="s">
        <v>289</v>
      </c>
    </row>
    <row r="5" spans="1:10" s="57" customFormat="1" ht="3.95" customHeight="1"/>
    <row r="6" spans="1:10">
      <c r="A6" s="57"/>
      <c r="B6" s="57" t="s">
        <v>290</v>
      </c>
      <c r="C6" s="171">
        <v>-0.60499999999999998</v>
      </c>
      <c r="D6" s="520"/>
      <c r="E6" s="131"/>
      <c r="F6" s="172">
        <v>10</v>
      </c>
      <c r="G6" s="521"/>
      <c r="H6" s="131"/>
      <c r="I6" s="173">
        <f>IF(ISBLANK(D6),C6,D6)</f>
        <v>-0.60499999999999998</v>
      </c>
      <c r="J6" s="174">
        <f>IF(ISBLANK(G6),F6,G6)</f>
        <v>10</v>
      </c>
    </row>
    <row r="7" spans="1:10">
      <c r="A7" s="57"/>
      <c r="B7" s="57" t="s">
        <v>7</v>
      </c>
      <c r="C7" s="57"/>
      <c r="D7" s="519"/>
      <c r="E7" s="131"/>
      <c r="F7" s="124"/>
      <c r="G7" s="522"/>
      <c r="H7" s="131"/>
      <c r="I7" s="173"/>
      <c r="J7" s="174"/>
    </row>
    <row r="8" spans="1:10">
      <c r="A8" s="57"/>
      <c r="B8" s="125" t="s">
        <v>265</v>
      </c>
      <c r="C8" s="171">
        <v>-0.64</v>
      </c>
      <c r="D8" s="520"/>
      <c r="E8" s="131"/>
      <c r="F8" s="172">
        <v>20</v>
      </c>
      <c r="G8" s="521">
        <v>10</v>
      </c>
      <c r="H8" s="131"/>
      <c r="I8" s="173">
        <f t="shared" ref="I8:I20" si="0">IF(ISBLANK(D8),C8,D8)</f>
        <v>-0.64</v>
      </c>
      <c r="J8" s="174">
        <f>IF(ISBLANK(G8),F8,G8)</f>
        <v>10</v>
      </c>
    </row>
    <row r="9" spans="1:10">
      <c r="A9" s="57"/>
      <c r="B9" s="125" t="s">
        <v>266</v>
      </c>
      <c r="C9" s="171">
        <v>-0.435</v>
      </c>
      <c r="D9" s="520"/>
      <c r="E9" s="131"/>
      <c r="F9" s="172">
        <v>10</v>
      </c>
      <c r="G9" s="521"/>
      <c r="H9" s="131"/>
      <c r="I9" s="173">
        <f t="shared" si="0"/>
        <v>-0.435</v>
      </c>
      <c r="J9" s="174">
        <f>IF(ISBLANK(G9),F9,G9)</f>
        <v>10</v>
      </c>
    </row>
    <row r="10" spans="1:10">
      <c r="A10" s="57"/>
      <c r="B10" s="57" t="s">
        <v>261</v>
      </c>
      <c r="C10" s="171">
        <v>-0.36499999999999999</v>
      </c>
      <c r="D10" s="520"/>
      <c r="E10" s="131"/>
      <c r="F10" s="172">
        <v>10</v>
      </c>
      <c r="G10" s="521"/>
      <c r="H10" s="131"/>
      <c r="I10" s="173">
        <f t="shared" si="0"/>
        <v>-0.36499999999999999</v>
      </c>
      <c r="J10" s="174">
        <f>IF(ISBLANK(G10),F10,G10)</f>
        <v>10</v>
      </c>
    </row>
    <row r="11" spans="1:10">
      <c r="A11" s="57"/>
      <c r="B11" s="57" t="s">
        <v>3</v>
      </c>
      <c r="C11" s="171">
        <v>-0.22499999999999998</v>
      </c>
      <c r="D11" s="520"/>
      <c r="E11" s="131"/>
      <c r="F11" s="172">
        <v>10</v>
      </c>
      <c r="G11" s="521"/>
      <c r="H11" s="131"/>
      <c r="I11" s="173">
        <f>IF(ISBLANK(D11),C11,D11)</f>
        <v>-0.22499999999999998</v>
      </c>
      <c r="J11" s="174">
        <f>IF(ISBLANK(G11),F11,G11)</f>
        <v>10</v>
      </c>
    </row>
    <row r="12" spans="1:10">
      <c r="A12" s="57"/>
      <c r="B12" s="54" t="s">
        <v>1</v>
      </c>
      <c r="C12" s="57"/>
      <c r="D12" s="519"/>
      <c r="E12" s="131"/>
      <c r="F12" s="124"/>
      <c r="G12" s="522"/>
      <c r="H12" s="131"/>
      <c r="I12" s="173"/>
      <c r="J12" s="174"/>
    </row>
    <row r="13" spans="1:10">
      <c r="A13" s="57"/>
      <c r="B13" s="125" t="s">
        <v>262</v>
      </c>
      <c r="C13" s="171">
        <v>-0.4</v>
      </c>
      <c r="D13" s="520"/>
      <c r="E13" s="131"/>
      <c r="F13" s="172">
        <v>20</v>
      </c>
      <c r="G13" s="521"/>
      <c r="H13" s="131"/>
      <c r="I13" s="173">
        <f t="shared" si="0"/>
        <v>-0.4</v>
      </c>
      <c r="J13" s="174">
        <f t="shared" ref="J13:J20" si="1">IF(ISBLANK(G13),F13,G13)</f>
        <v>20</v>
      </c>
    </row>
    <row r="14" spans="1:10" s="720" customFormat="1">
      <c r="B14" s="125" t="s">
        <v>1362</v>
      </c>
      <c r="C14" s="171">
        <v>-0.22500000000000001</v>
      </c>
      <c r="D14" s="520"/>
      <c r="E14" s="721"/>
      <c r="F14" s="172">
        <v>20</v>
      </c>
      <c r="G14" s="521"/>
      <c r="H14" s="721"/>
      <c r="I14" s="173">
        <f t="shared" si="0"/>
        <v>-0.22500000000000001</v>
      </c>
      <c r="J14" s="174">
        <f t="shared" si="1"/>
        <v>20</v>
      </c>
    </row>
    <row r="15" spans="1:10">
      <c r="A15" s="57"/>
      <c r="B15" s="125" t="s">
        <v>263</v>
      </c>
      <c r="C15" s="171">
        <v>-0.34666666666666668</v>
      </c>
      <c r="D15" s="520"/>
      <c r="E15" s="131"/>
      <c r="F15" s="172">
        <v>20</v>
      </c>
      <c r="G15" s="521"/>
      <c r="H15" s="131"/>
      <c r="I15" s="173">
        <f t="shared" si="0"/>
        <v>-0.34666666666666668</v>
      </c>
      <c r="J15" s="174">
        <f t="shared" si="1"/>
        <v>20</v>
      </c>
    </row>
    <row r="16" spans="1:10">
      <c r="A16" s="57"/>
      <c r="B16" s="125" t="s">
        <v>264</v>
      </c>
      <c r="C16" s="171">
        <v>-0.7</v>
      </c>
      <c r="D16" s="520"/>
      <c r="E16" s="131"/>
      <c r="F16" s="172">
        <v>10</v>
      </c>
      <c r="G16" s="521"/>
      <c r="H16" s="131"/>
      <c r="I16" s="173">
        <f t="shared" si="0"/>
        <v>-0.7</v>
      </c>
      <c r="J16" s="174">
        <f t="shared" si="1"/>
        <v>10</v>
      </c>
    </row>
    <row r="17" spans="1:10" s="720" customFormat="1">
      <c r="B17" s="125" t="s">
        <v>1361</v>
      </c>
      <c r="C17" s="171">
        <v>-0.3</v>
      </c>
      <c r="D17" s="520"/>
      <c r="E17" s="721"/>
      <c r="F17" s="172">
        <v>20</v>
      </c>
      <c r="G17" s="521"/>
      <c r="H17" s="721"/>
      <c r="I17" s="173">
        <f t="shared" si="0"/>
        <v>-0.3</v>
      </c>
      <c r="J17" s="174">
        <f t="shared" si="1"/>
        <v>20</v>
      </c>
    </row>
    <row r="18" spans="1:10">
      <c r="A18" s="57"/>
      <c r="B18" s="125" t="s">
        <v>265</v>
      </c>
      <c r="C18" s="171">
        <v>-0.28999999999999998</v>
      </c>
      <c r="D18" s="520">
        <v>-0.15</v>
      </c>
      <c r="E18" s="131"/>
      <c r="F18" s="172">
        <v>20</v>
      </c>
      <c r="G18" s="521">
        <v>10</v>
      </c>
      <c r="H18" s="131"/>
      <c r="I18" s="173">
        <f t="shared" si="0"/>
        <v>-0.15</v>
      </c>
      <c r="J18" s="174">
        <f t="shared" si="1"/>
        <v>10</v>
      </c>
    </row>
    <row r="19" spans="1:10" s="614" customFormat="1">
      <c r="B19" s="125" t="s">
        <v>1232</v>
      </c>
      <c r="C19" s="171">
        <v>-0.14000000000000001</v>
      </c>
      <c r="D19" s="520">
        <v>-0.28000000000000003</v>
      </c>
      <c r="E19" s="615"/>
      <c r="F19" s="172">
        <v>5</v>
      </c>
      <c r="G19" s="521"/>
      <c r="H19" s="615"/>
      <c r="I19" s="173">
        <f t="shared" si="0"/>
        <v>-0.28000000000000003</v>
      </c>
      <c r="J19" s="174">
        <f t="shared" si="1"/>
        <v>5</v>
      </c>
    </row>
    <row r="20" spans="1:10">
      <c r="A20" s="57"/>
      <c r="B20" s="54" t="s">
        <v>268</v>
      </c>
      <c r="C20" s="171">
        <v>-0.14000000000000001</v>
      </c>
      <c r="D20" s="520"/>
      <c r="E20" s="131"/>
      <c r="F20" s="172">
        <v>20</v>
      </c>
      <c r="G20" s="521">
        <v>10</v>
      </c>
      <c r="H20" s="131"/>
      <c r="I20" s="173">
        <f t="shared" si="0"/>
        <v>-0.14000000000000001</v>
      </c>
      <c r="J20" s="174">
        <f t="shared" si="1"/>
        <v>10</v>
      </c>
    </row>
    <row r="21" spans="1:10">
      <c r="A21" s="57"/>
      <c r="B21" s="57" t="s">
        <v>8</v>
      </c>
      <c r="C21" s="57"/>
      <c r="D21" s="519"/>
      <c r="E21" s="131"/>
      <c r="F21" s="124"/>
      <c r="G21" s="522"/>
      <c r="H21" s="131"/>
      <c r="I21" s="173"/>
      <c r="J21" s="174"/>
    </row>
    <row r="22" spans="1:10">
      <c r="A22" s="57"/>
      <c r="B22" s="125" t="s">
        <v>262</v>
      </c>
      <c r="C22" s="171">
        <v>-0.5</v>
      </c>
      <c r="D22" s="520"/>
      <c r="E22" s="131"/>
      <c r="F22" s="172">
        <v>15</v>
      </c>
      <c r="G22" s="521"/>
      <c r="H22" s="131"/>
      <c r="I22" s="173">
        <f>IF(ISBLANK(D22),C22,D22)</f>
        <v>-0.5</v>
      </c>
      <c r="J22" s="174">
        <f>IF(ISBLANK(G22),F22,G22)</f>
        <v>15</v>
      </c>
    </row>
    <row r="23" spans="1:10">
      <c r="A23" s="57"/>
      <c r="B23" s="125" t="s">
        <v>263</v>
      </c>
      <c r="C23" s="171">
        <v>-0.48</v>
      </c>
      <c r="D23" s="520"/>
      <c r="E23" s="131"/>
      <c r="F23" s="172">
        <v>15</v>
      </c>
      <c r="G23" s="521"/>
      <c r="H23" s="131"/>
      <c r="I23" s="173">
        <f>IF(ISBLANK(D23),C23,D23)</f>
        <v>-0.48</v>
      </c>
      <c r="J23" s="174">
        <f>IF(ISBLANK(G23),F23,G23)</f>
        <v>15</v>
      </c>
    </row>
    <row r="24" spans="1:10">
      <c r="A24" s="57"/>
      <c r="B24" s="125" t="s">
        <v>264</v>
      </c>
      <c r="C24" s="171">
        <v>-0.56999999999999995</v>
      </c>
      <c r="D24" s="520"/>
      <c r="E24" s="131"/>
      <c r="F24" s="172">
        <v>20</v>
      </c>
      <c r="G24" s="521"/>
      <c r="H24" s="131"/>
      <c r="I24" s="173">
        <f>IF(ISBLANK(D24),C24,D24)</f>
        <v>-0.56999999999999995</v>
      </c>
      <c r="J24" s="174">
        <f>IF(ISBLANK(G24),F24,G24)</f>
        <v>20</v>
      </c>
    </row>
    <row r="25" spans="1:10">
      <c r="A25" s="57"/>
      <c r="B25" s="57"/>
      <c r="C25" s="57"/>
      <c r="D25" s="57"/>
      <c r="F25" s="57"/>
      <c r="G25" s="57"/>
      <c r="H25" s="57"/>
      <c r="I25" s="57"/>
      <c r="J25" s="57"/>
    </row>
    <row r="26" spans="1:10" ht="13.5">
      <c r="A26" s="57"/>
      <c r="B26" s="170" t="s">
        <v>279</v>
      </c>
      <c r="C26" s="168"/>
      <c r="D26" s="168"/>
      <c r="E26" s="168"/>
      <c r="F26" s="168"/>
      <c r="G26" s="168"/>
      <c r="H26" s="168"/>
      <c r="I26" s="168"/>
      <c r="J26" s="169"/>
    </row>
    <row r="27" spans="1:10" ht="15">
      <c r="A27" s="57"/>
      <c r="B27" s="54" t="s">
        <v>527</v>
      </c>
      <c r="C27" s="57"/>
      <c r="D27" s="57"/>
      <c r="F27" s="57"/>
      <c r="G27" s="57"/>
      <c r="H27" s="57"/>
      <c r="I27" s="57"/>
      <c r="J27" s="57"/>
    </row>
    <row r="28" spans="1:10" s="57" customFormat="1">
      <c r="B28" s="54" t="s">
        <v>528</v>
      </c>
    </row>
    <row r="29" spans="1:10">
      <c r="A29" s="57"/>
      <c r="B29" s="54" t="s">
        <v>529</v>
      </c>
      <c r="C29" s="57"/>
      <c r="D29" s="57"/>
      <c r="F29" s="57"/>
      <c r="G29" s="57"/>
      <c r="H29" s="57"/>
      <c r="I29" s="57"/>
      <c r="J29" s="57"/>
    </row>
    <row r="30" spans="1:10">
      <c r="A30" s="57"/>
      <c r="B30" s="57"/>
      <c r="C30" s="57"/>
      <c r="D30" s="57"/>
      <c r="F30" s="57"/>
      <c r="G30" s="57"/>
      <c r="H30" s="57"/>
      <c r="I30" s="57"/>
      <c r="J30" s="57"/>
    </row>
    <row r="31" spans="1:10" ht="15.75">
      <c r="A31" s="57"/>
      <c r="B31" s="57"/>
      <c r="C31" s="57"/>
      <c r="D31" s="57"/>
      <c r="F31" s="167" t="s">
        <v>1330</v>
      </c>
      <c r="G31" s="167"/>
      <c r="H31" s="654"/>
      <c r="I31" s="167" t="s">
        <v>287</v>
      </c>
      <c r="J31" s="167"/>
    </row>
    <row r="32" spans="1:10" ht="13.5">
      <c r="A32" s="57"/>
      <c r="B32" s="54" t="s">
        <v>1331</v>
      </c>
      <c r="C32" s="59" t="s">
        <v>285</v>
      </c>
      <c r="D32" s="59" t="s">
        <v>286</v>
      </c>
      <c r="F32" s="59" t="s">
        <v>285</v>
      </c>
      <c r="G32" s="59" t="s">
        <v>286</v>
      </c>
      <c r="H32" s="654"/>
      <c r="I32" s="59" t="s">
        <v>288</v>
      </c>
      <c r="J32" s="59" t="s">
        <v>289</v>
      </c>
    </row>
    <row r="33" spans="1:10">
      <c r="A33" s="57"/>
      <c r="B33" s="57"/>
      <c r="C33" s="654"/>
      <c r="D33" s="654"/>
      <c r="F33" s="654"/>
      <c r="G33" s="654"/>
      <c r="H33" s="654"/>
      <c r="I33" s="654"/>
      <c r="J33" s="654"/>
    </row>
    <row r="34" spans="1:10">
      <c r="A34" s="57"/>
      <c r="B34" s="54" t="s">
        <v>376</v>
      </c>
      <c r="C34" s="656">
        <v>0.02</v>
      </c>
      <c r="D34" s="657"/>
      <c r="F34" s="172">
        <v>1</v>
      </c>
      <c r="G34" s="521"/>
      <c r="H34" s="655"/>
      <c r="I34" s="658">
        <f>IF(ISBLANK(D34),C34,D34)</f>
        <v>0.02</v>
      </c>
      <c r="J34" s="174">
        <f>IF(ISBLANK(G34),F34,G34)</f>
        <v>1</v>
      </c>
    </row>
    <row r="35" spans="1:10">
      <c r="A35" s="57"/>
      <c r="B35" s="57"/>
      <c r="C35" s="57"/>
      <c r="D35" s="57"/>
      <c r="F35" s="57"/>
      <c r="G35" s="57"/>
      <c r="H35" s="57"/>
      <c r="I35" s="57"/>
      <c r="J35" s="57"/>
    </row>
  </sheetData>
  <phoneticPr fontId="22"/>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U128"/>
  <sheetViews>
    <sheetView workbookViewId="0">
      <pane xSplit="1" topLeftCell="L1" activePane="topRight" state="frozen"/>
      <selection pane="topRight" activeCell="R10" sqref="R10:AA10"/>
    </sheetView>
  </sheetViews>
  <sheetFormatPr defaultColWidth="9.140625" defaultRowHeight="12.75"/>
  <cols>
    <col min="1" max="1" width="35.28515625" style="57" customWidth="1"/>
    <col min="2" max="2" width="10.7109375" style="57" customWidth="1"/>
    <col min="3" max="10" width="8.7109375" style="57" customWidth="1"/>
    <col min="11" max="38" width="9.7109375" style="57" customWidth="1"/>
    <col min="39" max="39" width="2.7109375" style="57" customWidth="1"/>
    <col min="40" max="40" width="10.5703125" style="57" customWidth="1"/>
    <col min="41" max="16384" width="9.140625" style="57"/>
  </cols>
  <sheetData>
    <row r="1" spans="1:47" ht="27">
      <c r="A1" s="120" t="s">
        <v>475</v>
      </c>
      <c r="B1" s="120"/>
    </row>
    <row r="2" spans="1:47" ht="15.75">
      <c r="A2" s="146" t="s">
        <v>382</v>
      </c>
      <c r="C2" s="90" t="s">
        <v>518</v>
      </c>
    </row>
    <row r="3" spans="1:47" ht="15" customHeight="1">
      <c r="A3" s="146" t="s">
        <v>381</v>
      </c>
      <c r="C3" s="90" t="s">
        <v>260</v>
      </c>
    </row>
    <row r="4" spans="1:47" ht="15" customHeight="1">
      <c r="A4" s="146" t="s">
        <v>380</v>
      </c>
      <c r="C4" s="90" t="s">
        <v>260</v>
      </c>
      <c r="P4" s="21" t="s">
        <v>1189</v>
      </c>
    </row>
    <row r="5" spans="1:47" ht="15" customHeight="1">
      <c r="C5" s="90" t="s">
        <v>1157</v>
      </c>
    </row>
    <row r="6" spans="1:47" ht="13.5">
      <c r="A6" s="59" t="s">
        <v>472</v>
      </c>
      <c r="B6" s="59" t="s">
        <v>469</v>
      </c>
      <c r="C6" s="59">
        <v>2005</v>
      </c>
      <c r="D6" s="59">
        <v>2006</v>
      </c>
      <c r="E6" s="59">
        <v>2007</v>
      </c>
      <c r="F6" s="59">
        <v>2008</v>
      </c>
      <c r="G6" s="59">
        <v>2009</v>
      </c>
      <c r="H6" s="59">
        <v>2010</v>
      </c>
      <c r="I6" s="59">
        <v>2011</v>
      </c>
      <c r="J6" s="59">
        <v>2012</v>
      </c>
      <c r="K6" s="59">
        <v>2013</v>
      </c>
      <c r="L6" s="59">
        <v>2014</v>
      </c>
      <c r="M6" s="59">
        <v>2015</v>
      </c>
      <c r="N6" s="59">
        <v>2016</v>
      </c>
      <c r="O6" s="59">
        <v>2017</v>
      </c>
      <c r="P6" s="59">
        <v>2018</v>
      </c>
      <c r="Q6" s="59">
        <v>2019</v>
      </c>
      <c r="R6" s="59">
        <v>2020</v>
      </c>
      <c r="S6" s="59">
        <v>2021</v>
      </c>
      <c r="T6" s="59">
        <v>2022</v>
      </c>
      <c r="U6" s="59">
        <v>2023</v>
      </c>
      <c r="V6" s="59">
        <v>2024</v>
      </c>
      <c r="W6" s="59">
        <v>2025</v>
      </c>
      <c r="X6" s="59">
        <v>2026</v>
      </c>
      <c r="Y6" s="59">
        <v>2027</v>
      </c>
      <c r="Z6" s="59">
        <v>2028</v>
      </c>
      <c r="AA6" s="59">
        <v>2029</v>
      </c>
      <c r="AB6" s="59">
        <v>2030</v>
      </c>
      <c r="AC6" s="59">
        <v>2031</v>
      </c>
      <c r="AD6" s="59">
        <v>2032</v>
      </c>
      <c r="AE6" s="59">
        <v>2033</v>
      </c>
      <c r="AF6" s="59">
        <v>2034</v>
      </c>
      <c r="AG6" s="59">
        <v>2035</v>
      </c>
      <c r="AH6" s="59">
        <v>2036</v>
      </c>
      <c r="AI6" s="59">
        <v>2037</v>
      </c>
      <c r="AJ6" s="59">
        <v>2038</v>
      </c>
      <c r="AK6" s="59">
        <v>2039</v>
      </c>
      <c r="AL6" s="59">
        <v>2040</v>
      </c>
      <c r="AN6" s="59" t="s">
        <v>470</v>
      </c>
    </row>
    <row r="7" spans="1:47" ht="3.95" customHeight="1">
      <c r="A7" s="54"/>
      <c r="B7" s="54"/>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row>
    <row r="8" spans="1:47" ht="14.25">
      <c r="A8" s="147" t="s">
        <v>501</v>
      </c>
      <c r="B8" s="147"/>
      <c r="C8" s="147"/>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row>
    <row r="9" spans="1:47">
      <c r="A9" s="54" t="s">
        <v>1017</v>
      </c>
      <c r="B9" s="54" t="s">
        <v>509</v>
      </c>
      <c r="C9" s="446"/>
      <c r="D9" s="446"/>
      <c r="E9" s="446"/>
      <c r="F9" s="446"/>
      <c r="G9" s="446"/>
      <c r="H9" s="446"/>
      <c r="I9" s="446"/>
      <c r="J9" s="446"/>
      <c r="K9" s="446"/>
      <c r="L9" s="152">
        <f>MAX(0,L6+1-parameters!$C$9)</f>
        <v>0</v>
      </c>
      <c r="M9" s="149">
        <f>MAX(0,M6+1-parameters!$C$9)</f>
        <v>0</v>
      </c>
      <c r="N9" s="149">
        <f>MAX(0,N6+1-parameters!$C$9)</f>
        <v>0</v>
      </c>
      <c r="O9" s="149">
        <f>MAX(0,O6+1-parameters!$C$9)</f>
        <v>0</v>
      </c>
      <c r="P9" s="149">
        <f>MAX(0,P6+1-parameters!$C$9)</f>
        <v>0</v>
      </c>
      <c r="Q9" s="149">
        <f>MAX(0,Q6+1-parameters!$C$9)</f>
        <v>0</v>
      </c>
      <c r="R9" s="149">
        <f>MAX(0,R6+1-parameters!$C$9)</f>
        <v>1</v>
      </c>
      <c r="S9" s="149">
        <f>MAX(0,S6+1-parameters!$C$9)</f>
        <v>2</v>
      </c>
      <c r="T9" s="149">
        <f>MAX(0,T6+1-parameters!$C$9)</f>
        <v>3</v>
      </c>
      <c r="U9" s="149">
        <f>MAX(0,U6+1-parameters!$C$9)</f>
        <v>4</v>
      </c>
      <c r="V9" s="149">
        <f>MAX(0,V6+1-parameters!$C$9)</f>
        <v>5</v>
      </c>
      <c r="W9" s="149">
        <f>MAX(0,W6+1-parameters!$C$9)</f>
        <v>6</v>
      </c>
      <c r="X9" s="149">
        <f>MAX(0,X6+1-parameters!$C$9)</f>
        <v>7</v>
      </c>
      <c r="Y9" s="149">
        <f>MAX(0,Y6+1-parameters!$C$9)</f>
        <v>8</v>
      </c>
      <c r="Z9" s="149">
        <f>MAX(0,Z6+1-parameters!$C$9)</f>
        <v>9</v>
      </c>
      <c r="AA9" s="149">
        <f>MAX(0,AA6+1-parameters!$C$9)</f>
        <v>10</v>
      </c>
      <c r="AB9" s="149">
        <f>MAX(0,AB6+1-parameters!$C$9)</f>
        <v>11</v>
      </c>
      <c r="AC9" s="149">
        <f>MAX(0,AC6+1-parameters!$C$9)</f>
        <v>12</v>
      </c>
      <c r="AD9" s="149">
        <f>MAX(0,AD6+1-parameters!$C$9)</f>
        <v>13</v>
      </c>
      <c r="AE9" s="149">
        <f>MAX(0,AE6+1-parameters!$C$9)</f>
        <v>14</v>
      </c>
      <c r="AF9" s="149">
        <f>MAX(0,AF6+1-parameters!$C$9)</f>
        <v>15</v>
      </c>
      <c r="AG9" s="149">
        <f>MAX(0,AG6+1-parameters!$C$9)</f>
        <v>16</v>
      </c>
      <c r="AH9" s="149">
        <f>MAX(0,AH6+1-parameters!$C$9)</f>
        <v>17</v>
      </c>
      <c r="AI9" s="149">
        <f>MAX(0,AI6+1-parameters!$C$9)</f>
        <v>18</v>
      </c>
      <c r="AJ9" s="149">
        <f>MAX(0,AJ6+1-parameters!$C$9)</f>
        <v>19</v>
      </c>
      <c r="AK9" s="149">
        <f>MAX(0,AK6+1-parameters!$C$9)</f>
        <v>20</v>
      </c>
      <c r="AL9" s="149">
        <f>MAX(0,AL6+1-parameters!$C$9)</f>
        <v>21</v>
      </c>
    </row>
    <row r="10" spans="1:47" ht="14.25">
      <c r="A10" s="54" t="s">
        <v>1167</v>
      </c>
      <c r="B10" s="54" t="s">
        <v>502</v>
      </c>
      <c r="C10" s="446"/>
      <c r="D10" s="446"/>
      <c r="E10" s="446"/>
      <c r="F10" s="446"/>
      <c r="G10" s="446"/>
      <c r="H10" s="446"/>
      <c r="I10" s="446"/>
      <c r="J10" s="446"/>
      <c r="K10" s="446"/>
      <c r="L10" s="148">
        <f>IF(L9&gt;0,MIN(parameters!$C$10+(L9-1)*parameters!$C$11,parameters!$C$12),0)</f>
        <v>0</v>
      </c>
      <c r="M10" s="148">
        <f>IF(M9&gt;0,MIN(parameters!$C$10+(M9-1)*parameters!$C$11,parameters!$C$12),0)</f>
        <v>0</v>
      </c>
      <c r="N10" s="148">
        <f>IF(N9&gt;0,MIN(parameters!$C$10+(N9-1)*parameters!$C$11,parameters!$C$12),0)</f>
        <v>0</v>
      </c>
      <c r="O10" s="148">
        <f>IF(O9&gt;0,MIN(parameters!$C$10+(O9-1)*parameters!$C$11,parameters!$C$12),0)</f>
        <v>0</v>
      </c>
      <c r="P10" s="148">
        <f>IF(P9&gt;0,MIN(parameters!$C$10+(P9-1)*parameters!$C$11,parameters!$C$12),0)</f>
        <v>0</v>
      </c>
      <c r="Q10" s="148">
        <f>IF(Q9&gt;0,MIN(parameters!$C$10+(Q9-1)*parameters!$C$11,parameters!$C$12),0)</f>
        <v>0</v>
      </c>
      <c r="R10" s="148">
        <v>13.983605236615512</v>
      </c>
      <c r="S10" s="148">
        <v>15.788416339607712</v>
      </c>
      <c r="T10" s="148">
        <v>17.51201558875141</v>
      </c>
      <c r="U10" s="148">
        <v>19.142301973633302</v>
      </c>
      <c r="V10" s="148">
        <v>20.671822077661052</v>
      </c>
      <c r="W10" s="148">
        <v>22.09367457347863</v>
      </c>
      <c r="X10" s="148">
        <v>23.408132786125009</v>
      </c>
      <c r="Y10" s="148">
        <v>24.614086849725943</v>
      </c>
      <c r="Z10" s="148">
        <v>25.696572478766754</v>
      </c>
      <c r="AA10" s="148">
        <v>26.907798829464383</v>
      </c>
      <c r="AB10" s="148">
        <v>0</v>
      </c>
      <c r="AC10" s="148">
        <v>0</v>
      </c>
      <c r="AD10" s="148">
        <v>0</v>
      </c>
      <c r="AE10" s="148">
        <v>0</v>
      </c>
      <c r="AF10" s="148">
        <v>0</v>
      </c>
      <c r="AG10" s="148">
        <v>0</v>
      </c>
      <c r="AH10" s="148">
        <v>0</v>
      </c>
      <c r="AI10" s="148">
        <v>0</v>
      </c>
      <c r="AJ10" s="148">
        <v>0</v>
      </c>
      <c r="AK10" s="148">
        <v>0</v>
      </c>
      <c r="AL10" s="148">
        <v>0</v>
      </c>
      <c r="AO10" s="19"/>
      <c r="AP10" s="21"/>
      <c r="AT10" s="19"/>
      <c r="AU10" s="21"/>
    </row>
    <row r="11" spans="1:47" s="455" customFormat="1" ht="14.25">
      <c r="A11" s="104" t="s">
        <v>1168</v>
      </c>
      <c r="B11" s="54" t="s">
        <v>502</v>
      </c>
      <c r="C11" s="446"/>
      <c r="D11" s="446"/>
      <c r="E11" s="446"/>
      <c r="F11" s="446"/>
      <c r="G11" s="446"/>
      <c r="H11" s="446"/>
      <c r="I11" s="446"/>
      <c r="J11" s="446"/>
      <c r="K11" s="446"/>
      <c r="L11" s="148">
        <f>IF(parameters!$C13&gt;0,IF(L9&gt;0,MIN(parameters!$C$10*(1+parameters!$C$13)^(L9-1),150),0),0)</f>
        <v>0</v>
      </c>
      <c r="M11" s="148">
        <f>IF(parameters!$C13&gt;0,IF(M9&gt;0,MIN(parameters!$C$10*(1+parameters!$C$13)^(M9-1),150),0),0)</f>
        <v>0</v>
      </c>
      <c r="N11" s="148">
        <f>IF(parameters!$C13&gt;0,IF(N9&gt;0,MIN(parameters!$C$10*(1+parameters!$C$13)^(N9-1),150),0),0)</f>
        <v>0</v>
      </c>
      <c r="O11" s="148">
        <f>IF(parameters!$C13&gt;0,IF(O9&gt;0,MIN(parameters!$C$10*(1+parameters!$C$13)^(O9-1),parameters!$C$12),0),0)</f>
        <v>0</v>
      </c>
      <c r="P11" s="148">
        <f>IF(parameters!$C13&gt;0,IF(P9&gt;0,MIN(parameters!$C$10*(1+parameters!$C$13)^(P9-1),parameters!$C$12),0),0)</f>
        <v>0</v>
      </c>
      <c r="Q11" s="148">
        <f>IF(parameters!$C13&gt;0,IF(Q9&gt;0,MIN(parameters!$C$10*(1+parameters!$C$13)^(Q9-1),parameters!$C$12),0),0)</f>
        <v>0</v>
      </c>
      <c r="R11" s="148">
        <f>IF(parameters!$C13&gt;0,IF(R9&gt;0,MIN(parameters!$C$10*(1+parameters!$C$13)^(R9-1),parameters!$C$12),0),0)</f>
        <v>0</v>
      </c>
      <c r="S11" s="148">
        <f>IF(parameters!$C13&gt;0,IF(S9&gt;0,MIN(parameters!$C$10*(1+parameters!$C$13)^(S9-1),parameters!$C$12),0),0)</f>
        <v>0</v>
      </c>
      <c r="T11" s="148">
        <f>IF(parameters!$C13&gt;0,IF(T9&gt;0,MIN(parameters!$C$10*(1+parameters!$C$13)^(T9-1),parameters!$C$12),0),0)</f>
        <v>0</v>
      </c>
      <c r="U11" s="148">
        <f>IF(parameters!$C13&gt;0,IF(U9&gt;0,MIN(parameters!$C$10*(1+parameters!$C$13)^(U9-1),parameters!$C$12),0),0)</f>
        <v>0</v>
      </c>
      <c r="V11" s="148">
        <f>IF(parameters!$C13&gt;0,IF(V9&gt;0,MIN(parameters!$C$10*(1+parameters!$C$13)^(V9-1),200),0),0)</f>
        <v>0</v>
      </c>
      <c r="W11" s="148">
        <f>IF(parameters!$C13&gt;0,IF(W9&gt;0,MIN(parameters!$C$10*(1+parameters!$C$13)^(W9-1),200),0),0)</f>
        <v>0</v>
      </c>
      <c r="X11" s="148">
        <f>IF(parameters!$C13&gt;0,IF(X9&gt;0,MIN(parameters!$C$10*(1+parameters!$C$13)^(X9-1),200),0),0)</f>
        <v>0</v>
      </c>
      <c r="Y11" s="148">
        <f>IF(parameters!$C13&gt;0,IF(Y9&gt;0,MIN(parameters!$C$10*(1+parameters!$C$13)^(Y9-1),200),0),0)</f>
        <v>0</v>
      </c>
      <c r="Z11" s="148">
        <f>IF(parameters!$C13&gt;0,IF(Z9&gt;0,MIN(parameters!$C$10*(1+parameters!$C$13)^(Z9-1),200),0),0)</f>
        <v>0</v>
      </c>
      <c r="AA11" s="148">
        <f>IF(parameters!$C13&gt;0,IF(AA9&gt;0,MIN(parameters!$C$10*(1+parameters!$C$13)^(AA9-1),200),0),0)</f>
        <v>0</v>
      </c>
      <c r="AB11" s="148">
        <f>IF(parameters!$C13&gt;0,IF(AB9&gt;0,MIN(parameters!$C$10*(1+parameters!$C$13)^(AB9-1),200),0),0)</f>
        <v>0</v>
      </c>
      <c r="AC11" s="148">
        <f>IF(parameters!$C13&gt;0,IF(AC9&gt;0,MIN(parameters!$C$10*(1+parameters!$C$13)^(AC9-1),200),0),0)</f>
        <v>0</v>
      </c>
      <c r="AD11" s="148">
        <f>IF(parameters!$C13&gt;0,IF(AD9&gt;0,MIN(parameters!$C$10*(1+parameters!$C$13)^(AD9-1),200),0),0)</f>
        <v>0</v>
      </c>
      <c r="AE11" s="148">
        <f>IF(parameters!$C13&gt;0,IF(AE9&gt;0,MIN(parameters!$C$10*(1+parameters!$C$13)^(AE9-1),200),0),0)</f>
        <v>0</v>
      </c>
      <c r="AF11" s="148">
        <f>IF(parameters!$C13&gt;0,IF(AF9&gt;0,MIN(parameters!$C$10*(1+parameters!$C$13)^(AF9-1),200),0),0)</f>
        <v>0</v>
      </c>
      <c r="AG11" s="148">
        <f>IF(parameters!$C13&gt;0,IF(AG9&gt;0,MIN(parameters!$C$10*(1+parameters!$C$13)^(AG9-1),200),0),0)</f>
        <v>0</v>
      </c>
      <c r="AH11" s="148">
        <f>IF(parameters!$C13&gt;0,IF(AH9&gt;0,MIN(parameters!$C$10*(1+parameters!$C$13)^(AH9-1),200),0),0)</f>
        <v>0</v>
      </c>
      <c r="AI11" s="148">
        <f>IF(parameters!$C13&gt;0,IF(AI9&gt;0,MIN(parameters!$C$10*(1+parameters!$C$13)^(AI9-1),200),0),0)</f>
        <v>0</v>
      </c>
      <c r="AJ11" s="148">
        <f>IF(parameters!$C13&gt;0,IF(AJ9&gt;0,MIN(parameters!$C$10*(1+parameters!$C$13)^(AJ9-1),200),0),0)</f>
        <v>0</v>
      </c>
      <c r="AK11" s="148">
        <f>IF(parameters!$C13&gt;0,IF(AK9&gt;0,MIN(parameters!$C$10*(1+parameters!$C$13)^(AK9-1),200),0),0)</f>
        <v>0</v>
      </c>
      <c r="AL11" s="148">
        <f>IF(parameters!$C13&gt;0,IF(AL9&gt;0,MIN(parameters!$C$10*(1+parameters!$C$13)^(AL9-1),200),0),0)</f>
        <v>0</v>
      </c>
      <c r="AO11" s="19"/>
      <c r="AP11" s="21"/>
      <c r="AT11" s="19"/>
      <c r="AU11" s="21"/>
    </row>
    <row r="12" spans="1:47">
      <c r="A12" s="578" t="s">
        <v>1019</v>
      </c>
      <c r="B12" s="54" t="s">
        <v>1018</v>
      </c>
      <c r="C12" s="446"/>
      <c r="D12" s="446"/>
      <c r="E12" s="446"/>
      <c r="F12" s="446"/>
      <c r="G12" s="446"/>
      <c r="H12" s="446"/>
      <c r="I12" s="446"/>
      <c r="J12" s="446"/>
      <c r="K12" s="446"/>
      <c r="L12" s="148">
        <f>IF(Dashboard!$F64="o.k.",IF(L$6&lt;=Dashboard!$D64,MAX(Dashboard!$E64*(1-(Dashboard!$D64-L$6)/Dashboard!$C64),0),Dashboard!$E64),0)</f>
        <v>0</v>
      </c>
      <c r="M12" s="148">
        <f>IF(Dashboard!$F64="o.k.",IF(M$6&lt;=Dashboard!$D64,MAX(Dashboard!$E64*(1-(Dashboard!$D64-M$6)/Dashboard!$C64),0),Dashboard!$E64),0)</f>
        <v>0</v>
      </c>
      <c r="N12" s="148">
        <f>IF(Dashboard!$F64="o.k.",IF(N$6&lt;=Dashboard!$D64,MAX(Dashboard!$E64*(1-(Dashboard!$D64-N$6)/Dashboard!$C64),0),Dashboard!$E64),0)</f>
        <v>0</v>
      </c>
      <c r="O12" s="148">
        <f>IF(Dashboard!$F64="o.k.",IF(O$6&lt;=Dashboard!$D64,MAX(Dashboard!$E64*(1-(Dashboard!$D64-O$6)/Dashboard!$C64),0),Dashboard!$E64),0)</f>
        <v>0</v>
      </c>
      <c r="P12" s="148">
        <f>IF(Dashboard!$F64="o.k.",IF(P$6&lt;=Dashboard!$D64,MAX(Dashboard!$E64*(1-(Dashboard!$D64-P$6)/Dashboard!$C64),0),Dashboard!$E64),0)</f>
        <v>0</v>
      </c>
      <c r="Q12" s="148">
        <f>IF(Dashboard!$F64="o.k.",IF(Q$6&lt;=Dashboard!$D64,MAX(Dashboard!$E64*(1-(Dashboard!$D64-Q$6)/Dashboard!$C64),0),Dashboard!$E64),0)</f>
        <v>0</v>
      </c>
      <c r="R12" s="148">
        <f>IF(Dashboard!$F64="o.k.",IF(R$6&lt;=Dashboard!$D64,MAX(Dashboard!$E64*(1-(Dashboard!$D64-R$6)/Dashboard!$C64),0),Dashboard!$E64),0)</f>
        <v>0</v>
      </c>
      <c r="S12" s="148">
        <f>IF(Dashboard!$F64="o.k.",IF(S$6&lt;=Dashboard!$D64,MAX(Dashboard!$E64*(1-(Dashboard!$D64-S$6)/Dashboard!$C64),0),Dashboard!$E64),0)</f>
        <v>0</v>
      </c>
      <c r="T12" s="148">
        <f>IF(Dashboard!$F64="o.k.",IF(T$6&lt;=Dashboard!$D64,MAX(Dashboard!$E64*(1-(Dashboard!$D64-T$6)/Dashboard!$C64),0),Dashboard!$E64),0)</f>
        <v>0</v>
      </c>
      <c r="U12" s="148">
        <f>IF(Dashboard!$F64="o.k.",IF(U$6&lt;=Dashboard!$D64,MAX(Dashboard!$E64*(1-(Dashboard!$D64-U$6)/Dashboard!$C64),0),Dashboard!$E64),0)</f>
        <v>0</v>
      </c>
      <c r="V12" s="148">
        <f>IF(Dashboard!$F64="o.k.",IF(V$6&lt;=Dashboard!$D64,MAX(Dashboard!$E64*(1-(Dashboard!$D64-V$6)/Dashboard!$C64),0),Dashboard!$E64),0)</f>
        <v>0</v>
      </c>
      <c r="W12" s="148">
        <f>IF(Dashboard!$F64="o.k.",IF(W$6&lt;=Dashboard!$D64,MAX(Dashboard!$E64*(1-(Dashboard!$D64-W$6)/Dashboard!$C64),0),Dashboard!$E64),0)</f>
        <v>0</v>
      </c>
      <c r="X12" s="148">
        <f>IF(Dashboard!$F64="o.k.",IF(X$6&lt;=Dashboard!$D64,MAX(Dashboard!$E64*(1-(Dashboard!$D64-X$6)/Dashboard!$C64),0),Dashboard!$E64),0)</f>
        <v>0</v>
      </c>
      <c r="Y12" s="148">
        <f>IF(Dashboard!$F64="o.k.",IF(Y$6&lt;=Dashboard!$D64,MAX(Dashboard!$E64*(1-(Dashboard!$D64-Y$6)/Dashboard!$C64),0),Dashboard!$E64),0)</f>
        <v>0</v>
      </c>
      <c r="Z12" s="148">
        <f>IF(Dashboard!$F64="o.k.",IF(Z$6&lt;=Dashboard!$D64,MAX(Dashboard!$E64*(1-(Dashboard!$D64-Z$6)/Dashboard!$C64),0),Dashboard!$E64),0)</f>
        <v>0</v>
      </c>
      <c r="AA12" s="148">
        <f>IF(Dashboard!$F64="o.k.",IF(AA$6&lt;=Dashboard!$D64,MAX(Dashboard!$E64*(1-(Dashboard!$D64-AA$6)/Dashboard!$C64),0),Dashboard!$E64),0)</f>
        <v>0</v>
      </c>
      <c r="AB12" s="148">
        <f>IF(Dashboard!$F64="o.k.",IF(AB$6&lt;=Dashboard!$D64,MAX(Dashboard!$E64*(1-(Dashboard!$D64-AB$6)/Dashboard!$C64),0),Dashboard!$E64),0)</f>
        <v>0</v>
      </c>
      <c r="AC12" s="148">
        <f>IF(Dashboard!$F64="o.k.",IF(AC$6&lt;=Dashboard!$D64,MAX(Dashboard!$E64*(1-(Dashboard!$D64-AC$6)/Dashboard!$C64),0),Dashboard!$E64),0)</f>
        <v>0</v>
      </c>
      <c r="AD12" s="148">
        <f>IF(Dashboard!$F64="o.k.",IF(AD$6&lt;=Dashboard!$D64,MAX(Dashboard!$E64*(1-(Dashboard!$D64-AD$6)/Dashboard!$C64),0),Dashboard!$E64),0)</f>
        <v>0</v>
      </c>
      <c r="AE12" s="148">
        <f>IF(Dashboard!$F64="o.k.",IF(AE$6&lt;=Dashboard!$D64,MAX(Dashboard!$E64*(1-(Dashboard!$D64-AE$6)/Dashboard!$C64),0),Dashboard!$E64),0)</f>
        <v>0</v>
      </c>
      <c r="AF12" s="148">
        <f>IF(Dashboard!$F64="o.k.",IF(AF$6&lt;=Dashboard!$D64,MAX(Dashboard!$E64*(1-(Dashboard!$D64-AF$6)/Dashboard!$C64),0),Dashboard!$E64),0)</f>
        <v>0</v>
      </c>
      <c r="AG12" s="148">
        <f>IF(Dashboard!$F64="o.k.",IF(AG$6&lt;=Dashboard!$D64,MAX(Dashboard!$E64*(1-(Dashboard!$D64-AG$6)/Dashboard!$C64),0),Dashboard!$E64),0)</f>
        <v>0</v>
      </c>
      <c r="AH12" s="148">
        <f>IF(Dashboard!$F64="o.k.",IF(AH$6&lt;=Dashboard!$D64,MAX(Dashboard!$E64*(1-(Dashboard!$D64-AH$6)/Dashboard!$C64),0),Dashboard!$E64),0)</f>
        <v>0</v>
      </c>
      <c r="AI12" s="148">
        <f>IF(Dashboard!$F64="o.k.",IF(AI$6&lt;=Dashboard!$D64,MAX(Dashboard!$E64*(1-(Dashboard!$D64-AI$6)/Dashboard!$C64),0),Dashboard!$E64),0)</f>
        <v>0</v>
      </c>
      <c r="AJ12" s="148">
        <f>IF(Dashboard!$F64="o.k.",IF(AJ$6&lt;=Dashboard!$D64,MAX(Dashboard!$E64*(1-(Dashboard!$D64-AJ$6)/Dashboard!$C64),0),Dashboard!$E64),0)</f>
        <v>0</v>
      </c>
      <c r="AK12" s="148">
        <f>IF(Dashboard!$F64="o.k.",IF(AK$6&lt;=Dashboard!$D64,MAX(Dashboard!$E64*(1-(Dashboard!$D64-AK$6)/Dashboard!$C64),0),Dashboard!$E64),0)</f>
        <v>0</v>
      </c>
      <c r="AL12" s="148">
        <f>IF(Dashboard!$F64="o.k.",IF(AL$6&lt;=Dashboard!$D64,MAX(Dashboard!$E64*(1-(Dashboard!$D64-AL$6)/Dashboard!$C64),0),Dashboard!$E64),0)</f>
        <v>0</v>
      </c>
      <c r="AO12" s="19"/>
    </row>
    <row r="13" spans="1:47" s="291" customFormat="1">
      <c r="A13" s="578" t="s">
        <v>1020</v>
      </c>
      <c r="B13" s="54" t="s">
        <v>1018</v>
      </c>
      <c r="C13" s="446"/>
      <c r="D13" s="446"/>
      <c r="E13" s="446"/>
      <c r="F13" s="446"/>
      <c r="G13" s="446"/>
      <c r="H13" s="446"/>
      <c r="I13" s="446"/>
      <c r="J13" s="446"/>
      <c r="K13" s="446"/>
      <c r="L13" s="148">
        <f>IF(Dashboard!$F65="o.k.",IF(L$6&lt;=Dashboard!$D65,MAX(Dashboard!$E65*(1-(Dashboard!$D65-L$6)/Dashboard!$C65),0),Dashboard!$E65),0)</f>
        <v>0</v>
      </c>
      <c r="M13" s="148">
        <f>IF(Dashboard!$F65="o.k.",IF(M$6&lt;=Dashboard!$D65,MAX(Dashboard!$E65*(1-(Dashboard!$D65-M$6)/Dashboard!$C65),0),Dashboard!$E65),0)</f>
        <v>0</v>
      </c>
      <c r="N13" s="148">
        <f>IF(Dashboard!$F65="o.k.",IF(N$6&lt;=Dashboard!$D65,MAX(Dashboard!$E65*(1-(Dashboard!$D65-N$6)/Dashboard!$C65),0),Dashboard!$E65),0)</f>
        <v>0</v>
      </c>
      <c r="O13" s="148">
        <f>IF(Dashboard!$F65="o.k.",IF(O$6&lt;=Dashboard!$D65,MAX(Dashboard!$E65*(1-(Dashboard!$D65-O$6)/Dashboard!$C65),0),Dashboard!$E65),0)</f>
        <v>0</v>
      </c>
      <c r="P13" s="148">
        <f>IF(Dashboard!$F65="o.k.",IF(P$6&lt;=Dashboard!$D65,MAX(Dashboard!$E65*(1-(Dashboard!$D65-P$6)/Dashboard!$C65),0),Dashboard!$E65),0)</f>
        <v>0</v>
      </c>
      <c r="Q13" s="148">
        <f>IF(Dashboard!$F65="o.k.",IF(Q$6&lt;=Dashboard!$D65,MAX(Dashboard!$E65*(1-(Dashboard!$D65-Q$6)/Dashboard!$C65),0),Dashboard!$E65),0)</f>
        <v>0</v>
      </c>
      <c r="R13" s="148">
        <f>IF(Dashboard!$F65="o.k.",IF(R$6&lt;=Dashboard!$D65,MAX(Dashboard!$E65*(1-(Dashboard!$D65-R$6)/Dashboard!$C65),0),Dashboard!$E65),0)</f>
        <v>0</v>
      </c>
      <c r="S13" s="148">
        <f>IF(Dashboard!$F65="o.k.",IF(S$6&lt;=Dashboard!$D65,MAX(Dashboard!$E65*(1-(Dashboard!$D65-S$6)/Dashboard!$C65),0),Dashboard!$E65),0)</f>
        <v>0</v>
      </c>
      <c r="T13" s="148">
        <f>IF(Dashboard!$F65="o.k.",IF(T$6&lt;=Dashboard!$D65,MAX(Dashboard!$E65*(1-(Dashboard!$D65-T$6)/Dashboard!$C65),0),Dashboard!$E65),0)</f>
        <v>0</v>
      </c>
      <c r="U13" s="148">
        <f>IF(Dashboard!$F65="o.k.",IF(U$6&lt;=Dashboard!$D65,MAX(Dashboard!$E65*(1-(Dashboard!$D65-U$6)/Dashboard!$C65),0),Dashboard!$E65),0)</f>
        <v>0</v>
      </c>
      <c r="V13" s="148">
        <f>IF(Dashboard!$F65="o.k.",IF(V$6&lt;=Dashboard!$D65,MAX(Dashboard!$E65*(1-(Dashboard!$D65-V$6)/Dashboard!$C65),0),Dashboard!$E65),0)</f>
        <v>0</v>
      </c>
      <c r="W13" s="148">
        <f>IF(Dashboard!$F65="o.k.",IF(W$6&lt;=Dashboard!$D65,MAX(Dashboard!$E65*(1-(Dashboard!$D65-W$6)/Dashboard!$C65),0),Dashboard!$E65),0)</f>
        <v>0</v>
      </c>
      <c r="X13" s="148">
        <f>IF(Dashboard!$F65="o.k.",IF(X$6&lt;=Dashboard!$D65,MAX(Dashboard!$E65*(1-(Dashboard!$D65-X$6)/Dashboard!$C65),0),Dashboard!$E65),0)</f>
        <v>0</v>
      </c>
      <c r="Y13" s="148">
        <f>IF(Dashboard!$F65="o.k.",IF(Y$6&lt;=Dashboard!$D65,MAX(Dashboard!$E65*(1-(Dashboard!$D65-Y$6)/Dashboard!$C65),0),Dashboard!$E65),0)</f>
        <v>0</v>
      </c>
      <c r="Z13" s="148">
        <f>IF(Dashboard!$F65="o.k.",IF(Z$6&lt;=Dashboard!$D65,MAX(Dashboard!$E65*(1-(Dashboard!$D65-Z$6)/Dashboard!$C65),0),Dashboard!$E65),0)</f>
        <v>0</v>
      </c>
      <c r="AA13" s="148">
        <f>IF(Dashboard!$F65="o.k.",IF(AA$6&lt;=Dashboard!$D65,MAX(Dashboard!$E65*(1-(Dashboard!$D65-AA$6)/Dashboard!$C65),0),Dashboard!$E65),0)</f>
        <v>0</v>
      </c>
      <c r="AB13" s="148">
        <f>IF(Dashboard!$F65="o.k.",IF(AB$6&lt;=Dashboard!$D65,MAX(Dashboard!$E65*(1-(Dashboard!$D65-AB$6)/Dashboard!$C65),0),Dashboard!$E65),0)</f>
        <v>0</v>
      </c>
      <c r="AC13" s="148">
        <f>IF(Dashboard!$F65="o.k.",IF(AC$6&lt;=Dashboard!$D65,MAX(Dashboard!$E65*(1-(Dashboard!$D65-AC$6)/Dashboard!$C65),0),Dashboard!$E65),0)</f>
        <v>0</v>
      </c>
      <c r="AD13" s="148">
        <f>IF(Dashboard!$F65="o.k.",IF(AD$6&lt;=Dashboard!$D65,MAX(Dashboard!$E65*(1-(Dashboard!$D65-AD$6)/Dashboard!$C65),0),Dashboard!$E65),0)</f>
        <v>0</v>
      </c>
      <c r="AE13" s="148">
        <f>IF(Dashboard!$F65="o.k.",IF(AE$6&lt;=Dashboard!$D65,MAX(Dashboard!$E65*(1-(Dashboard!$D65-AE$6)/Dashboard!$C65),0),Dashboard!$E65),0)</f>
        <v>0</v>
      </c>
      <c r="AF13" s="148">
        <f>IF(Dashboard!$F65="o.k.",IF(AF$6&lt;=Dashboard!$D65,MAX(Dashboard!$E65*(1-(Dashboard!$D65-AF$6)/Dashboard!$C65),0),Dashboard!$E65),0)</f>
        <v>0</v>
      </c>
      <c r="AG13" s="148">
        <f>IF(Dashboard!$F65="o.k.",IF(AG$6&lt;=Dashboard!$D65,MAX(Dashboard!$E65*(1-(Dashboard!$D65-AG$6)/Dashboard!$C65),0),Dashboard!$E65),0)</f>
        <v>0</v>
      </c>
      <c r="AH13" s="148">
        <f>IF(Dashboard!$F65="o.k.",IF(AH$6&lt;=Dashboard!$D65,MAX(Dashboard!$E65*(1-(Dashboard!$D65-AH$6)/Dashboard!$C65),0),Dashboard!$E65),0)</f>
        <v>0</v>
      </c>
      <c r="AI13" s="148">
        <f>IF(Dashboard!$F65="o.k.",IF(AI$6&lt;=Dashboard!$D65,MAX(Dashboard!$E65*(1-(Dashboard!$D65-AI$6)/Dashboard!$C65),0),Dashboard!$E65),0)</f>
        <v>0</v>
      </c>
      <c r="AJ13" s="148">
        <f>IF(Dashboard!$F65="o.k.",IF(AJ$6&lt;=Dashboard!$D65,MAX(Dashboard!$E65*(1-(Dashboard!$D65-AJ$6)/Dashboard!$C65),0),Dashboard!$E65),0)</f>
        <v>0</v>
      </c>
      <c r="AK13" s="148">
        <f>IF(Dashboard!$F65="o.k.",IF(AK$6&lt;=Dashboard!$D65,MAX(Dashboard!$E65*(1-(Dashboard!$D65-AK$6)/Dashboard!$C65),0),Dashboard!$E65),0)</f>
        <v>0</v>
      </c>
      <c r="AL13" s="148">
        <f>IF(Dashboard!$F65="o.k.",IF(AL$6&lt;=Dashboard!$D65,MAX(Dashboard!$E65*(1-(Dashboard!$D65-AL$6)/Dashboard!$C65),0),Dashboard!$E65),0)</f>
        <v>0</v>
      </c>
    </row>
    <row r="14" spans="1:47" ht="3.95" customHeight="1">
      <c r="A14" s="54"/>
      <c r="B14" s="54"/>
      <c r="C14" s="446"/>
      <c r="D14" s="446"/>
      <c r="E14" s="446"/>
      <c r="F14" s="446"/>
      <c r="G14" s="446"/>
      <c r="H14" s="446"/>
      <c r="I14" s="446"/>
      <c r="J14" s="446"/>
      <c r="K14" s="446"/>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row>
    <row r="15" spans="1:47" ht="14.25">
      <c r="A15" s="121" t="s">
        <v>1205</v>
      </c>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row>
    <row r="16" spans="1:47">
      <c r="A16" s="578" t="s">
        <v>1207</v>
      </c>
      <c r="B16" s="54" t="s">
        <v>503</v>
      </c>
      <c r="C16" s="446"/>
      <c r="D16" s="446"/>
      <c r="E16" s="446"/>
      <c r="F16" s="446"/>
      <c r="G16" s="446"/>
      <c r="H16" s="446"/>
      <c r="I16" s="446"/>
      <c r="J16" s="446"/>
      <c r="K16" s="446"/>
      <c r="L16" s="295">
        <f>IF(parameters!$C$13=0,L10*parameters!$C$31/1000+L12/parameters!$C$33, L11*parameters!$C$31/1000+L12/parameters!$C$33)</f>
        <v>0</v>
      </c>
      <c r="M16" s="295">
        <f>IF(parameters!$C$13=0,M10*parameters!$C$31/1000+M12/parameters!$C$33, M11*parameters!$C$31/1000+M12/parameters!$C$33)</f>
        <v>0</v>
      </c>
      <c r="N16" s="295">
        <f>IF(parameters!$C$13=0,N10*parameters!$C$31/1000+N12/parameters!$C$33, N11*parameters!$C$31/1000+N12/parameters!$C$33)</f>
        <v>0</v>
      </c>
      <c r="O16" s="295">
        <f>IF(parameters!$C$13=0,O10*parameters!$C$31/1000+O12/parameters!$C$33, O11*parameters!$C$31/1000+O12/parameters!$C$33)</f>
        <v>0</v>
      </c>
      <c r="P16" s="295">
        <f>IF(parameters!$C$13=0,P10*parameters!$C$31/1000+P12/parameters!$C$33, P11*parameters!$C$31/1000+P12/parameters!$C$33)</f>
        <v>0</v>
      </c>
      <c r="Q16" s="295">
        <f>IF(parameters!$C$13=0,Q10*parameters!$C$31/1000+Q12/parameters!$C$33, Q11*parameters!$C$31/1000+Q12/parameters!$C$33)</f>
        <v>0</v>
      </c>
      <c r="R16" s="295">
        <f>IF(parameters!$C$13=0,R10*parameters!$C$31/1000+R12/parameters!$C$33, R11*parameters!$C$31/1000+R12/parameters!$C$33)</f>
        <v>0.99111132715385186</v>
      </c>
      <c r="S16" s="295">
        <f>IF(parameters!$C$13=0,S10*parameters!$C$31/1000+S12/parameters!$C$33, S11*parameters!$C$31/1000+S12/parameters!$C$33)</f>
        <v>1.1190303220969291</v>
      </c>
      <c r="T16" s="295">
        <f>IF(parameters!$C$13=0,T10*parameters!$C$31/1000+T12/parameters!$C$33, T11*parameters!$C$31/1000+T12/parameters!$C$33)</f>
        <v>1.2411932915454038</v>
      </c>
      <c r="U16" s="295">
        <f>IF(parameters!$C$13=0,U10*parameters!$C$31/1000+U12/parameters!$C$33, U11*parameters!$C$31/1000+U12/parameters!$C$33)</f>
        <v>1.3567425562178828</v>
      </c>
      <c r="V16" s="295">
        <f>IF(parameters!$C$13=0,V10*parameters!$C$31/1000+V12/parameters!$C$33, V11*parameters!$C$31/1000+V12/parameters!$C$33)</f>
        <v>1.4651498427910228</v>
      </c>
      <c r="W16" s="295">
        <f>IF(parameters!$C$13=0,W10*parameters!$C$31/1000+W12/parameters!$C$33, W11*parameters!$C$31/1000+W12/parameters!$C$33)</f>
        <v>1.5659260081862534</v>
      </c>
      <c r="X16" s="295">
        <f>IF(parameters!$C$13=0,X10*parameters!$C$31/1000+X12/parameters!$C$33, X11*parameters!$C$31/1000+X12/parameters!$C$33)</f>
        <v>1.659090424771253</v>
      </c>
      <c r="Y16" s="295">
        <f>IF(parameters!$C$13=0,Y10*parameters!$C$31/1000+Y12/parameters!$C$33, Y11*parameters!$C$31/1000+Y12/parameters!$C$33)</f>
        <v>1.7445644289524087</v>
      </c>
      <c r="Z16" s="295">
        <f>IF(parameters!$C$13=0,Z10*parameters!$C$31/1000+Z12/parameters!$C$33, Z11*parameters!$C$31/1000+Z12/parameters!$C$33)</f>
        <v>1.8212874020533911</v>
      </c>
      <c r="AA16" s="295">
        <f>IF(parameters!$C$13=0,AA10*parameters!$C$31/1000+AA12/parameters!$C$33, AA11*parameters!$C$31/1000+AA12/parameters!$C$33)</f>
        <v>1.9071350883696703</v>
      </c>
      <c r="AB16" s="295">
        <f>IF(parameters!$C$13=0,AB10*parameters!$C$31/1000+AB12/parameters!$C$33, AB11*parameters!$C$31/1000+AB12/parameters!$C$33)</f>
        <v>0</v>
      </c>
      <c r="AC16" s="295">
        <f>IF(parameters!$C$13=0,AC10*parameters!$C$31/1000+AC12/parameters!$C$33, AC11*parameters!$C$31/1000+AC12/parameters!$C$33)</f>
        <v>0</v>
      </c>
      <c r="AD16" s="295">
        <f>IF(parameters!$C$13=0,AD10*parameters!$C$31/1000+AD12/parameters!$C$33, AD11*parameters!$C$31/1000+AD12/parameters!$C$33)</f>
        <v>0</v>
      </c>
      <c r="AE16" s="295">
        <f>IF(parameters!$C$13=0,AE10*parameters!$C$31/1000+AE12/parameters!$C$33, AE11*parameters!$C$31/1000+AE12/parameters!$C$33)</f>
        <v>0</v>
      </c>
      <c r="AF16" s="295">
        <f>IF(parameters!$C$13=0,AF10*parameters!$C$31/1000+AF12/parameters!$C$33, AF11*parameters!$C$31/1000+AF12/parameters!$C$33)</f>
        <v>0</v>
      </c>
      <c r="AG16" s="295">
        <f>IF(parameters!$C$13=0,AG10*parameters!$C$31/1000+AG12/parameters!$C$33, AG11*parameters!$C$31/1000+AG12/parameters!$C$33)</f>
        <v>0</v>
      </c>
      <c r="AH16" s="295">
        <f>IF(parameters!$C$13=0,AH10*parameters!$C$31/1000+AH12/parameters!$C$33, AH11*parameters!$C$31/1000+AH12/parameters!$C$33)</f>
        <v>0</v>
      </c>
      <c r="AI16" s="295">
        <f>IF(parameters!$C$13=0,AI10*parameters!$C$31/1000+AI12/parameters!$C$33, AI11*parameters!$C$31/1000+AI12/parameters!$C$33)</f>
        <v>0</v>
      </c>
      <c r="AJ16" s="295">
        <f>IF(parameters!$C$13=0,AJ10*parameters!$C$31/1000+AJ12/parameters!$C$33, AJ11*parameters!$C$31/1000+AJ12/parameters!$C$33)</f>
        <v>0</v>
      </c>
      <c r="AK16" s="295">
        <f>IF(parameters!$C$13=0,AK10*parameters!$C$31/1000+AK12/parameters!$C$33, AK11*parameters!$C$31/1000+AK12/parameters!$C$33)</f>
        <v>0</v>
      </c>
      <c r="AL16" s="295">
        <f>IF(parameters!$C$13=0,AL10*parameters!$C$31/1000+AL12/parameters!$C$33, AL11*parameters!$C$31/1000+AL12/parameters!$C$33)</f>
        <v>0</v>
      </c>
      <c r="AN16" s="295">
        <v>3.4020799999999989</v>
      </c>
    </row>
    <row r="17" spans="1:40">
      <c r="A17" s="104" t="s">
        <v>1</v>
      </c>
      <c r="B17" s="54" t="s">
        <v>503</v>
      </c>
      <c r="C17" s="446"/>
      <c r="D17" s="446"/>
      <c r="E17" s="446"/>
      <c r="F17" s="446"/>
      <c r="G17" s="446"/>
      <c r="H17" s="446"/>
      <c r="I17" s="446"/>
      <c r="J17" s="446"/>
      <c r="K17" s="446"/>
      <c r="L17" s="295">
        <f>IF(parameters!$C$13=0,L10*parameters!$C$34/1000,L11*parameters!$C$34/1000)</f>
        <v>0</v>
      </c>
      <c r="M17" s="295">
        <f>IF(parameters!$C$13=0,M10*parameters!$C$34/1000,M11*parameters!$C$34/1000)</f>
        <v>0</v>
      </c>
      <c r="N17" s="295">
        <f>IF(parameters!$C$13=0,N10*parameters!$C$34/1000,N11*parameters!$C$34/1000)</f>
        <v>0</v>
      </c>
      <c r="O17" s="295">
        <f>IF(parameters!$C$13=0,O10*parameters!$C$34/1000,O11*parameters!$C$34/1000)</f>
        <v>0</v>
      </c>
      <c r="P17" s="295">
        <f>IF(parameters!$C$13=0,P10*parameters!$C$34/1000,P11*parameters!$C$34/1000)</f>
        <v>0</v>
      </c>
      <c r="Q17" s="295">
        <f>IF(parameters!$C$13=0,Q10*parameters!$C$34/1000,Q11*parameters!$C$34/1000)</f>
        <v>0</v>
      </c>
      <c r="R17" s="295">
        <f>IF(parameters!$C$13=0,R10*parameters!$C$34/1000,R11*parameters!$C$34/1000)</f>
        <v>0.74192348183736423</v>
      </c>
      <c r="S17" s="295">
        <f>IF(parameters!$C$13=0,S10*parameters!$C$34/1000,S11*parameters!$C$34/1000)</f>
        <v>0.8376807429251204</v>
      </c>
      <c r="T17" s="295">
        <f>IF(parameters!$C$13=0,T10*parameters!$C$34/1000,T11*parameters!$C$34/1000)</f>
        <v>0.92912917375385462</v>
      </c>
      <c r="U17" s="295">
        <f>IF(parameters!$C$13=0,U10*parameters!$C$34/1000,U11*parameters!$C$34/1000)</f>
        <v>1.0156267350477381</v>
      </c>
      <c r="V17" s="295">
        <f>IF(parameters!$C$13=0,V10*parameters!$C$34/1000,V11*parameters!$C$34/1000)</f>
        <v>1.0967779733671039</v>
      </c>
      <c r="W17" s="295">
        <f>IF(parameters!$C$13=0,W10*parameters!$C$34/1000,W11*parameters!$C$34/1000)</f>
        <v>1.1722167272868653</v>
      </c>
      <c r="X17" s="295">
        <f>IF(parameters!$C$13=0,X10*parameters!$C$34/1000,X11*parameters!$C$34/1000)</f>
        <v>1.2419574985225068</v>
      </c>
      <c r="Y17" s="295">
        <f>IF(parameters!$C$13=0,Y10*parameters!$C$34/1000,Y11*parameters!$C$34/1000)</f>
        <v>1.3059414012902937</v>
      </c>
      <c r="Z17" s="295">
        <f>IF(parameters!$C$13=0,Z10*parameters!$C$34/1000,Z11*parameters!$C$34/1000)</f>
        <v>1.3633744804817689</v>
      </c>
      <c r="AA17" s="295">
        <f>IF(parameters!$C$13=0,AA10*parameters!$C$34/1000,AA11*parameters!$C$34/1000)</f>
        <v>1.4276381132286162</v>
      </c>
      <c r="AB17" s="295">
        <f>IF(parameters!$C$13=0,AB10*parameters!$C$34/1000,AB11*parameters!$C$34/1000)</f>
        <v>0</v>
      </c>
      <c r="AC17" s="295">
        <f>IF(parameters!$C$13=0,AC10*parameters!$C$34/1000,AC11*parameters!$C$34/1000)</f>
        <v>0</v>
      </c>
      <c r="AD17" s="295">
        <f>IF(parameters!$C$13=0,AD10*parameters!$C$34/1000,AD11*parameters!$C$34/1000)</f>
        <v>0</v>
      </c>
      <c r="AE17" s="295">
        <f>IF(parameters!$C$13=0,AE10*parameters!$C$34/1000,AE11*parameters!$C$34/1000)</f>
        <v>0</v>
      </c>
      <c r="AF17" s="295">
        <f>IF(parameters!$C$13=0,AF10*parameters!$C$34/1000,AF11*parameters!$C$34/1000)</f>
        <v>0</v>
      </c>
      <c r="AG17" s="295">
        <f>IF(parameters!$C$13=0,AG10*parameters!$C$34/1000,AG11*parameters!$C$34/1000)</f>
        <v>0</v>
      </c>
      <c r="AH17" s="295">
        <f>IF(parameters!$C$13=0,AH10*parameters!$C$34/1000,AH11*parameters!$C$34/1000)</f>
        <v>0</v>
      </c>
      <c r="AI17" s="295">
        <f>IF(parameters!$C$13=0,AI10*parameters!$C$34/1000,AI11*parameters!$C$34/1000)</f>
        <v>0</v>
      </c>
      <c r="AJ17" s="295">
        <f>IF(parameters!$C$13=0,AJ10*parameters!$C$34/1000,AJ11*parameters!$C$34/1000)</f>
        <v>0</v>
      </c>
      <c r="AK17" s="295">
        <f>IF(parameters!$C$13=0,AK10*parameters!$C$34/1000,AK11*parameters!$C$34/1000)</f>
        <v>0</v>
      </c>
      <c r="AL17" s="295">
        <f>IF(parameters!$C$13=0,AL10*parameters!$C$34/1000,AL11*parameters!$C$34/1000)</f>
        <v>0</v>
      </c>
      <c r="AN17" s="295">
        <v>2.5467200000000014</v>
      </c>
    </row>
    <row r="18" spans="1:40">
      <c r="A18" s="54" t="s">
        <v>2</v>
      </c>
      <c r="B18" s="54" t="s">
        <v>503</v>
      </c>
      <c r="C18" s="446"/>
      <c r="D18" s="446"/>
      <c r="E18" s="446"/>
      <c r="F18" s="446"/>
      <c r="G18" s="446"/>
      <c r="H18" s="446"/>
      <c r="I18" s="446"/>
      <c r="J18" s="446"/>
      <c r="K18" s="446"/>
      <c r="L18" s="295">
        <f>IF(parameters!$C$13=0,L10*parameters!$C$36/1000,L11*parameters!$C$36/1000)</f>
        <v>0</v>
      </c>
      <c r="M18" s="295">
        <f>IF(parameters!$C$13=0,M10*parameters!$C$36/1000,M11*parameters!$C$36/1000)</f>
        <v>0</v>
      </c>
      <c r="N18" s="295">
        <f>IF(parameters!$C$13=0,N10*parameters!$C$36/1000,N11*parameters!$C$36/1000)</f>
        <v>0</v>
      </c>
      <c r="O18" s="295">
        <f>IF(parameters!$C$13=0,O10*parameters!$C$36/1000,O11*parameters!$C$36/1000)</f>
        <v>0</v>
      </c>
      <c r="P18" s="295">
        <f>IF(parameters!$C$13=0,P10*parameters!$C$36/1000,P11*parameters!$C$36/1000)</f>
        <v>0</v>
      </c>
      <c r="Q18" s="295">
        <f>IF(parameters!$C$13=0,Q10*parameters!$C$36/1000,Q11*parameters!$C$36/1000)</f>
        <v>0</v>
      </c>
      <c r="R18" s="295">
        <f>IF(parameters!$C$13=0,R10*parameters!$C$36/1000,R11*parameters!$C$36/1000)</f>
        <v>1.3242474159074891</v>
      </c>
      <c r="S18" s="295">
        <f>IF(parameters!$C$13=0,S10*parameters!$C$36/1000,S11*parameters!$C$36/1000)</f>
        <v>1.4951630273608505</v>
      </c>
      <c r="T18" s="295">
        <f>IF(parameters!$C$13=0,T10*parameters!$C$36/1000,T11*parameters!$C$36/1000)</f>
        <v>1.6583878762547586</v>
      </c>
      <c r="U18" s="295">
        <f>IF(parameters!$C$13=0,U10*parameters!$C$36/1000,U11*parameters!$C$36/1000)</f>
        <v>1.8127759969030737</v>
      </c>
      <c r="V18" s="295">
        <f>IF(parameters!$C$13=0,V10*parameters!$C$36/1000,V11*parameters!$C$36/1000)</f>
        <v>1.9576215507545016</v>
      </c>
      <c r="W18" s="295">
        <f>IF(parameters!$C$13=0,W10*parameters!$C$36/1000,W11*parameters!$C$36/1000)</f>
        <v>2.0922709821084262</v>
      </c>
      <c r="X18" s="295">
        <f>IF(parameters!$C$13=0,X10*parameters!$C$36/1000,X11*parameters!$C$36/1000)</f>
        <v>2.2167501748460388</v>
      </c>
      <c r="Y18" s="295">
        <f>IF(parameters!$C$13=0,Y10*parameters!$C$36/1000,Y11*parameters!$C$36/1000)</f>
        <v>2.3309540246690466</v>
      </c>
      <c r="Z18" s="295">
        <f>IF(parameters!$C$13=0,Z10*parameters!$C$36/1000,Z11*parameters!$C$36/1000)</f>
        <v>2.4334654137392118</v>
      </c>
      <c r="AA18" s="295">
        <f>IF(parameters!$C$13=0,AA10*parameters!$C$36/1000,AA11*parameters!$C$36/1000)</f>
        <v>2.5481685491502772</v>
      </c>
      <c r="AB18" s="295">
        <f>IF(parameters!$C$13=0,AB10*parameters!$C$36/1000,AB11*parameters!$C$36/1000)</f>
        <v>0</v>
      </c>
      <c r="AC18" s="295">
        <f>IF(parameters!$C$13=0,AC10*parameters!$C$36/1000,AC11*parameters!$C$36/1000)</f>
        <v>0</v>
      </c>
      <c r="AD18" s="295">
        <f>IF(parameters!$C$13=0,AD10*parameters!$C$36/1000,AD11*parameters!$C$36/1000)</f>
        <v>0</v>
      </c>
      <c r="AE18" s="295">
        <f>IF(parameters!$C$13=0,AE10*parameters!$C$36/1000,AE11*parameters!$C$36/1000)</f>
        <v>0</v>
      </c>
      <c r="AF18" s="295">
        <f>IF(parameters!$C$13=0,AF10*parameters!$C$36/1000,AF11*parameters!$C$36/1000)</f>
        <v>0</v>
      </c>
      <c r="AG18" s="295">
        <f>IF(parameters!$C$13=0,AG10*parameters!$C$36/1000,AG11*parameters!$C$36/1000)</f>
        <v>0</v>
      </c>
      <c r="AH18" s="295">
        <f>IF(parameters!$C$13=0,AH10*parameters!$C$36/1000,AH11*parameters!$C$36/1000)</f>
        <v>0</v>
      </c>
      <c r="AI18" s="295">
        <f>IF(parameters!$C$13=0,AI10*parameters!$C$36/1000,AI11*parameters!$C$36/1000)</f>
        <v>0</v>
      </c>
      <c r="AJ18" s="295">
        <f>IF(parameters!$C$13=0,AJ10*parameters!$C$36/1000,AJ11*parameters!$C$36/1000)</f>
        <v>0</v>
      </c>
      <c r="AK18" s="295">
        <f>IF(parameters!$C$13=0,AK10*parameters!$C$36/1000,AK11*parameters!$C$36/1000)</f>
        <v>0</v>
      </c>
      <c r="AL18" s="295">
        <f>IF(parameters!$C$13=0,AL10*parameters!$C$36/1000,AL11*parameters!$C$36/1000)</f>
        <v>0</v>
      </c>
      <c r="AN18" s="295">
        <v>4.5456000000000003</v>
      </c>
    </row>
    <row r="19" spans="1:40">
      <c r="A19" s="578" t="s">
        <v>1206</v>
      </c>
      <c r="B19" s="54" t="s">
        <v>503</v>
      </c>
      <c r="C19" s="446"/>
      <c r="D19" s="446"/>
      <c r="E19" s="446"/>
      <c r="F19" s="446"/>
      <c r="G19" s="446"/>
      <c r="H19" s="446"/>
      <c r="I19" s="446"/>
      <c r="J19" s="446"/>
      <c r="K19" s="446"/>
      <c r="L19" s="295">
        <f>IF(parameters!$C$13=0,L10*parameters!$C$37/1000+L13/parameters!$C$39, L11*parameters!$C$37/1000+L13/parameters!$C$39)</f>
        <v>0</v>
      </c>
      <c r="M19" s="295">
        <f>IF(parameters!$C$13=0,M10*parameters!$C$37/1000+M13/parameters!$C$39, M11*parameters!$C$37/1000+M13/parameters!$C$39)</f>
        <v>0</v>
      </c>
      <c r="N19" s="295">
        <f>IF(parameters!$C$13=0,N10*parameters!$C$37/1000+N13/parameters!$C$39, N11*parameters!$C$37/1000+N13/parameters!$C$39)</f>
        <v>0</v>
      </c>
      <c r="O19" s="295">
        <f>IF(parameters!$C$13=0,O10*parameters!$C$37/1000+O13/parameters!$C$39, O11*parameters!$C$37/1000+O13/parameters!$C$39)</f>
        <v>0</v>
      </c>
      <c r="P19" s="295">
        <f>IF(parameters!$C$13=0,P10*parameters!$C$37/1000+P13/parameters!$C$39, P11*parameters!$C$37/1000+P13/parameters!$C$39)</f>
        <v>0</v>
      </c>
      <c r="Q19" s="295">
        <f>IF(parameters!$C$13=0,Q10*parameters!$C$37/1000+Q13/parameters!$C$39, Q11*parameters!$C$37/1000+Q13/parameters!$C$39)</f>
        <v>0</v>
      </c>
      <c r="R19" s="295">
        <f>IF(parameters!$C$13=0,R10*parameters!$C$37/1000+R13/parameters!$C$39, R11*parameters!$C$37/1000+R13/parameters!$C$39)</f>
        <v>1.0229007230584248</v>
      </c>
      <c r="S19" s="295">
        <f>IF(parameters!$C$13=0,S10*parameters!$C$37/1000+S13/parameters!$C$39, S11*parameters!$C$37/1000+S13/parameters!$C$39)</f>
        <v>1.1549226552423042</v>
      </c>
      <c r="T19" s="295">
        <f>IF(parameters!$C$13=0,T10*parameters!$C$37/1000+T13/parameters!$C$39, T11*parameters!$C$37/1000+T13/parameters!$C$39)</f>
        <v>1.2810039403171656</v>
      </c>
      <c r="U19" s="295">
        <f>IF(parameters!$C$13=0,U10*parameters!$C$37/1000+U13/parameters!$C$39, U11*parameters!$C$37/1000+U13/parameters!$C$39)</f>
        <v>1.400259389371276</v>
      </c>
      <c r="V19" s="295">
        <f>IF(parameters!$C$13=0,V10*parameters!$C$37/1000+V13/parameters!$C$39, V11*parameters!$C$37/1000+V13/parameters!$C$39)</f>
        <v>1.5121437849809061</v>
      </c>
      <c r="W19" s="295">
        <f>IF(parameters!$C$13=0,W10*parameters!$C$37/1000+W13/parameters!$C$39, W11*parameters!$C$37/1000+W13/parameters!$C$39)</f>
        <v>1.6161522950499618</v>
      </c>
      <c r="X19" s="295">
        <f>IF(parameters!$C$13=0,X10*parameters!$C$37/1000+X13/parameters!$C$39, X11*parameters!$C$37/1000+X13/parameters!$C$39)</f>
        <v>1.7123049133050445</v>
      </c>
      <c r="Y19" s="295">
        <f>IF(parameters!$C$13=0,Y10*parameters!$C$37/1000+Y13/parameters!$C$39, Y11*parameters!$C$37/1000+Y13/parameters!$C$39)</f>
        <v>1.8005204530574528</v>
      </c>
      <c r="Z19" s="295">
        <f>IF(parameters!$C$13=0,Z10*parameters!$C$37/1000+Z13/parameters!$C$39, Z11*parameters!$C$37/1000+Z13/parameters!$C$39)</f>
        <v>1.8797042768217882</v>
      </c>
      <c r="AA19" s="295">
        <f>IF(parameters!$C$13=0,AA10*parameters!$C$37/1000+AA13/parameters!$C$39, AA11*parameters!$C$37/1000+AA13/parameters!$C$39)</f>
        <v>1.9683054843753198</v>
      </c>
      <c r="AB19" s="295">
        <f>IF(parameters!$C$13=0,AB10*parameters!$C$37/1000+AB13/parameters!$C$39, AB11*parameters!$C$37/1000+AB13/parameters!$C$39)</f>
        <v>0</v>
      </c>
      <c r="AC19" s="295">
        <f>IF(parameters!$C$13=0,AC10*parameters!$C$37/1000+AC13/parameters!$C$39, AC11*parameters!$C$37/1000+AC13/parameters!$C$39)</f>
        <v>0</v>
      </c>
      <c r="AD19" s="295">
        <f>IF(parameters!$C$13=0,AD10*parameters!$C$37/1000+AD13/parameters!$C$39, AD11*parameters!$C$37/1000+AD13/parameters!$C$39)</f>
        <v>0</v>
      </c>
      <c r="AE19" s="295">
        <f>IF(parameters!$C$13=0,AE10*parameters!$C$37/1000+AE13/parameters!$C$39, AE11*parameters!$C$37/1000+AE13/parameters!$C$39)</f>
        <v>0</v>
      </c>
      <c r="AF19" s="295">
        <f>IF(parameters!$C$13=0,AF10*parameters!$C$37/1000+AF13/parameters!$C$39, AF11*parameters!$C$37/1000+AF13/parameters!$C$39)</f>
        <v>0</v>
      </c>
      <c r="AG19" s="295">
        <f>IF(parameters!$C$13=0,AG10*parameters!$C$37/1000+AG13/parameters!$C$39, AG11*parameters!$C$37/1000+AG13/parameters!$C$39)</f>
        <v>0</v>
      </c>
      <c r="AH19" s="295">
        <f>IF(parameters!$C$13=0,AH10*parameters!$C$37/1000+AH13/parameters!$C$39, AH11*parameters!$C$37/1000+AH13/parameters!$C$39)</f>
        <v>0</v>
      </c>
      <c r="AI19" s="295">
        <f>IF(parameters!$C$13=0,AI10*parameters!$C$37/1000+AI13/parameters!$C$39, AI11*parameters!$C$37/1000+AI13/parameters!$C$39)</f>
        <v>0</v>
      </c>
      <c r="AJ19" s="295">
        <f>IF(parameters!$C$13=0,AJ10*parameters!$C$37/1000+AJ13/parameters!$C$39, AJ11*parameters!$C$37/1000+AJ13/parameters!$C$39)</f>
        <v>0</v>
      </c>
      <c r="AK19" s="295">
        <f>IF(parameters!$C$13=0,AK10*parameters!$C$37/1000+AK13/parameters!$C$39, AK11*parameters!$C$37/1000+AK13/parameters!$C$39)</f>
        <v>0</v>
      </c>
      <c r="AL19" s="295">
        <f>IF(parameters!$C$13=0,AL10*parameters!$C$37/1000+AL13/parameters!$C$39, AL11*parameters!$C$37/1000+AL13/parameters!$C$39)</f>
        <v>0</v>
      </c>
      <c r="AN19" s="295">
        <v>3.5112000000000001</v>
      </c>
    </row>
    <row r="20" spans="1:40">
      <c r="A20" s="54" t="s">
        <v>7</v>
      </c>
      <c r="B20" s="54" t="s">
        <v>503</v>
      </c>
      <c r="C20" s="446"/>
      <c r="D20" s="446"/>
      <c r="E20" s="446"/>
      <c r="F20" s="446"/>
      <c r="G20" s="446"/>
      <c r="H20" s="446"/>
      <c r="I20" s="446"/>
      <c r="J20" s="446"/>
      <c r="K20" s="446"/>
      <c r="L20" s="295">
        <f>IF(parameters!$C$13=0,L10*parameters!$C$37/1000,L11*parameters!$C$37/1000)</f>
        <v>0</v>
      </c>
      <c r="M20" s="295">
        <f>IF(parameters!$C$13=0,M10*parameters!$C$37/1000,M11*parameters!$C$37/1000)</f>
        <v>0</v>
      </c>
      <c r="N20" s="295">
        <f>IF(parameters!$C$13=0,N10*parameters!$C$37/1000,N11*parameters!$C$37/1000)</f>
        <v>0</v>
      </c>
      <c r="O20" s="295">
        <f>IF(parameters!$C$13=0,O10*parameters!$C$37/1000,O11*parameters!$C$37/1000)</f>
        <v>0</v>
      </c>
      <c r="P20" s="295">
        <f>IF(parameters!$C$13=0,P10*parameters!$C$37/1000,P11*parameters!$C$37/1000)</f>
        <v>0</v>
      </c>
      <c r="Q20" s="295">
        <f>IF(parameters!$C$13=0,Q10*parameters!$C$37/1000,Q11*parameters!$C$37/1000)</f>
        <v>0</v>
      </c>
      <c r="R20" s="295">
        <f>IF(parameters!$C$13=0,R10*parameters!$C$37/1000,R11*parameters!$C$37/1000)</f>
        <v>1.0229007230584248</v>
      </c>
      <c r="S20" s="295">
        <f>IF(parameters!$C$13=0,S10*parameters!$C$37/1000,S11*parameters!$C$37/1000)</f>
        <v>1.1549226552423042</v>
      </c>
      <c r="T20" s="295">
        <f>IF(parameters!$C$13=0,T10*parameters!$C$37/1000,T11*parameters!$C$37/1000)</f>
        <v>1.2810039403171656</v>
      </c>
      <c r="U20" s="295">
        <f>IF(parameters!$C$13=0,U10*parameters!$C$37/1000,U11*parameters!$C$37/1000)</f>
        <v>1.400259389371276</v>
      </c>
      <c r="V20" s="295">
        <f>IF(parameters!$C$13=0,V10*parameters!$C$37/1000,V11*parameters!$C$37/1000)</f>
        <v>1.5121437849809061</v>
      </c>
      <c r="W20" s="295">
        <f>IF(parameters!$C$13=0,W10*parameters!$C$37/1000,W11*parameters!$C$37/1000)</f>
        <v>1.6161522950499618</v>
      </c>
      <c r="X20" s="295">
        <f>IF(parameters!$C$13=0,X10*parameters!$C$37/1000,X11*parameters!$C$37/1000)</f>
        <v>1.7123049133050445</v>
      </c>
      <c r="Y20" s="295">
        <f>IF(parameters!$C$13=0,Y10*parameters!$C$37/1000,Y11*parameters!$C$37/1000)</f>
        <v>1.8005204530574528</v>
      </c>
      <c r="Z20" s="295">
        <f>IF(parameters!$C$13=0,Z10*parameters!$C$37/1000,Z11*parameters!$C$37/1000)</f>
        <v>1.8797042768217882</v>
      </c>
      <c r="AA20" s="295">
        <f>IF(parameters!$C$13=0,AA10*parameters!$C$37/1000,AA11*parameters!$C$37/1000)</f>
        <v>1.9683054843753198</v>
      </c>
      <c r="AB20" s="295">
        <f>IF(parameters!$C$13=0,AB10*parameters!$C$37/1000,AB11*parameters!$C$37/1000)</f>
        <v>0</v>
      </c>
      <c r="AC20" s="295">
        <f>IF(parameters!$C$13=0,AC10*parameters!$C$37/1000,AC11*parameters!$C$37/1000)</f>
        <v>0</v>
      </c>
      <c r="AD20" s="295">
        <f>IF(parameters!$C$13=0,AD10*parameters!$C$37/1000,AD11*parameters!$C$37/1000)</f>
        <v>0</v>
      </c>
      <c r="AE20" s="295">
        <f>IF(parameters!$C$13=0,AE10*parameters!$C$37/1000,AE11*parameters!$C$37/1000)</f>
        <v>0</v>
      </c>
      <c r="AF20" s="295">
        <f>IF(parameters!$C$13=0,AF10*parameters!$C$37/1000,AF11*parameters!$C$37/1000)</f>
        <v>0</v>
      </c>
      <c r="AG20" s="295">
        <f>IF(parameters!$C$13=0,AG10*parameters!$C$37/1000,AG11*parameters!$C$37/1000)</f>
        <v>0</v>
      </c>
      <c r="AH20" s="295">
        <f>IF(parameters!$C$13=0,AH10*parameters!$C$37/1000,AH11*parameters!$C$37/1000)</f>
        <v>0</v>
      </c>
      <c r="AI20" s="295">
        <f>IF(parameters!$C$13=0,AI10*parameters!$C$37/1000,AI11*parameters!$C$37/1000)</f>
        <v>0</v>
      </c>
      <c r="AJ20" s="295">
        <f>IF(parameters!$C$13=0,AJ10*parameters!$C$37/1000,AJ11*parameters!$C$37/1000)</f>
        <v>0</v>
      </c>
      <c r="AK20" s="295">
        <f>IF(parameters!$C$13=0,AK10*parameters!$C$37/1000,AK11*parameters!$C$37/1000)</f>
        <v>0</v>
      </c>
      <c r="AL20" s="295">
        <f>IF(parameters!$C$13=0,AL10*parameters!$C$37/1000,AL11*parameters!$C$37/1000)</f>
        <v>0</v>
      </c>
      <c r="AN20" s="295">
        <v>3.5112000000000001</v>
      </c>
    </row>
    <row r="21" spans="1:40">
      <c r="A21" s="54" t="s">
        <v>3</v>
      </c>
      <c r="B21" s="54" t="s">
        <v>503</v>
      </c>
      <c r="C21" s="446"/>
      <c r="D21" s="446"/>
      <c r="E21" s="446"/>
      <c r="F21" s="446"/>
      <c r="G21" s="446"/>
      <c r="H21" s="446"/>
      <c r="I21" s="446"/>
      <c r="J21" s="446"/>
      <c r="K21" s="446"/>
      <c r="L21" s="295">
        <f>IF(parameters!$C$23="No", IF(parameters!$C$13=0,L10*parameters!$C$40/1000,L11*parameters!$C$40/1000), 0)</f>
        <v>0</v>
      </c>
      <c r="M21" s="295">
        <f>IF(parameters!$C$23="No", IF(parameters!$C$13=0,M10*parameters!$C$40/1000,M11*parameters!$C$40/1000), 0)</f>
        <v>0</v>
      </c>
      <c r="N21" s="295">
        <f>IF(parameters!$C$23="No", IF(parameters!$C$13=0,N10*parameters!$C$40/1000,N11*parameters!$C$40/1000), 0)</f>
        <v>0</v>
      </c>
      <c r="O21" s="295">
        <f>IF(parameters!$C$23="No", IF(parameters!$C$13=0,O10*parameters!$C$40/1000,O11*parameters!$C$40/1000), 0)</f>
        <v>0</v>
      </c>
      <c r="P21" s="295">
        <f>IF(parameters!$C$23="No", IF(parameters!$C$13=0,P10*parameters!$C$40/1000,P11*parameters!$C$40/1000), 0)</f>
        <v>0</v>
      </c>
      <c r="Q21" s="295">
        <f>IF(parameters!$C$23="No", IF(parameters!$C$13=0,Q10*parameters!$C$40/1000,Q11*parameters!$C$40/1000), 0)</f>
        <v>0</v>
      </c>
      <c r="R21" s="295">
        <f>IF(parameters!$C$23="No", IF(parameters!$C$13=0,R10*parameters!$C$40/1000,R11*parameters!$C$40/1000), 0)</f>
        <v>0</v>
      </c>
      <c r="S21" s="295">
        <f>IF(parameters!$C$23="No", IF(parameters!$C$13=0,S10*parameters!$C$40/1000,S11*parameters!$C$40/1000), 0)</f>
        <v>0</v>
      </c>
      <c r="T21" s="295">
        <f>IF(parameters!$C$23="No", IF(parameters!$C$13=0,T10*parameters!$C$40/1000,T11*parameters!$C$40/1000), 0)</f>
        <v>0</v>
      </c>
      <c r="U21" s="295">
        <f>IF(parameters!$C$23="No", IF(parameters!$C$13=0,U10*parameters!$C$40/1000,U11*parameters!$C$40/1000), 0)</f>
        <v>0</v>
      </c>
      <c r="V21" s="295">
        <f>IF(parameters!$C$23="No", IF(parameters!$C$13=0,V10*parameters!$C$40/1000,V11*parameters!$C$40/1000), 0)</f>
        <v>0</v>
      </c>
      <c r="W21" s="295">
        <f>IF(parameters!$C$23="No", IF(parameters!$C$13=0,W10*parameters!$C$40/1000,W11*parameters!$C$40/1000), 0)</f>
        <v>0</v>
      </c>
      <c r="X21" s="295">
        <f>IF(parameters!$C$23="No", IF(parameters!$C$13=0,X10*parameters!$C$40/1000,X11*parameters!$C$40/1000), 0)</f>
        <v>0</v>
      </c>
      <c r="Y21" s="295">
        <f>IF(parameters!$C$23="No", IF(parameters!$C$13=0,Y10*parameters!$C$40/1000,Y11*parameters!$C$40/1000), 0)</f>
        <v>0</v>
      </c>
      <c r="Z21" s="295">
        <f>IF(parameters!$C$23="No", IF(parameters!$C$13=0,Z10*parameters!$C$40/1000,Z11*parameters!$C$40/1000), 0)</f>
        <v>0</v>
      </c>
      <c r="AA21" s="295">
        <f>IF(parameters!$C$23="No", IF(parameters!$C$13=0,AA10*parameters!$C$40/1000,AA11*parameters!$C$40/1000), 0)</f>
        <v>0</v>
      </c>
      <c r="AB21" s="295">
        <f>IF(parameters!$C$23="No", IF(parameters!$C$13=0,AB10*parameters!$C$40/1000,AB11*parameters!$C$40/1000), 0)</f>
        <v>0</v>
      </c>
      <c r="AC21" s="295">
        <f>IF(parameters!$C$23="No", IF(parameters!$C$13=0,AC10*parameters!$C$40/1000,AC11*parameters!$C$40/1000), 0)</f>
        <v>0</v>
      </c>
      <c r="AD21" s="295">
        <f>IF(parameters!$C$23="No", IF(parameters!$C$13=0,AD10*parameters!$C$40/1000,AD11*parameters!$C$40/1000), 0)</f>
        <v>0</v>
      </c>
      <c r="AE21" s="295">
        <f>IF(parameters!$C$23="No", IF(parameters!$C$13=0,AE10*parameters!$C$40/1000,AE11*parameters!$C$40/1000), 0)</f>
        <v>0</v>
      </c>
      <c r="AF21" s="295">
        <f>IF(parameters!$C$23="No", IF(parameters!$C$13=0,AF10*parameters!$C$40/1000,AF11*parameters!$C$40/1000), 0)</f>
        <v>0</v>
      </c>
      <c r="AG21" s="295">
        <f>IF(parameters!$C$23="No", IF(parameters!$C$13=0,AG10*parameters!$C$40/1000,AG11*parameters!$C$40/1000), 0)</f>
        <v>0</v>
      </c>
      <c r="AH21" s="295">
        <f>IF(parameters!$C$23="No", IF(parameters!$C$13=0,AH10*parameters!$C$40/1000,AH11*parameters!$C$40/1000), 0)</f>
        <v>0</v>
      </c>
      <c r="AI21" s="295">
        <f>IF(parameters!$C$23="No", IF(parameters!$C$13=0,AI10*parameters!$C$40/1000,AI11*parameters!$C$40/1000), 0)</f>
        <v>0</v>
      </c>
      <c r="AJ21" s="295">
        <f>IF(parameters!$C$23="No", IF(parameters!$C$13=0,AJ10*parameters!$C$40/1000,AJ11*parameters!$C$40/1000), 0)</f>
        <v>0</v>
      </c>
      <c r="AK21" s="295">
        <f>IF(parameters!$C$23="No", IF(parameters!$C$13=0,AK10*parameters!$C$40/1000,AK11*parameters!$C$40/1000), 0)</f>
        <v>0</v>
      </c>
      <c r="AL21" s="295">
        <f>IF(parameters!$C$23="No", IF(parameters!$C$13=0,AL10*parameters!$C$40/1000,AL11*parameters!$C$40/1000), 0)</f>
        <v>0</v>
      </c>
      <c r="AN21" s="295">
        <v>3.4020799999999989</v>
      </c>
    </row>
    <row r="22" spans="1:40">
      <c r="A22" s="54" t="s">
        <v>75</v>
      </c>
      <c r="B22" s="54" t="s">
        <v>503</v>
      </c>
      <c r="C22" s="446"/>
      <c r="D22" s="446"/>
      <c r="E22" s="446"/>
      <c r="F22" s="446"/>
      <c r="G22" s="446"/>
      <c r="H22" s="446"/>
      <c r="I22" s="446"/>
      <c r="J22" s="446"/>
      <c r="K22" s="446"/>
      <c r="L22" s="295">
        <f>IF(parameters!$C$13=0,L10*parameters!$C$42/1000,L11*parameters!$C$42/1000)</f>
        <v>0</v>
      </c>
      <c r="M22" s="295">
        <f>IF(parameters!$C$13=0,M10*parameters!$C$42/1000,M11*parameters!$C$42/1000)</f>
        <v>0</v>
      </c>
      <c r="N22" s="295">
        <f>IF(parameters!$C$13=0,N10*parameters!$C$42/1000,N11*parameters!$C$42/1000)</f>
        <v>0</v>
      </c>
      <c r="O22" s="295">
        <f>IF(parameters!$C$13=0,O10*parameters!$C$42/1000,O11*parameters!$C$42/1000)</f>
        <v>0</v>
      </c>
      <c r="P22" s="295">
        <f>IF(parameters!$C$13=0,P10*parameters!$C$42/1000,P11*parameters!$C$42/1000)</f>
        <v>0</v>
      </c>
      <c r="Q22" s="295">
        <f>IF(parameters!$C$13=0,Q10*parameters!$C$42/1000,Q11*parameters!$C$42/1000)</f>
        <v>0</v>
      </c>
      <c r="R22" s="295">
        <f>IF(parameters!$C$13=0,R10*parameters!$C$42/1000,R11*parameters!$C$42/1000)</f>
        <v>0.87089893413641417</v>
      </c>
      <c r="S22" s="295">
        <f>IF(parameters!$C$13=0,S10*parameters!$C$42/1000,S11*parameters!$C$42/1000)</f>
        <v>0.98330256963076845</v>
      </c>
      <c r="T22" s="295">
        <f>IF(parameters!$C$13=0,T10*parameters!$C$42/1000,T11*parameters!$C$42/1000)</f>
        <v>1.0906483308674377</v>
      </c>
      <c r="U22" s="295">
        <f>IF(parameters!$C$13=0,U10*parameters!$C$42/1000,U11*parameters!$C$42/1000)</f>
        <v>1.192182566917882</v>
      </c>
      <c r="V22" s="295">
        <f>IF(parameters!$C$13=0,V10*parameters!$C$42/1000,V11*parameters!$C$42/1000)</f>
        <v>1.2874410789967303</v>
      </c>
      <c r="W22" s="295">
        <f>IF(parameters!$C$13=0,W10*parameters!$C$42/1000,W11*parameters!$C$42/1000)</f>
        <v>1.3759940524362491</v>
      </c>
      <c r="X22" s="295">
        <f>IF(parameters!$C$13=0,X10*parameters!$C$42/1000,X11*parameters!$C$42/1000)</f>
        <v>1.4578585099198655</v>
      </c>
      <c r="Y22" s="295">
        <f>IF(parameters!$C$13=0,Y10*parameters!$C$42/1000,Y11*parameters!$C$42/1000)</f>
        <v>1.532965329000932</v>
      </c>
      <c r="Z22" s="295">
        <f>IF(parameters!$C$13=0,Z10*parameters!$C$42/1000,Z11*parameters!$C$42/1000)</f>
        <v>1.6003825339775934</v>
      </c>
      <c r="AA22" s="295">
        <f>IF(parameters!$C$13=0,AA10*parameters!$C$42/1000,AA11*parameters!$C$42/1000)</f>
        <v>1.6758177110990418</v>
      </c>
      <c r="AB22" s="295">
        <f>IF(parameters!$C$13=0,AB10*parameters!$C$42/1000,AB11*parameters!$C$42/1000)</f>
        <v>0</v>
      </c>
      <c r="AC22" s="295">
        <f>IF(parameters!$C$13=0,AC10*parameters!$C$42/1000,AC11*parameters!$C$42/1000)</f>
        <v>0</v>
      </c>
      <c r="AD22" s="295">
        <f>IF(parameters!$C$13=0,AD10*parameters!$C$42/1000,AD11*parameters!$C$42/1000)</f>
        <v>0</v>
      </c>
      <c r="AE22" s="295">
        <f>IF(parameters!$C$13=0,AE10*parameters!$C$42/1000,AE11*parameters!$C$42/1000)</f>
        <v>0</v>
      </c>
      <c r="AF22" s="295">
        <f>IF(parameters!$C$13=0,AF10*parameters!$C$42/1000,AF11*parameters!$C$42/1000)</f>
        <v>0</v>
      </c>
      <c r="AG22" s="295">
        <f>IF(parameters!$C$13=0,AG10*parameters!$C$42/1000,AG11*parameters!$C$42/1000)</f>
        <v>0</v>
      </c>
      <c r="AH22" s="295">
        <f>IF(parameters!$C$13=0,AH10*parameters!$C$42/1000,AH11*parameters!$C$42/1000)</f>
        <v>0</v>
      </c>
      <c r="AI22" s="295">
        <f>IF(parameters!$C$13=0,AI10*parameters!$C$42/1000,AI11*parameters!$C$42/1000)</f>
        <v>0</v>
      </c>
      <c r="AJ22" s="295">
        <f>IF(parameters!$C$13=0,AJ10*parameters!$C$42/1000,AJ11*parameters!$C$42/1000)</f>
        <v>0</v>
      </c>
      <c r="AK22" s="295">
        <f>IF(parameters!$C$13=0,AK10*parameters!$C$42/1000,AK11*parameters!$C$42/1000)</f>
        <v>0</v>
      </c>
      <c r="AL22" s="295">
        <f>IF(parameters!$C$13=0,AL10*parameters!$C$42/1000,AL11*parameters!$C$42/1000)</f>
        <v>0</v>
      </c>
      <c r="AN22" s="295">
        <v>2.9894400000000001</v>
      </c>
    </row>
    <row r="23" spans="1:40">
      <c r="A23" s="54" t="s">
        <v>76</v>
      </c>
      <c r="B23" s="54" t="s">
        <v>503</v>
      </c>
      <c r="C23" s="446"/>
      <c r="D23" s="446"/>
      <c r="E23" s="446"/>
      <c r="F23" s="446"/>
      <c r="G23" s="446"/>
      <c r="H23" s="446"/>
      <c r="I23" s="446"/>
      <c r="J23" s="446"/>
      <c r="K23" s="446"/>
      <c r="L23" s="295">
        <f>IF(parameters!$C$13=0,L10*parameters!$C$46/1000,L11*parameters!$C$46/1000)</f>
        <v>0</v>
      </c>
      <c r="M23" s="295">
        <f>IF(parameters!$C$13=0,M10*parameters!$C$46/1000,M11*parameters!$C$46/1000)</f>
        <v>0</v>
      </c>
      <c r="N23" s="295">
        <f>IF(parameters!$C$13=0,N10*parameters!$C$46/1000,N11*parameters!$C$46/1000)</f>
        <v>0</v>
      </c>
      <c r="O23" s="295">
        <f>IF(parameters!$C$13=0,O10*parameters!$C$46/1000,O11*parameters!$C$46/1000)</f>
        <v>0</v>
      </c>
      <c r="P23" s="295">
        <f>IF(parameters!$C$13=0,P10*parameters!$C$46/1000,P11*parameters!$C$46/1000)</f>
        <v>0</v>
      </c>
      <c r="Q23" s="295">
        <f>IF(parameters!$C$13=0,Q10*parameters!$C$46/1000,Q11*parameters!$C$46/1000)</f>
        <v>0</v>
      </c>
      <c r="R23" s="295">
        <f>IF(parameters!$C$13=0,R10*parameters!$C$46/1000,R11*parameters!$C$46/1000)</f>
        <v>0.20681752144954341</v>
      </c>
      <c r="S23" s="295">
        <f>IF(parameters!$C$13=0,S10*parameters!$C$46/1000,S11*parameters!$C$46/1000)</f>
        <v>0.23351067766279807</v>
      </c>
      <c r="T23" s="295">
        <f>IF(parameters!$C$13=0,T10*parameters!$C$46/1000,T11*parameters!$C$46/1000)</f>
        <v>0.25900271055763335</v>
      </c>
      <c r="U23" s="295">
        <f>IF(parameters!$C$13=0,U10*parameters!$C$46/1000,U11*parameters!$C$46/1000)</f>
        <v>0.28311464619003651</v>
      </c>
      <c r="V23" s="295">
        <f>IF(parameters!$C$13=0,V10*parameters!$C$46/1000,V11*parameters!$C$46/1000)</f>
        <v>0.30573624852860692</v>
      </c>
      <c r="W23" s="295">
        <f>IF(parameters!$C$13=0,W10*parameters!$C$46/1000,W11*parameters!$C$46/1000)</f>
        <v>0.32676544694174892</v>
      </c>
      <c r="X23" s="295">
        <f>IF(parameters!$C$13=0,X10*parameters!$C$46/1000,X11*parameters!$C$46/1000)</f>
        <v>0.34620628390678887</v>
      </c>
      <c r="Y23" s="295">
        <f>IF(parameters!$C$13=0,Y10*parameters!$C$46/1000,Y11*parameters!$C$46/1000)</f>
        <v>0.36404234450744666</v>
      </c>
      <c r="Z23" s="295">
        <f>IF(parameters!$C$13=0,Z10*parameters!$C$46/1000,Z11*parameters!$C$46/1000)</f>
        <v>0.38005230696096026</v>
      </c>
      <c r="AA23" s="295">
        <f>IF(parameters!$C$13=0,AA10*parameters!$C$46/1000,AA11*parameters!$C$46/1000)</f>
        <v>0.3979663446877782</v>
      </c>
      <c r="AB23" s="295">
        <f>IF(parameters!$C$13=0,AB10*parameters!$C$46/1000,AB11*parameters!$C$46/1000)</f>
        <v>0</v>
      </c>
      <c r="AC23" s="295">
        <f>IF(parameters!$C$13=0,AC10*parameters!$C$46/1000,AC11*parameters!$C$46/1000)</f>
        <v>0</v>
      </c>
      <c r="AD23" s="295">
        <f>IF(parameters!$C$13=0,AD10*parameters!$C$46/1000,AD11*parameters!$C$46/1000)</f>
        <v>0</v>
      </c>
      <c r="AE23" s="295">
        <f>IF(parameters!$C$13=0,AE10*parameters!$C$46/1000,AE11*parameters!$C$46/1000)</f>
        <v>0</v>
      </c>
      <c r="AF23" s="295">
        <f>IF(parameters!$C$13=0,AF10*parameters!$C$46/1000,AF11*parameters!$C$46/1000)</f>
        <v>0</v>
      </c>
      <c r="AG23" s="295">
        <f>IF(parameters!$C$13=0,AG10*parameters!$C$46/1000,AG11*parameters!$C$46/1000)</f>
        <v>0</v>
      </c>
      <c r="AH23" s="295">
        <f>IF(parameters!$C$13=0,AH10*parameters!$C$46/1000,AH11*parameters!$C$46/1000)</f>
        <v>0</v>
      </c>
      <c r="AI23" s="295">
        <f>IF(parameters!$C$13=0,AI10*parameters!$C$46/1000,AI11*parameters!$C$46/1000)</f>
        <v>0</v>
      </c>
      <c r="AJ23" s="295">
        <f>IF(parameters!$C$13=0,AJ10*parameters!$C$46/1000,AJ11*parameters!$C$46/1000)</f>
        <v>0</v>
      </c>
      <c r="AK23" s="295">
        <f>IF(parameters!$C$13=0,AK10*parameters!$C$46/1000,AK11*parameters!$C$46/1000)</f>
        <v>0</v>
      </c>
      <c r="AL23" s="295">
        <f>IF(parameters!$C$13=0,AL10*parameters!$C$46/1000,AL11*parameters!$C$46/1000)</f>
        <v>0</v>
      </c>
      <c r="AN23" s="295">
        <v>0.70992</v>
      </c>
    </row>
    <row r="24" spans="1:40">
      <c r="A24" s="54" t="s">
        <v>44</v>
      </c>
      <c r="B24" s="54" t="s">
        <v>503</v>
      </c>
      <c r="C24" s="446"/>
      <c r="D24" s="446"/>
      <c r="E24" s="446"/>
      <c r="F24" s="446"/>
      <c r="G24" s="446"/>
      <c r="H24" s="446"/>
      <c r="I24" s="446"/>
      <c r="J24" s="446"/>
      <c r="K24" s="446"/>
      <c r="L24" s="295">
        <f>IF(parameters!$C$24="No", IF(parameters!$C$13=0,L10*parameters!$C$47/1000,L11*parameters!$C$47/1000), 0)</f>
        <v>0</v>
      </c>
      <c r="M24" s="295">
        <f>IF(parameters!$C$24="No", IF(parameters!$C$13=0,M10*parameters!$C$47/1000,M11*parameters!$C$47/1000), 0)</f>
        <v>0</v>
      </c>
      <c r="N24" s="295">
        <f>IF(parameters!$C$24="No", IF(parameters!$C$13=0,N10*parameters!$C$47/1000,N11*parameters!$C$47/1000), 0)</f>
        <v>0</v>
      </c>
      <c r="O24" s="295">
        <f>IF(parameters!$C$24="No", IF(parameters!$C$13=0,O10*parameters!$C$47/1000,O11*parameters!$C$47/1000), 0)</f>
        <v>0</v>
      </c>
      <c r="P24" s="295">
        <f>IF(parameters!$C$24="No", IF(parameters!$C$13=0,P10*parameters!$C$47/1000,P11*parameters!$C$47/1000), 0)</f>
        <v>0</v>
      </c>
      <c r="Q24" s="295">
        <f>IF(parameters!$C$24="No", IF(parameters!$C$13=0,Q10*parameters!$C$47/1000,Q11*parameters!$C$47/1000), 0)</f>
        <v>0</v>
      </c>
      <c r="R24" s="295">
        <f>IF(parameters!$C$24="No", IF(parameters!$C$13=0,R10*parameters!$C$47/1000,R11*parameters!$C$47/1000), 0)</f>
        <v>0</v>
      </c>
      <c r="S24" s="295">
        <f>IF(parameters!$C$24="No", IF(parameters!$C$13=0,S10*parameters!$C$47/1000,S11*parameters!$C$47/1000), 0)</f>
        <v>0</v>
      </c>
      <c r="T24" s="295">
        <f>IF(parameters!$C$24="No", IF(parameters!$C$13=0,T10*parameters!$C$47/1000,T11*parameters!$C$47/1000), 0)</f>
        <v>0</v>
      </c>
      <c r="U24" s="295">
        <f>IF(parameters!$C$24="No", IF(parameters!$C$13=0,U10*parameters!$C$47/1000,U11*parameters!$C$47/1000), 0)</f>
        <v>0</v>
      </c>
      <c r="V24" s="295">
        <f>IF(parameters!$C$24="No", IF(parameters!$C$13=0,V10*parameters!$C$47/1000,V11*parameters!$C$47/1000), 0)</f>
        <v>0</v>
      </c>
      <c r="W24" s="295">
        <f>IF(parameters!$C$24="No", IF(parameters!$C$13=0,W10*parameters!$C$47/1000,W11*parameters!$C$47/1000), 0)</f>
        <v>0</v>
      </c>
      <c r="X24" s="295">
        <f>IF(parameters!$C$24="No", IF(parameters!$C$13=0,X10*parameters!$C$47/1000,X11*parameters!$C$47/1000), 0)</f>
        <v>0</v>
      </c>
      <c r="Y24" s="295">
        <f>IF(parameters!$C$24="No", IF(parameters!$C$13=0,Y10*parameters!$C$47/1000,Y11*parameters!$C$47/1000), 0)</f>
        <v>0</v>
      </c>
      <c r="Z24" s="295">
        <f>IF(parameters!$C$24="No", IF(parameters!$C$13=0,Z10*parameters!$C$47/1000,Z11*parameters!$C$47/1000), 0)</f>
        <v>0</v>
      </c>
      <c r="AA24" s="295">
        <f>IF(parameters!$C$24="No", IF(parameters!$C$13=0,AA10*parameters!$C$47/1000,AA11*parameters!$C$47/1000), 0)</f>
        <v>0</v>
      </c>
      <c r="AB24" s="295">
        <f>IF(parameters!$C$24="No", IF(parameters!$C$13=0,AB10*parameters!$C$47/1000,AB11*parameters!$C$47/1000), 0)</f>
        <v>0</v>
      </c>
      <c r="AC24" s="295">
        <f>IF(parameters!$C$24="No", IF(parameters!$C$13=0,AC10*parameters!$C$47/1000,AC11*parameters!$C$47/1000), 0)</f>
        <v>0</v>
      </c>
      <c r="AD24" s="295">
        <f>IF(parameters!$C$24="No", IF(parameters!$C$13=0,AD10*parameters!$C$47/1000,AD11*parameters!$C$47/1000), 0)</f>
        <v>0</v>
      </c>
      <c r="AE24" s="295">
        <f>IF(parameters!$C$24="No", IF(parameters!$C$13=0,AE10*parameters!$C$47/1000,AE11*parameters!$C$47/1000), 0)</f>
        <v>0</v>
      </c>
      <c r="AF24" s="295">
        <f>IF(parameters!$C$24="No", IF(parameters!$C$13=0,AF10*parameters!$C$47/1000,AF11*parameters!$C$47/1000), 0)</f>
        <v>0</v>
      </c>
      <c r="AG24" s="295">
        <f>IF(parameters!$C$24="No", IF(parameters!$C$13=0,AG10*parameters!$C$47/1000,AG11*parameters!$C$47/1000), 0)</f>
        <v>0</v>
      </c>
      <c r="AH24" s="295">
        <f>IF(parameters!$C$24="No", IF(parameters!$C$13=0,AH10*parameters!$C$47/1000,AH11*parameters!$C$47/1000), 0)</f>
        <v>0</v>
      </c>
      <c r="AI24" s="295">
        <f>IF(parameters!$C$24="No", IF(parameters!$C$13=0,AI10*parameters!$C$47/1000,AI11*parameters!$C$47/1000), 0)</f>
        <v>0</v>
      </c>
      <c r="AJ24" s="295">
        <f>IF(parameters!$C$24="No", IF(parameters!$C$13=0,AJ10*parameters!$C$47/1000,AJ11*parameters!$C$47/1000), 0)</f>
        <v>0</v>
      </c>
      <c r="AK24" s="295">
        <f>IF(parameters!$C$24="No", IF(parameters!$C$13=0,AK10*parameters!$C$47/1000,AK11*parameters!$C$47/1000), 0)</f>
        <v>0</v>
      </c>
      <c r="AL24" s="295">
        <f>IF(parameters!$C$24="No", IF(parameters!$C$13=0,AL10*parameters!$C$47/1000,AL11*parameters!$C$47/1000), 0)</f>
        <v>0</v>
      </c>
      <c r="AN24" s="295">
        <v>3.7823999999999995</v>
      </c>
    </row>
    <row r="25" spans="1:40" ht="3.95" customHeight="1">
      <c r="A25" s="54"/>
      <c r="B25" s="54"/>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row>
    <row r="26" spans="1:40" ht="14.25">
      <c r="A26" s="121" t="s">
        <v>504</v>
      </c>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row>
    <row r="27" spans="1:40" ht="3.95" customHeight="1">
      <c r="A27" s="54"/>
      <c r="B27" s="54"/>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row>
    <row r="28" spans="1:40" ht="16.5">
      <c r="A28" s="114" t="s">
        <v>511</v>
      </c>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row>
    <row r="29" spans="1:40">
      <c r="A29" s="54" t="s">
        <v>84</v>
      </c>
      <c r="B29" s="54" t="s">
        <v>508</v>
      </c>
      <c r="C29" s="66"/>
      <c r="D29" s="66"/>
      <c r="E29" s="66"/>
      <c r="F29" s="66"/>
      <c r="G29" s="66"/>
      <c r="H29" s="66"/>
      <c r="I29" s="66"/>
      <c r="J29" s="66"/>
      <c r="K29" s="66"/>
      <c r="L29" s="66">
        <f>MIN(1,L$9/elasticities!$J$6)</f>
        <v>0</v>
      </c>
      <c r="M29" s="66">
        <f>MIN(1,M$9/elasticities!$J$6)</f>
        <v>0</v>
      </c>
      <c r="N29" s="66">
        <f>MIN(1,N$9/elasticities!$J$6)</f>
        <v>0</v>
      </c>
      <c r="O29" s="66">
        <f>MIN(1,O$9/elasticities!$J$6)</f>
        <v>0</v>
      </c>
      <c r="P29" s="66">
        <f>MIN(1,P$9/elasticities!$J$6)</f>
        <v>0</v>
      </c>
      <c r="Q29" s="66">
        <f>MIN(1,Q$9/elasticities!$J$6)</f>
        <v>0</v>
      </c>
      <c r="R29" s="66">
        <f>MIN(1,R$9/elasticities!$J$6)</f>
        <v>0.1</v>
      </c>
      <c r="S29" s="66">
        <f>MIN(1,S$9/elasticities!$J$6)</f>
        <v>0.2</v>
      </c>
      <c r="T29" s="66">
        <f>MIN(1,T$9/elasticities!$J$6)</f>
        <v>0.3</v>
      </c>
      <c r="U29" s="66">
        <f>MIN(1,U$9/elasticities!$J$6)</f>
        <v>0.4</v>
      </c>
      <c r="V29" s="66">
        <f>MIN(1,V$9/elasticities!$J$6)</f>
        <v>0.5</v>
      </c>
      <c r="W29" s="66">
        <f>MIN(1,W$9/elasticities!$J$6)</f>
        <v>0.6</v>
      </c>
      <c r="X29" s="66">
        <f>MIN(1,X$9/elasticities!$J$6)</f>
        <v>0.7</v>
      </c>
      <c r="Y29" s="66">
        <f>MIN(1,Y$9/elasticities!$J$6)</f>
        <v>0.8</v>
      </c>
      <c r="Z29" s="66">
        <f>MIN(1,Z$9/elasticities!$J$6)</f>
        <v>0.9</v>
      </c>
      <c r="AA29" s="66">
        <f>MIN(1,AA$9/elasticities!$J$6)</f>
        <v>1</v>
      </c>
      <c r="AB29" s="66">
        <f>MIN(1,AB$9/elasticities!$J$6)</f>
        <v>1</v>
      </c>
      <c r="AC29" s="66">
        <f>MIN(1,AC$9/elasticities!$J$6)</f>
        <v>1</v>
      </c>
      <c r="AD29" s="66">
        <f>MIN(1,AD$9/elasticities!$J$6)</f>
        <v>1</v>
      </c>
      <c r="AE29" s="66">
        <f>MIN(1,AE$9/elasticities!$J$6)</f>
        <v>1</v>
      </c>
      <c r="AF29" s="66">
        <f>MIN(1,AF$9/elasticities!$J$6)</f>
        <v>1</v>
      </c>
      <c r="AG29" s="66">
        <f>MIN(1,AG$9/elasticities!$J$6)</f>
        <v>1</v>
      </c>
      <c r="AH29" s="66">
        <f>MIN(1,AH$9/elasticities!$J$6)</f>
        <v>1</v>
      </c>
      <c r="AI29" s="66">
        <f>MIN(1,AI$9/elasticities!$J$6)</f>
        <v>1</v>
      </c>
      <c r="AJ29" s="66">
        <f>MIN(1,AJ$9/elasticities!$J$6)</f>
        <v>1</v>
      </c>
      <c r="AK29" s="66">
        <f>MIN(1,AK$9/elasticities!$J$6)</f>
        <v>1</v>
      </c>
      <c r="AL29" s="66">
        <f>MIN(1,AL$9/elasticities!$J$6)</f>
        <v>1</v>
      </c>
    </row>
    <row r="30" spans="1:40">
      <c r="A30" s="54" t="s">
        <v>239</v>
      </c>
      <c r="B30" s="54" t="s">
        <v>508</v>
      </c>
      <c r="C30" s="66"/>
      <c r="D30" s="66"/>
      <c r="E30" s="66"/>
      <c r="F30" s="66"/>
      <c r="G30" s="66"/>
      <c r="H30" s="66"/>
      <c r="I30" s="66"/>
      <c r="J30" s="66"/>
      <c r="K30" s="66"/>
      <c r="L30" s="66">
        <f>MIN(1,L$9/elasticities!$J$8)</f>
        <v>0</v>
      </c>
      <c r="M30" s="66">
        <f>MIN(1,M$9/elasticities!$J$8)</f>
        <v>0</v>
      </c>
      <c r="N30" s="66">
        <f>MIN(1,N$9/elasticities!$J$8)</f>
        <v>0</v>
      </c>
      <c r="O30" s="66">
        <f>MIN(1,O$9/elasticities!$J$8)</f>
        <v>0</v>
      </c>
      <c r="P30" s="66">
        <f>MIN(1,P$9/elasticities!$J$8)</f>
        <v>0</v>
      </c>
      <c r="Q30" s="66">
        <f>MIN(1,Q$9/elasticities!$J$8)</f>
        <v>0</v>
      </c>
      <c r="R30" s="66">
        <f>MIN(1,R$9/elasticities!$J$8)</f>
        <v>0.1</v>
      </c>
      <c r="S30" s="66">
        <f>MIN(1,S$9/elasticities!$J$8)</f>
        <v>0.2</v>
      </c>
      <c r="T30" s="66">
        <f>MIN(1,T$9/elasticities!$J$8)</f>
        <v>0.3</v>
      </c>
      <c r="U30" s="66">
        <f>MIN(1,U$9/elasticities!$J$8)</f>
        <v>0.4</v>
      </c>
      <c r="V30" s="66">
        <f>MIN(1,V$9/elasticities!$J$8)</f>
        <v>0.5</v>
      </c>
      <c r="W30" s="66">
        <f>MIN(1,W$9/elasticities!$J$8)</f>
        <v>0.6</v>
      </c>
      <c r="X30" s="66">
        <f>MIN(1,X$9/elasticities!$J$8)</f>
        <v>0.7</v>
      </c>
      <c r="Y30" s="66">
        <f>MIN(1,Y$9/elasticities!$J$8)</f>
        <v>0.8</v>
      </c>
      <c r="Z30" s="66">
        <f>MIN(1,Z$9/elasticities!$J$8)</f>
        <v>0.9</v>
      </c>
      <c r="AA30" s="66">
        <f>MIN(1,AA$9/elasticities!$J$8)</f>
        <v>1</v>
      </c>
      <c r="AB30" s="66">
        <f>MIN(1,AB$9/elasticities!$J$8)</f>
        <v>1</v>
      </c>
      <c r="AC30" s="66">
        <f>MIN(1,AC$9/elasticities!$J$8)</f>
        <v>1</v>
      </c>
      <c r="AD30" s="66">
        <f>MIN(1,AD$9/elasticities!$J$8)</f>
        <v>1</v>
      </c>
      <c r="AE30" s="66">
        <f>MIN(1,AE$9/elasticities!$J$8)</f>
        <v>1</v>
      </c>
      <c r="AF30" s="66">
        <f>MIN(1,AF$9/elasticities!$J$8)</f>
        <v>1</v>
      </c>
      <c r="AG30" s="66">
        <f>MIN(1,AG$9/elasticities!$J$8)</f>
        <v>1</v>
      </c>
      <c r="AH30" s="66">
        <f>MIN(1,AH$9/elasticities!$J$8)</f>
        <v>1</v>
      </c>
      <c r="AI30" s="66">
        <f>MIN(1,AI$9/elasticities!$J$8)</f>
        <v>1</v>
      </c>
      <c r="AJ30" s="66">
        <f>MIN(1,AJ$9/elasticities!$J$8)</f>
        <v>1</v>
      </c>
      <c r="AK30" s="66">
        <f>MIN(1,AK$9/elasticities!$J$8)</f>
        <v>1</v>
      </c>
      <c r="AL30" s="66">
        <f>MIN(1,AL$9/elasticities!$J$8)</f>
        <v>1</v>
      </c>
    </row>
    <row r="31" spans="1:40">
      <c r="A31" s="54" t="s">
        <v>238</v>
      </c>
      <c r="B31" s="54" t="s">
        <v>508</v>
      </c>
      <c r="C31" s="66"/>
      <c r="D31" s="66"/>
      <c r="E31" s="66"/>
      <c r="F31" s="66"/>
      <c r="G31" s="66"/>
      <c r="H31" s="66"/>
      <c r="I31" s="66"/>
      <c r="J31" s="66"/>
      <c r="K31" s="66"/>
      <c r="L31" s="66">
        <f>MIN(1,L$9/elasticities!$J$9)</f>
        <v>0</v>
      </c>
      <c r="M31" s="66">
        <f>MIN(1,M$9/elasticities!$J$9)</f>
        <v>0</v>
      </c>
      <c r="N31" s="66">
        <f>MIN(1,N$9/elasticities!$J$9)</f>
        <v>0</v>
      </c>
      <c r="O31" s="66">
        <f>MIN(1,O$9/elasticities!$J$9)</f>
        <v>0</v>
      </c>
      <c r="P31" s="66">
        <f>MIN(1,P$9/elasticities!$J$9)</f>
        <v>0</v>
      </c>
      <c r="Q31" s="66">
        <f>MIN(1,Q$9/elasticities!$J$9)</f>
        <v>0</v>
      </c>
      <c r="R31" s="66">
        <f>MIN(1,R$9/elasticities!$J$9)</f>
        <v>0.1</v>
      </c>
      <c r="S31" s="66">
        <f>MIN(1,S$9/elasticities!$J$9)</f>
        <v>0.2</v>
      </c>
      <c r="T31" s="66">
        <f>MIN(1,T$9/elasticities!$J$9)</f>
        <v>0.3</v>
      </c>
      <c r="U31" s="66">
        <f>MIN(1,U$9/elasticities!$J$9)</f>
        <v>0.4</v>
      </c>
      <c r="V31" s="66">
        <f>MIN(1,V$9/elasticities!$J$9)</f>
        <v>0.5</v>
      </c>
      <c r="W31" s="66">
        <f>MIN(1,W$9/elasticities!$J$9)</f>
        <v>0.6</v>
      </c>
      <c r="X31" s="66">
        <f>MIN(1,X$9/elasticities!$J$9)</f>
        <v>0.7</v>
      </c>
      <c r="Y31" s="66">
        <f>MIN(1,Y$9/elasticities!$J$9)</f>
        <v>0.8</v>
      </c>
      <c r="Z31" s="66">
        <f>MIN(1,Z$9/elasticities!$J$9)</f>
        <v>0.9</v>
      </c>
      <c r="AA31" s="66">
        <f>MIN(1,AA$9/elasticities!$J$9)</f>
        <v>1</v>
      </c>
      <c r="AB31" s="66">
        <f>MIN(1,AB$9/elasticities!$J$9)</f>
        <v>1</v>
      </c>
      <c r="AC31" s="66">
        <f>MIN(1,AC$9/elasticities!$J$9)</f>
        <v>1</v>
      </c>
      <c r="AD31" s="66">
        <f>MIN(1,AD$9/elasticities!$J$9)</f>
        <v>1</v>
      </c>
      <c r="AE31" s="66">
        <f>MIN(1,AE$9/elasticities!$J$9)</f>
        <v>1</v>
      </c>
      <c r="AF31" s="66">
        <f>MIN(1,AF$9/elasticities!$J$9)</f>
        <v>1</v>
      </c>
      <c r="AG31" s="66">
        <f>MIN(1,AG$9/elasticities!$J$9)</f>
        <v>1</v>
      </c>
      <c r="AH31" s="66">
        <f>MIN(1,AH$9/elasticities!$J$9)</f>
        <v>1</v>
      </c>
      <c r="AI31" s="66">
        <f>MIN(1,AI$9/elasticities!$J$9)</f>
        <v>1</v>
      </c>
      <c r="AJ31" s="66">
        <f>MIN(1,AJ$9/elasticities!$J$9)</f>
        <v>1</v>
      </c>
      <c r="AK31" s="66">
        <f>MIN(1,AK$9/elasticities!$J$9)</f>
        <v>1</v>
      </c>
      <c r="AL31" s="66">
        <f>MIN(1,AL$9/elasticities!$J$9)</f>
        <v>1</v>
      </c>
    </row>
    <row r="32" spans="1:40">
      <c r="A32" s="54" t="s">
        <v>193</v>
      </c>
      <c r="B32" s="54" t="s">
        <v>508</v>
      </c>
      <c r="C32" s="66"/>
      <c r="D32" s="66"/>
      <c r="E32" s="66"/>
      <c r="F32" s="66"/>
      <c r="G32" s="66"/>
      <c r="H32" s="66"/>
      <c r="I32" s="66"/>
      <c r="J32" s="66"/>
      <c r="K32" s="66"/>
      <c r="L32" s="66">
        <f>MIN(1,L$9/elasticities!$J$10)</f>
        <v>0</v>
      </c>
      <c r="M32" s="66">
        <f>MIN(1,M$9/elasticities!$J$10)</f>
        <v>0</v>
      </c>
      <c r="N32" s="66">
        <f>MIN(1,N$9/elasticities!$J$10)</f>
        <v>0</v>
      </c>
      <c r="O32" s="66">
        <f>MIN(1,O$9/elasticities!$J$10)</f>
        <v>0</v>
      </c>
      <c r="P32" s="66">
        <f>MIN(1,P$9/elasticities!$J$10)</f>
        <v>0</v>
      </c>
      <c r="Q32" s="66">
        <f>MIN(1,Q$9/elasticities!$J$10)</f>
        <v>0</v>
      </c>
      <c r="R32" s="66">
        <f>MIN(1,R$9/elasticities!$J$10)</f>
        <v>0.1</v>
      </c>
      <c r="S32" s="66">
        <f>MIN(1,S$9/elasticities!$J$10)</f>
        <v>0.2</v>
      </c>
      <c r="T32" s="66">
        <f>MIN(1,T$9/elasticities!$J$10)</f>
        <v>0.3</v>
      </c>
      <c r="U32" s="66">
        <f>MIN(1,U$9/elasticities!$J$10)</f>
        <v>0.4</v>
      </c>
      <c r="V32" s="66">
        <f>MIN(1,V$9/elasticities!$J$10)</f>
        <v>0.5</v>
      </c>
      <c r="W32" s="66">
        <f>MIN(1,W$9/elasticities!$J$10)</f>
        <v>0.6</v>
      </c>
      <c r="X32" s="66">
        <f>MIN(1,X$9/elasticities!$J$10)</f>
        <v>0.7</v>
      </c>
      <c r="Y32" s="66">
        <f>MIN(1,Y$9/elasticities!$J$10)</f>
        <v>0.8</v>
      </c>
      <c r="Z32" s="66">
        <f>MIN(1,Z$9/elasticities!$J$10)</f>
        <v>0.9</v>
      </c>
      <c r="AA32" s="66">
        <f>MIN(1,AA$9/elasticities!$J$10)</f>
        <v>1</v>
      </c>
      <c r="AB32" s="66">
        <f>MIN(1,AB$9/elasticities!$J$10)</f>
        <v>1</v>
      </c>
      <c r="AC32" s="66">
        <f>MIN(1,AC$9/elasticities!$J$10)</f>
        <v>1</v>
      </c>
      <c r="AD32" s="66">
        <f>MIN(1,AD$9/elasticities!$J$10)</f>
        <v>1</v>
      </c>
      <c r="AE32" s="66">
        <f>MIN(1,AE$9/elasticities!$J$10)</f>
        <v>1</v>
      </c>
      <c r="AF32" s="66">
        <f>MIN(1,AF$9/elasticities!$J$10)</f>
        <v>1</v>
      </c>
      <c r="AG32" s="66">
        <f>MIN(1,AG$9/elasticities!$J$10)</f>
        <v>1</v>
      </c>
      <c r="AH32" s="66">
        <f>MIN(1,AH$9/elasticities!$J$10)</f>
        <v>1</v>
      </c>
      <c r="AI32" s="66">
        <f>MIN(1,AI$9/elasticities!$J$10)</f>
        <v>1</v>
      </c>
      <c r="AJ32" s="66">
        <f>MIN(1,AJ$9/elasticities!$J$10)</f>
        <v>1</v>
      </c>
      <c r="AK32" s="66">
        <f>MIN(1,AK$9/elasticities!$J$10)</f>
        <v>1</v>
      </c>
      <c r="AL32" s="66">
        <f>MIN(1,AL$9/elasticities!$J$10)</f>
        <v>1</v>
      </c>
    </row>
    <row r="33" spans="1:38">
      <c r="A33" s="54" t="s">
        <v>3</v>
      </c>
      <c r="B33" s="54" t="s">
        <v>508</v>
      </c>
      <c r="C33" s="66"/>
      <c r="D33" s="66"/>
      <c r="E33" s="66"/>
      <c r="F33" s="66"/>
      <c r="G33" s="66"/>
      <c r="H33" s="66"/>
      <c r="I33" s="66"/>
      <c r="J33" s="66"/>
      <c r="K33" s="66"/>
      <c r="L33" s="66">
        <f>MIN(1,L$9/elasticities!$J$11)</f>
        <v>0</v>
      </c>
      <c r="M33" s="66">
        <f>MIN(1,M$9/elasticities!$J$11)</f>
        <v>0</v>
      </c>
      <c r="N33" s="66">
        <f>MIN(1,N$9/elasticities!$J$11)</f>
        <v>0</v>
      </c>
      <c r="O33" s="66">
        <f>MIN(1,O$9/elasticities!$J$11)</f>
        <v>0</v>
      </c>
      <c r="P33" s="66">
        <f>MIN(1,P$9/elasticities!$J$11)</f>
        <v>0</v>
      </c>
      <c r="Q33" s="66">
        <f>MIN(1,Q$9/elasticities!$J$11)</f>
        <v>0</v>
      </c>
      <c r="R33" s="66">
        <f>MIN(1,R$9/elasticities!$J$11)</f>
        <v>0.1</v>
      </c>
      <c r="S33" s="66">
        <f>MIN(1,S$9/elasticities!$J$11)</f>
        <v>0.2</v>
      </c>
      <c r="T33" s="66">
        <f>MIN(1,T$9/elasticities!$J$11)</f>
        <v>0.3</v>
      </c>
      <c r="U33" s="66">
        <f>MIN(1,U$9/elasticities!$J$11)</f>
        <v>0.4</v>
      </c>
      <c r="V33" s="66">
        <f>MIN(1,V$9/elasticities!$J$11)</f>
        <v>0.5</v>
      </c>
      <c r="W33" s="66">
        <f>MIN(1,W$9/elasticities!$J$11)</f>
        <v>0.6</v>
      </c>
      <c r="X33" s="66">
        <f>MIN(1,X$9/elasticities!$J$11)</f>
        <v>0.7</v>
      </c>
      <c r="Y33" s="66">
        <f>MIN(1,Y$9/elasticities!$J$11)</f>
        <v>0.8</v>
      </c>
      <c r="Z33" s="66">
        <f>MIN(1,Z$9/elasticities!$J$11)</f>
        <v>0.9</v>
      </c>
      <c r="AA33" s="66">
        <f>MIN(1,AA$9/elasticities!$J$11)</f>
        <v>1</v>
      </c>
      <c r="AB33" s="66">
        <f>MIN(1,AB$9/elasticities!$J$11)</f>
        <v>1</v>
      </c>
      <c r="AC33" s="66">
        <f>MIN(1,AC$9/elasticities!$J$11)</f>
        <v>1</v>
      </c>
      <c r="AD33" s="66">
        <f>MIN(1,AD$9/elasticities!$J$11)</f>
        <v>1</v>
      </c>
      <c r="AE33" s="66">
        <f>MIN(1,AE$9/elasticities!$J$11)</f>
        <v>1</v>
      </c>
      <c r="AF33" s="66">
        <f>MIN(1,AF$9/elasticities!$J$11)</f>
        <v>1</v>
      </c>
      <c r="AG33" s="66">
        <f>MIN(1,AG$9/elasticities!$J$11)</f>
        <v>1</v>
      </c>
      <c r="AH33" s="66">
        <f>MIN(1,AH$9/elasticities!$J$11)</f>
        <v>1</v>
      </c>
      <c r="AI33" s="66">
        <f>MIN(1,AI$9/elasticities!$J$11)</f>
        <v>1</v>
      </c>
      <c r="AJ33" s="66">
        <f>MIN(1,AJ$9/elasticities!$J$11)</f>
        <v>1</v>
      </c>
      <c r="AK33" s="66">
        <f>MIN(1,AK$9/elasticities!$J$11)</f>
        <v>1</v>
      </c>
      <c r="AL33" s="66">
        <f>MIN(1,AL$9/elasticities!$J$11)</f>
        <v>1</v>
      </c>
    </row>
    <row r="34" spans="1:38">
      <c r="A34" s="54" t="s">
        <v>233</v>
      </c>
      <c r="B34" s="54" t="s">
        <v>508</v>
      </c>
      <c r="C34" s="66"/>
      <c r="D34" s="66"/>
      <c r="E34" s="66"/>
      <c r="F34" s="66"/>
      <c r="G34" s="66"/>
      <c r="H34" s="66"/>
      <c r="I34" s="66"/>
      <c r="J34" s="66"/>
      <c r="K34" s="66"/>
      <c r="L34" s="66">
        <f>MIN(1,L$9/elasticities!$J$13)</f>
        <v>0</v>
      </c>
      <c r="M34" s="66">
        <f>MIN(1,M$9/elasticities!$J$13)</f>
        <v>0</v>
      </c>
      <c r="N34" s="66">
        <f>MIN(1,N$9/elasticities!$J$13)</f>
        <v>0</v>
      </c>
      <c r="O34" s="66">
        <f>MIN(1,O$9/elasticities!$J$13)</f>
        <v>0</v>
      </c>
      <c r="P34" s="66">
        <f>MIN(1,P$9/elasticities!$J$13)</f>
        <v>0</v>
      </c>
      <c r="Q34" s="66">
        <f>MIN(1,Q$9/elasticities!$J$13)</f>
        <v>0</v>
      </c>
      <c r="R34" s="66">
        <f>MIN(1,R$9/elasticities!$J$13)</f>
        <v>0.05</v>
      </c>
      <c r="S34" s="66">
        <f>MIN(1,S$9/elasticities!$J$13)</f>
        <v>0.1</v>
      </c>
      <c r="T34" s="66">
        <f>MIN(1,T$9/elasticities!$J$13)</f>
        <v>0.15</v>
      </c>
      <c r="U34" s="66">
        <f>MIN(1,U$9/elasticities!$J$13)</f>
        <v>0.2</v>
      </c>
      <c r="V34" s="66">
        <f>MIN(1,V$9/elasticities!$J$13)</f>
        <v>0.25</v>
      </c>
      <c r="W34" s="66">
        <f>MIN(1,W$9/elasticities!$J$13)</f>
        <v>0.3</v>
      </c>
      <c r="X34" s="66">
        <f>MIN(1,X$9/elasticities!$J$13)</f>
        <v>0.35</v>
      </c>
      <c r="Y34" s="66">
        <f>MIN(1,Y$9/elasticities!$J$13)</f>
        <v>0.4</v>
      </c>
      <c r="Z34" s="66">
        <f>MIN(1,Z$9/elasticities!$J$13)</f>
        <v>0.45</v>
      </c>
      <c r="AA34" s="66">
        <f>MIN(1,AA$9/elasticities!$J$13)</f>
        <v>0.5</v>
      </c>
      <c r="AB34" s="66">
        <f>MIN(1,AB$9/elasticities!$J$13)</f>
        <v>0.55000000000000004</v>
      </c>
      <c r="AC34" s="66">
        <f>MIN(1,AC$9/elasticities!$J$13)</f>
        <v>0.6</v>
      </c>
      <c r="AD34" s="66">
        <f>MIN(1,AD$9/elasticities!$J$13)</f>
        <v>0.65</v>
      </c>
      <c r="AE34" s="66">
        <f>MIN(1,AE$9/elasticities!$J$13)</f>
        <v>0.7</v>
      </c>
      <c r="AF34" s="66">
        <f>MIN(1,AF$9/elasticities!$J$13)</f>
        <v>0.75</v>
      </c>
      <c r="AG34" s="66">
        <f>MIN(1,AG$9/elasticities!$J$13)</f>
        <v>0.8</v>
      </c>
      <c r="AH34" s="66">
        <f>MIN(1,AH$9/elasticities!$J$13)</f>
        <v>0.85</v>
      </c>
      <c r="AI34" s="66">
        <f>MIN(1,AI$9/elasticities!$J$13)</f>
        <v>0.9</v>
      </c>
      <c r="AJ34" s="66">
        <f>MIN(1,AJ$9/elasticities!$J$13)</f>
        <v>0.95</v>
      </c>
      <c r="AK34" s="66">
        <f>MIN(1,AK$9/elasticities!$J$13)</f>
        <v>1</v>
      </c>
      <c r="AL34" s="66">
        <f>MIN(1,AL$9/elasticities!$J$13)</f>
        <v>1</v>
      </c>
    </row>
    <row r="35" spans="1:38">
      <c r="A35" s="54" t="s">
        <v>234</v>
      </c>
      <c r="B35" s="54" t="s">
        <v>508</v>
      </c>
      <c r="C35" s="66"/>
      <c r="D35" s="66"/>
      <c r="E35" s="66"/>
      <c r="F35" s="66"/>
      <c r="G35" s="66"/>
      <c r="H35" s="66"/>
      <c r="I35" s="66"/>
      <c r="J35" s="66"/>
      <c r="K35" s="66"/>
      <c r="L35" s="66">
        <f>MIN(1,L$9/elasticities!$J$15)</f>
        <v>0</v>
      </c>
      <c r="M35" s="66">
        <f>MIN(1,M$9/elasticities!$J$15)</f>
        <v>0</v>
      </c>
      <c r="N35" s="66">
        <f>MIN(1,N$9/elasticities!$J$15)</f>
        <v>0</v>
      </c>
      <c r="O35" s="66">
        <f>MIN(1,O$9/elasticities!$J$15)</f>
        <v>0</v>
      </c>
      <c r="P35" s="66">
        <f>MIN(1,P$9/elasticities!$J$15)</f>
        <v>0</v>
      </c>
      <c r="Q35" s="66">
        <f>MIN(1,Q$9/elasticities!$J$15)</f>
        <v>0</v>
      </c>
      <c r="R35" s="66">
        <f>MIN(1,R$9/elasticities!$J$15)</f>
        <v>0.05</v>
      </c>
      <c r="S35" s="66">
        <f>MIN(1,S$9/elasticities!$J$15)</f>
        <v>0.1</v>
      </c>
      <c r="T35" s="66">
        <f>MIN(1,T$9/elasticities!$J$15)</f>
        <v>0.15</v>
      </c>
      <c r="U35" s="66">
        <f>MIN(1,U$9/elasticities!$J$15)</f>
        <v>0.2</v>
      </c>
      <c r="V35" s="66">
        <f>MIN(1,V$9/elasticities!$J$15)</f>
        <v>0.25</v>
      </c>
      <c r="W35" s="66">
        <f>MIN(1,W$9/elasticities!$J$15)</f>
        <v>0.3</v>
      </c>
      <c r="X35" s="66">
        <f>MIN(1,X$9/elasticities!$J$15)</f>
        <v>0.35</v>
      </c>
      <c r="Y35" s="66">
        <f>MIN(1,Y$9/elasticities!$J$15)</f>
        <v>0.4</v>
      </c>
      <c r="Z35" s="66">
        <f>MIN(1,Z$9/elasticities!$J$15)</f>
        <v>0.45</v>
      </c>
      <c r="AA35" s="66">
        <f>MIN(1,AA$9/elasticities!$J$15)</f>
        <v>0.5</v>
      </c>
      <c r="AB35" s="66">
        <f>MIN(1,AB$9/elasticities!$J$15)</f>
        <v>0.55000000000000004</v>
      </c>
      <c r="AC35" s="66">
        <f>MIN(1,AC$9/elasticities!$J$15)</f>
        <v>0.6</v>
      </c>
      <c r="AD35" s="66">
        <f>MIN(1,AD$9/elasticities!$J$15)</f>
        <v>0.65</v>
      </c>
      <c r="AE35" s="66">
        <f>MIN(1,AE$9/elasticities!$J$15)</f>
        <v>0.7</v>
      </c>
      <c r="AF35" s="66">
        <f>MIN(1,AF$9/elasticities!$J$15)</f>
        <v>0.75</v>
      </c>
      <c r="AG35" s="66">
        <f>MIN(1,AG$9/elasticities!$J$15)</f>
        <v>0.8</v>
      </c>
      <c r="AH35" s="66">
        <f>MIN(1,AH$9/elasticities!$J$15)</f>
        <v>0.85</v>
      </c>
      <c r="AI35" s="66">
        <f>MIN(1,AI$9/elasticities!$J$15)</f>
        <v>0.9</v>
      </c>
      <c r="AJ35" s="66">
        <f>MIN(1,AJ$9/elasticities!$J$15)</f>
        <v>0.95</v>
      </c>
      <c r="AK35" s="66">
        <f>MIN(1,AK$9/elasticities!$J$15)</f>
        <v>1</v>
      </c>
      <c r="AL35" s="66">
        <f>MIN(1,AL$9/elasticities!$J$15)</f>
        <v>1</v>
      </c>
    </row>
    <row r="36" spans="1:38">
      <c r="A36" s="54" t="s">
        <v>330</v>
      </c>
      <c r="B36" s="54" t="s">
        <v>508</v>
      </c>
      <c r="C36" s="66"/>
      <c r="D36" s="66"/>
      <c r="E36" s="66"/>
      <c r="F36" s="66"/>
      <c r="G36" s="66"/>
      <c r="H36" s="66"/>
      <c r="I36" s="66"/>
      <c r="J36" s="66"/>
      <c r="K36" s="66"/>
      <c r="L36" s="66">
        <f>MIN(1,L$9/elasticities!$J$16)</f>
        <v>0</v>
      </c>
      <c r="M36" s="66">
        <f>MIN(1,M$9/elasticities!$J$16)</f>
        <v>0</v>
      </c>
      <c r="N36" s="66">
        <f>MIN(1,N$9/elasticities!$J$16)</f>
        <v>0</v>
      </c>
      <c r="O36" s="66">
        <f>MIN(1,O$9/elasticities!$J$16)</f>
        <v>0</v>
      </c>
      <c r="P36" s="66">
        <f>MIN(1,P$9/elasticities!$J$16)</f>
        <v>0</v>
      </c>
      <c r="Q36" s="66">
        <f>MIN(1,Q$9/elasticities!$J$16)</f>
        <v>0</v>
      </c>
      <c r="R36" s="66">
        <f>MIN(1,R$9/elasticities!$J$16)</f>
        <v>0.1</v>
      </c>
      <c r="S36" s="66">
        <f>MIN(1,S$9/elasticities!$J$16)</f>
        <v>0.2</v>
      </c>
      <c r="T36" s="66">
        <f>MIN(1,T$9/elasticities!$J$16)</f>
        <v>0.3</v>
      </c>
      <c r="U36" s="66">
        <f>MIN(1,U$9/elasticities!$J$16)</f>
        <v>0.4</v>
      </c>
      <c r="V36" s="66">
        <f>MIN(1,V$9/elasticities!$J$16)</f>
        <v>0.5</v>
      </c>
      <c r="W36" s="66">
        <f>MIN(1,W$9/elasticities!$J$16)</f>
        <v>0.6</v>
      </c>
      <c r="X36" s="66">
        <f>MIN(1,X$9/elasticities!$J$16)</f>
        <v>0.7</v>
      </c>
      <c r="Y36" s="66">
        <f>MIN(1,Y$9/elasticities!$J$16)</f>
        <v>0.8</v>
      </c>
      <c r="Z36" s="66">
        <f>MIN(1,Z$9/elasticities!$J$16)</f>
        <v>0.9</v>
      </c>
      <c r="AA36" s="66">
        <f>MIN(1,AA$9/elasticities!$J$16)</f>
        <v>1</v>
      </c>
      <c r="AB36" s="66">
        <f>MIN(1,AB$9/elasticities!$J$16)</f>
        <v>1</v>
      </c>
      <c r="AC36" s="66">
        <f>MIN(1,AC$9/elasticities!$J$16)</f>
        <v>1</v>
      </c>
      <c r="AD36" s="66">
        <f>MIN(1,AD$9/elasticities!$J$16)</f>
        <v>1</v>
      </c>
      <c r="AE36" s="66">
        <f>MIN(1,AE$9/elasticities!$J$16)</f>
        <v>1</v>
      </c>
      <c r="AF36" s="66">
        <f>MIN(1,AF$9/elasticities!$J$16)</f>
        <v>1</v>
      </c>
      <c r="AG36" s="66">
        <f>MIN(1,AG$9/elasticities!$J$16)</f>
        <v>1</v>
      </c>
      <c r="AH36" s="66">
        <f>MIN(1,AH$9/elasticities!$J$16)</f>
        <v>1</v>
      </c>
      <c r="AI36" s="66">
        <f>MIN(1,AI$9/elasticities!$J$16)</f>
        <v>1</v>
      </c>
      <c r="AJ36" s="66">
        <f>MIN(1,AJ$9/elasticities!$J$16)</f>
        <v>1</v>
      </c>
      <c r="AK36" s="66">
        <f>MIN(1,AK$9/elasticities!$J$16)</f>
        <v>1</v>
      </c>
      <c r="AL36" s="66">
        <f>MIN(1,AL$9/elasticities!$J$16)</f>
        <v>1</v>
      </c>
    </row>
    <row r="37" spans="1:38">
      <c r="A37" s="54" t="s">
        <v>240</v>
      </c>
      <c r="B37" s="54" t="s">
        <v>508</v>
      </c>
      <c r="C37" s="66"/>
      <c r="D37" s="66"/>
      <c r="E37" s="66"/>
      <c r="F37" s="66"/>
      <c r="G37" s="66"/>
      <c r="H37" s="66"/>
      <c r="I37" s="66"/>
      <c r="J37" s="66"/>
      <c r="K37" s="66"/>
      <c r="L37" s="66">
        <f>MIN(1,L$9/elasticities!$J$18)</f>
        <v>0</v>
      </c>
      <c r="M37" s="66">
        <f>MIN(1,M$9/elasticities!$J$18)</f>
        <v>0</v>
      </c>
      <c r="N37" s="66">
        <f>MIN(1,N$9/elasticities!$J$18)</f>
        <v>0</v>
      </c>
      <c r="O37" s="66">
        <f>MIN(1,O$9/elasticities!$J$18)</f>
        <v>0</v>
      </c>
      <c r="P37" s="66">
        <f>MIN(1,P$9/elasticities!$J$18)</f>
        <v>0</v>
      </c>
      <c r="Q37" s="66">
        <f>MIN(1,Q$9/elasticities!$J$18)</f>
        <v>0</v>
      </c>
      <c r="R37" s="66">
        <f>MIN(1,R$9/elasticities!$J$18)</f>
        <v>0.1</v>
      </c>
      <c r="S37" s="66">
        <f>MIN(1,S$9/elasticities!$J$18)</f>
        <v>0.2</v>
      </c>
      <c r="T37" s="66">
        <f>MIN(1,T$9/elasticities!$J$18)</f>
        <v>0.3</v>
      </c>
      <c r="U37" s="66">
        <f>MIN(1,U$9/elasticities!$J$18)</f>
        <v>0.4</v>
      </c>
      <c r="V37" s="66">
        <f>MIN(1,V$9/elasticities!$J$18)</f>
        <v>0.5</v>
      </c>
      <c r="W37" s="66">
        <f>MIN(1,W$9/elasticities!$J$18)</f>
        <v>0.6</v>
      </c>
      <c r="X37" s="66">
        <f>MIN(1,X$9/elasticities!$J$18)</f>
        <v>0.7</v>
      </c>
      <c r="Y37" s="66">
        <f>MIN(1,Y$9/elasticities!$J$18)</f>
        <v>0.8</v>
      </c>
      <c r="Z37" s="66">
        <f>MIN(1,Z$9/elasticities!$J$18)</f>
        <v>0.9</v>
      </c>
      <c r="AA37" s="66">
        <f>MIN(1,AA$9/elasticities!$J$18)</f>
        <v>1</v>
      </c>
      <c r="AB37" s="66">
        <f>MIN(1,AB$9/elasticities!$J$18)</f>
        <v>1</v>
      </c>
      <c r="AC37" s="66">
        <f>MIN(1,AC$9/elasticities!$J$18)</f>
        <v>1</v>
      </c>
      <c r="AD37" s="66">
        <f>MIN(1,AD$9/elasticities!$J$18)</f>
        <v>1</v>
      </c>
      <c r="AE37" s="66">
        <f>MIN(1,AE$9/elasticities!$J$18)</f>
        <v>1</v>
      </c>
      <c r="AF37" s="66">
        <f>MIN(1,AF$9/elasticities!$J$18)</f>
        <v>1</v>
      </c>
      <c r="AG37" s="66">
        <f>MIN(1,AG$9/elasticities!$J$18)</f>
        <v>1</v>
      </c>
      <c r="AH37" s="66">
        <f>MIN(1,AH$9/elasticities!$J$18)</f>
        <v>1</v>
      </c>
      <c r="AI37" s="66">
        <f>MIN(1,AI$9/elasticities!$J$18)</f>
        <v>1</v>
      </c>
      <c r="AJ37" s="66">
        <f>MIN(1,AJ$9/elasticities!$J$18)</f>
        <v>1</v>
      </c>
      <c r="AK37" s="66">
        <f>MIN(1,AK$9/elasticities!$J$18)</f>
        <v>1</v>
      </c>
      <c r="AL37" s="66">
        <f>MIN(1,AL$9/elasticities!$J$18)</f>
        <v>1</v>
      </c>
    </row>
    <row r="38" spans="1:38" s="614" customFormat="1">
      <c r="A38" s="54" t="s">
        <v>1233</v>
      </c>
      <c r="B38" s="54" t="s">
        <v>508</v>
      </c>
      <c r="C38" s="537"/>
      <c r="D38" s="537"/>
      <c r="E38" s="537"/>
      <c r="F38" s="537"/>
      <c r="G38" s="537"/>
      <c r="H38" s="537"/>
      <c r="I38" s="537"/>
      <c r="J38" s="537"/>
      <c r="K38" s="537"/>
      <c r="L38" s="537">
        <f>MIN(1,L$9/elasticities!$J$19)</f>
        <v>0</v>
      </c>
      <c r="M38" s="537">
        <f>MIN(1,M$9/elasticities!$J$19)</f>
        <v>0</v>
      </c>
      <c r="N38" s="537">
        <f>MIN(1,N$9/elasticities!$J$19)</f>
        <v>0</v>
      </c>
      <c r="O38" s="537">
        <f>MIN(1,O$9/elasticities!$J$19)</f>
        <v>0</v>
      </c>
      <c r="P38" s="537">
        <f>MIN(1,P$9/elasticities!$J$19)</f>
        <v>0</v>
      </c>
      <c r="Q38" s="537">
        <f>MIN(1,Q$9/elasticities!$J$19)</f>
        <v>0</v>
      </c>
      <c r="R38" s="537">
        <f>MIN(1,R$9/elasticities!$J$19)</f>
        <v>0.2</v>
      </c>
      <c r="S38" s="537">
        <f>MIN(1,S$9/elasticities!$J$19)</f>
        <v>0.4</v>
      </c>
      <c r="T38" s="537">
        <f>MIN(1,T$9/elasticities!$J$19)</f>
        <v>0.6</v>
      </c>
      <c r="U38" s="537">
        <f>MIN(1,U$9/elasticities!$J$19)</f>
        <v>0.8</v>
      </c>
      <c r="V38" s="537">
        <f>MIN(1,V$9/elasticities!$J$19)</f>
        <v>1</v>
      </c>
      <c r="W38" s="537">
        <f>MIN(1,W$9/elasticities!$J$19)</f>
        <v>1</v>
      </c>
      <c r="X38" s="537">
        <f>MIN(1,X$9/elasticities!$J$19)</f>
        <v>1</v>
      </c>
      <c r="Y38" s="537">
        <f>MIN(1,Y$9/elasticities!$J$19)</f>
        <v>1</v>
      </c>
      <c r="Z38" s="537">
        <f>MIN(1,Z$9/elasticities!$J$19)</f>
        <v>1</v>
      </c>
      <c r="AA38" s="537">
        <f>MIN(1,AA$9/elasticities!$J$19)</f>
        <v>1</v>
      </c>
      <c r="AB38" s="537">
        <f>MIN(1,AB$9/elasticities!$J$19)</f>
        <v>1</v>
      </c>
      <c r="AC38" s="537">
        <f>MIN(1,AC$9/elasticities!$J$19)</f>
        <v>1</v>
      </c>
      <c r="AD38" s="537">
        <f>MIN(1,AD$9/elasticities!$J$19)</f>
        <v>1</v>
      </c>
      <c r="AE38" s="537">
        <f>MIN(1,AE$9/elasticities!$J$19)</f>
        <v>1</v>
      </c>
      <c r="AF38" s="537">
        <f>MIN(1,AF$9/elasticities!$J$19)</f>
        <v>1</v>
      </c>
      <c r="AG38" s="537">
        <f>MIN(1,AG$9/elasticities!$J$19)</f>
        <v>1</v>
      </c>
      <c r="AH38" s="537">
        <f>MIN(1,AH$9/elasticities!$J$19)</f>
        <v>1</v>
      </c>
      <c r="AI38" s="537">
        <f>MIN(1,AI$9/elasticities!$J$19)</f>
        <v>1</v>
      </c>
      <c r="AJ38" s="537">
        <f>MIN(1,AJ$9/elasticities!$J$19)</f>
        <v>1</v>
      </c>
      <c r="AK38" s="537">
        <f>MIN(1,AK$9/elasticities!$J$19)</f>
        <v>1</v>
      </c>
      <c r="AL38" s="537">
        <f>MIN(1,AL$9/elasticities!$J$19)</f>
        <v>1</v>
      </c>
    </row>
    <row r="39" spans="1:38">
      <c r="A39" s="54" t="s">
        <v>241</v>
      </c>
      <c r="B39" s="54" t="s">
        <v>508</v>
      </c>
      <c r="C39" s="66"/>
      <c r="D39" s="66"/>
      <c r="E39" s="66"/>
      <c r="F39" s="66"/>
      <c r="G39" s="66"/>
      <c r="H39" s="66"/>
      <c r="I39" s="66"/>
      <c r="J39" s="66"/>
      <c r="K39" s="66"/>
      <c r="L39" s="66">
        <f>MIN(1,L$9/elasticities!$J$20)</f>
        <v>0</v>
      </c>
      <c r="M39" s="66">
        <f>MIN(1,M$9/elasticities!$J$20)</f>
        <v>0</v>
      </c>
      <c r="N39" s="66">
        <f>MIN(1,N$9/elasticities!$J$20)</f>
        <v>0</v>
      </c>
      <c r="O39" s="66">
        <f>MIN(1,O$9/elasticities!$J$20)</f>
        <v>0</v>
      </c>
      <c r="P39" s="66">
        <f>MIN(1,P$9/elasticities!$J$20)</f>
        <v>0</v>
      </c>
      <c r="Q39" s="66">
        <f>MIN(1,Q$9/elasticities!$J$20)</f>
        <v>0</v>
      </c>
      <c r="R39" s="66">
        <f>MIN(1,R$9/elasticities!$J$20)</f>
        <v>0.1</v>
      </c>
      <c r="S39" s="66">
        <f>MIN(1,S$9/elasticities!$J$20)</f>
        <v>0.2</v>
      </c>
      <c r="T39" s="66">
        <f>MIN(1,T$9/elasticities!$J$20)</f>
        <v>0.3</v>
      </c>
      <c r="U39" s="66">
        <f>MIN(1,U$9/elasticities!$J$20)</f>
        <v>0.4</v>
      </c>
      <c r="V39" s="66">
        <f>MIN(1,V$9/elasticities!$J$20)</f>
        <v>0.5</v>
      </c>
      <c r="W39" s="66">
        <f>MIN(1,W$9/elasticities!$J$20)</f>
        <v>0.6</v>
      </c>
      <c r="X39" s="66">
        <f>MIN(1,X$9/elasticities!$J$20)</f>
        <v>0.7</v>
      </c>
      <c r="Y39" s="66">
        <f>MIN(1,Y$9/elasticities!$J$20)</f>
        <v>0.8</v>
      </c>
      <c r="Z39" s="66">
        <f>MIN(1,Z$9/elasticities!$J$20)</f>
        <v>0.9</v>
      </c>
      <c r="AA39" s="66">
        <f>MIN(1,AA$9/elasticities!$J$20)</f>
        <v>1</v>
      </c>
      <c r="AB39" s="66">
        <f>MIN(1,AB$9/elasticities!$J$20)</f>
        <v>1</v>
      </c>
      <c r="AC39" s="66">
        <f>MIN(1,AC$9/elasticities!$J$20)</f>
        <v>1</v>
      </c>
      <c r="AD39" s="66">
        <f>MIN(1,AD$9/elasticities!$J$20)</f>
        <v>1</v>
      </c>
      <c r="AE39" s="66">
        <f>MIN(1,AE$9/elasticities!$J$20)</f>
        <v>1</v>
      </c>
      <c r="AF39" s="66">
        <f>MIN(1,AF$9/elasticities!$J$20)</f>
        <v>1</v>
      </c>
      <c r="AG39" s="66">
        <f>MIN(1,AG$9/elasticities!$J$20)</f>
        <v>1</v>
      </c>
      <c r="AH39" s="66">
        <f>MIN(1,AH$9/elasticities!$J$20)</f>
        <v>1</v>
      </c>
      <c r="AI39" s="66">
        <f>MIN(1,AI$9/elasticities!$J$20)</f>
        <v>1</v>
      </c>
      <c r="AJ39" s="66">
        <f>MIN(1,AJ$9/elasticities!$J$20)</f>
        <v>1</v>
      </c>
      <c r="AK39" s="66">
        <f>MIN(1,AK$9/elasticities!$J$20)</f>
        <v>1</v>
      </c>
      <c r="AL39" s="66">
        <f>MIN(1,AL$9/elasticities!$J$20)</f>
        <v>1</v>
      </c>
    </row>
    <row r="40" spans="1:38">
      <c r="A40" s="54" t="s">
        <v>235</v>
      </c>
      <c r="B40" s="54" t="s">
        <v>508</v>
      </c>
      <c r="C40" s="66"/>
      <c r="D40" s="66"/>
      <c r="E40" s="66"/>
      <c r="F40" s="66"/>
      <c r="G40" s="66"/>
      <c r="H40" s="66"/>
      <c r="I40" s="66"/>
      <c r="J40" s="66"/>
      <c r="K40" s="66"/>
      <c r="L40" s="66">
        <f>MIN(1,L$9/elasticities!$J$22)</f>
        <v>0</v>
      </c>
      <c r="M40" s="66">
        <f>MIN(1,M$9/elasticities!$J$22)</f>
        <v>0</v>
      </c>
      <c r="N40" s="66">
        <f>MIN(1,N$9/elasticities!$J$22)</f>
        <v>0</v>
      </c>
      <c r="O40" s="66">
        <f>MIN(1,O$9/elasticities!$J$22)</f>
        <v>0</v>
      </c>
      <c r="P40" s="66">
        <f>MIN(1,P$9/elasticities!$J$22)</f>
        <v>0</v>
      </c>
      <c r="Q40" s="66">
        <f>MIN(1,Q$9/elasticities!$J$22)</f>
        <v>0</v>
      </c>
      <c r="R40" s="66">
        <f>MIN(1,R$9/elasticities!$J$22)</f>
        <v>6.6666666666666666E-2</v>
      </c>
      <c r="S40" s="66">
        <f>MIN(1,S$9/elasticities!$J$22)</f>
        <v>0.13333333333333333</v>
      </c>
      <c r="T40" s="66">
        <f>MIN(1,T$9/elasticities!$J$22)</f>
        <v>0.2</v>
      </c>
      <c r="U40" s="66">
        <f>MIN(1,U$9/elasticities!$J$22)</f>
        <v>0.26666666666666666</v>
      </c>
      <c r="V40" s="66">
        <f>MIN(1,V$9/elasticities!$J$22)</f>
        <v>0.33333333333333331</v>
      </c>
      <c r="W40" s="66">
        <f>MIN(1,W$9/elasticities!$J$22)</f>
        <v>0.4</v>
      </c>
      <c r="X40" s="66">
        <f>MIN(1,X$9/elasticities!$J$22)</f>
        <v>0.46666666666666667</v>
      </c>
      <c r="Y40" s="66">
        <f>MIN(1,Y$9/elasticities!$J$22)</f>
        <v>0.53333333333333333</v>
      </c>
      <c r="Z40" s="66">
        <f>MIN(1,Z$9/elasticities!$J$22)</f>
        <v>0.6</v>
      </c>
      <c r="AA40" s="66">
        <f>MIN(1,AA$9/elasticities!$J$22)</f>
        <v>0.66666666666666663</v>
      </c>
      <c r="AB40" s="66">
        <f>MIN(1,AB$9/elasticities!$J$22)</f>
        <v>0.73333333333333328</v>
      </c>
      <c r="AC40" s="66">
        <f>MIN(1,AC$9/elasticities!$J$22)</f>
        <v>0.8</v>
      </c>
      <c r="AD40" s="66">
        <f>MIN(1,AD$9/elasticities!$J$22)</f>
        <v>0.8666666666666667</v>
      </c>
      <c r="AE40" s="66">
        <f>MIN(1,AE$9/elasticities!$J$22)</f>
        <v>0.93333333333333335</v>
      </c>
      <c r="AF40" s="66">
        <f>MIN(1,AF$9/elasticities!$J$22)</f>
        <v>1</v>
      </c>
      <c r="AG40" s="66">
        <f>MIN(1,AG$9/elasticities!$J$22)</f>
        <v>1</v>
      </c>
      <c r="AH40" s="66">
        <f>MIN(1,AH$9/elasticities!$J$22)</f>
        <v>1</v>
      </c>
      <c r="AI40" s="66">
        <f>MIN(1,AI$9/elasticities!$J$22)</f>
        <v>1</v>
      </c>
      <c r="AJ40" s="66">
        <f>MIN(1,AJ$9/elasticities!$J$22)</f>
        <v>1</v>
      </c>
      <c r="AK40" s="66">
        <f>MIN(1,AK$9/elasticities!$J$22)</f>
        <v>1</v>
      </c>
      <c r="AL40" s="66">
        <f>MIN(1,AL$9/elasticities!$J$22)</f>
        <v>1</v>
      </c>
    </row>
    <row r="41" spans="1:38">
      <c r="A41" s="54" t="s">
        <v>236</v>
      </c>
      <c r="B41" s="54" t="s">
        <v>508</v>
      </c>
      <c r="C41" s="66"/>
      <c r="D41" s="66"/>
      <c r="E41" s="66"/>
      <c r="F41" s="66"/>
      <c r="G41" s="66"/>
      <c r="H41" s="66"/>
      <c r="I41" s="66"/>
      <c r="J41" s="66"/>
      <c r="K41" s="66"/>
      <c r="L41" s="66">
        <f>MIN(1,L$9/elasticities!$J$23)</f>
        <v>0</v>
      </c>
      <c r="M41" s="66">
        <f>MIN(1,M$9/elasticities!$J$23)</f>
        <v>0</v>
      </c>
      <c r="N41" s="66">
        <f>MIN(1,N$9/elasticities!$J$23)</f>
        <v>0</v>
      </c>
      <c r="O41" s="66">
        <f>MIN(1,O$9/elasticities!$J$23)</f>
        <v>0</v>
      </c>
      <c r="P41" s="66">
        <f>MIN(1,P$9/elasticities!$J$23)</f>
        <v>0</v>
      </c>
      <c r="Q41" s="66">
        <f>MIN(1,Q$9/elasticities!$J$23)</f>
        <v>0</v>
      </c>
      <c r="R41" s="66">
        <f>MIN(1,R$9/elasticities!$J$23)</f>
        <v>6.6666666666666666E-2</v>
      </c>
      <c r="S41" s="66">
        <f>MIN(1,S$9/elasticities!$J$23)</f>
        <v>0.13333333333333333</v>
      </c>
      <c r="T41" s="66">
        <f>MIN(1,T$9/elasticities!$J$23)</f>
        <v>0.2</v>
      </c>
      <c r="U41" s="66">
        <f>MIN(1,U$9/elasticities!$J$23)</f>
        <v>0.26666666666666666</v>
      </c>
      <c r="V41" s="66">
        <f>MIN(1,V$9/elasticities!$J$23)</f>
        <v>0.33333333333333331</v>
      </c>
      <c r="W41" s="66">
        <f>MIN(1,W$9/elasticities!$J$23)</f>
        <v>0.4</v>
      </c>
      <c r="X41" s="66">
        <f>MIN(1,X$9/elasticities!$J$23)</f>
        <v>0.46666666666666667</v>
      </c>
      <c r="Y41" s="66">
        <f>MIN(1,Y$9/elasticities!$J$23)</f>
        <v>0.53333333333333333</v>
      </c>
      <c r="Z41" s="66">
        <f>MIN(1,Z$9/elasticities!$J$23)</f>
        <v>0.6</v>
      </c>
      <c r="AA41" s="66">
        <f>MIN(1,AA$9/elasticities!$J$23)</f>
        <v>0.66666666666666663</v>
      </c>
      <c r="AB41" s="66">
        <f>MIN(1,AB$9/elasticities!$J$23)</f>
        <v>0.73333333333333328</v>
      </c>
      <c r="AC41" s="66">
        <f>MIN(1,AC$9/elasticities!$J$23)</f>
        <v>0.8</v>
      </c>
      <c r="AD41" s="66">
        <f>MIN(1,AD$9/elasticities!$J$23)</f>
        <v>0.8666666666666667</v>
      </c>
      <c r="AE41" s="66">
        <f>MIN(1,AE$9/elasticities!$J$23)</f>
        <v>0.93333333333333335</v>
      </c>
      <c r="AF41" s="66">
        <f>MIN(1,AF$9/elasticities!$J$23)</f>
        <v>1</v>
      </c>
      <c r="AG41" s="66">
        <f>MIN(1,AG$9/elasticities!$J$23)</f>
        <v>1</v>
      </c>
      <c r="AH41" s="66">
        <f>MIN(1,AH$9/elasticities!$J$23)</f>
        <v>1</v>
      </c>
      <c r="AI41" s="66">
        <f>MIN(1,AI$9/elasticities!$J$23)</f>
        <v>1</v>
      </c>
      <c r="AJ41" s="66">
        <f>MIN(1,AJ$9/elasticities!$J$23)</f>
        <v>1</v>
      </c>
      <c r="AK41" s="66">
        <f>MIN(1,AK$9/elasticities!$J$23)</f>
        <v>1</v>
      </c>
      <c r="AL41" s="66">
        <f>MIN(1,AL$9/elasticities!$J$23)</f>
        <v>1</v>
      </c>
    </row>
    <row r="42" spans="1:38">
      <c r="A42" s="54" t="s">
        <v>237</v>
      </c>
      <c r="B42" s="54" t="s">
        <v>508</v>
      </c>
      <c r="C42" s="66"/>
      <c r="D42" s="66"/>
      <c r="E42" s="66"/>
      <c r="F42" s="66"/>
      <c r="G42" s="66"/>
      <c r="H42" s="66"/>
      <c r="I42" s="66"/>
      <c r="J42" s="66"/>
      <c r="K42" s="66"/>
      <c r="L42" s="66">
        <f>MIN(1,L$9/elasticities!$J$24)</f>
        <v>0</v>
      </c>
      <c r="M42" s="66">
        <f>MIN(1,M$9/elasticities!$J$24)</f>
        <v>0</v>
      </c>
      <c r="N42" s="66">
        <f>MIN(1,N$9/elasticities!$J$24)</f>
        <v>0</v>
      </c>
      <c r="O42" s="66">
        <f>MIN(1,O$9/elasticities!$J$24)</f>
        <v>0</v>
      </c>
      <c r="P42" s="66">
        <f>MIN(1,P$9/elasticities!$J$24)</f>
        <v>0</v>
      </c>
      <c r="Q42" s="66">
        <f>MIN(1,Q$9/elasticities!$J$24)</f>
        <v>0</v>
      </c>
      <c r="R42" s="66">
        <f>MIN(1,R$9/elasticities!$J$24)</f>
        <v>0.05</v>
      </c>
      <c r="S42" s="66">
        <f>MIN(1,S$9/elasticities!$J$24)</f>
        <v>0.1</v>
      </c>
      <c r="T42" s="66">
        <f>MIN(1,T$9/elasticities!$J$24)</f>
        <v>0.15</v>
      </c>
      <c r="U42" s="66">
        <f>MIN(1,U$9/elasticities!$J$24)</f>
        <v>0.2</v>
      </c>
      <c r="V42" s="66">
        <f>MIN(1,V$9/elasticities!$J$24)</f>
        <v>0.25</v>
      </c>
      <c r="W42" s="66">
        <f>MIN(1,W$9/elasticities!$J$24)</f>
        <v>0.3</v>
      </c>
      <c r="X42" s="66">
        <f>MIN(1,X$9/elasticities!$J$24)</f>
        <v>0.35</v>
      </c>
      <c r="Y42" s="66">
        <f>MIN(1,Y$9/elasticities!$J$24)</f>
        <v>0.4</v>
      </c>
      <c r="Z42" s="66">
        <f>MIN(1,Z$9/elasticities!$J$24)</f>
        <v>0.45</v>
      </c>
      <c r="AA42" s="66">
        <f>MIN(1,AA$9/elasticities!$J$24)</f>
        <v>0.5</v>
      </c>
      <c r="AB42" s="66">
        <f>MIN(1,AB$9/elasticities!$J$24)</f>
        <v>0.55000000000000004</v>
      </c>
      <c r="AC42" s="66">
        <f>MIN(1,AC$9/elasticities!$J$24)</f>
        <v>0.6</v>
      </c>
      <c r="AD42" s="66">
        <f>MIN(1,AD$9/elasticities!$J$24)</f>
        <v>0.65</v>
      </c>
      <c r="AE42" s="66">
        <f>MIN(1,AE$9/elasticities!$J$24)</f>
        <v>0.7</v>
      </c>
      <c r="AF42" s="66">
        <f>MIN(1,AF$9/elasticities!$J$24)</f>
        <v>0.75</v>
      </c>
      <c r="AG42" s="66">
        <f>MIN(1,AG$9/elasticities!$J$24)</f>
        <v>0.8</v>
      </c>
      <c r="AH42" s="66">
        <f>MIN(1,AH$9/elasticities!$J$24)</f>
        <v>0.85</v>
      </c>
      <c r="AI42" s="66">
        <f>MIN(1,AI$9/elasticities!$J$24)</f>
        <v>0.9</v>
      </c>
      <c r="AJ42" s="66">
        <f>MIN(1,AJ$9/elasticities!$J$24)</f>
        <v>0.95</v>
      </c>
      <c r="AK42" s="66">
        <f>MIN(1,AK$9/elasticities!$J$24)</f>
        <v>1</v>
      </c>
      <c r="AL42" s="66">
        <f>MIN(1,AL$9/elasticities!$J$24)</f>
        <v>1</v>
      </c>
    </row>
    <row r="43" spans="1:38" ht="3.95" customHeight="1">
      <c r="A43" s="54"/>
      <c r="B43" s="54"/>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row>
    <row r="44" spans="1:38" ht="16.5">
      <c r="A44" s="114" t="s">
        <v>512</v>
      </c>
      <c r="B44" s="54"/>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row>
    <row r="45" spans="1:38">
      <c r="A45" s="54" t="s">
        <v>84</v>
      </c>
      <c r="B45" s="54" t="s">
        <v>508</v>
      </c>
      <c r="C45" s="66"/>
      <c r="D45" s="66"/>
      <c r="E45" s="66"/>
      <c r="F45" s="66"/>
      <c r="G45" s="66"/>
      <c r="H45" s="66"/>
      <c r="I45" s="66"/>
      <c r="J45" s="66"/>
      <c r="K45" s="66"/>
      <c r="L45" s="66">
        <f>L29*elasticities!$I$6</f>
        <v>0</v>
      </c>
      <c r="M45" s="66">
        <f>M29*elasticities!$I$6</f>
        <v>0</v>
      </c>
      <c r="N45" s="66">
        <f>N29*elasticities!$I$6</f>
        <v>0</v>
      </c>
      <c r="O45" s="66">
        <f>O29*elasticities!$I$6</f>
        <v>0</v>
      </c>
      <c r="P45" s="66">
        <f>P29*elasticities!$I$6</f>
        <v>0</v>
      </c>
      <c r="Q45" s="66">
        <f>Q29*elasticities!$I$6</f>
        <v>0</v>
      </c>
      <c r="R45" s="66">
        <f>R29*elasticities!$I$6</f>
        <v>-6.0499999999999998E-2</v>
      </c>
      <c r="S45" s="66">
        <f>S29*elasticities!$I$6</f>
        <v>-0.121</v>
      </c>
      <c r="T45" s="66">
        <f>T29*elasticities!$I$6</f>
        <v>-0.18149999999999999</v>
      </c>
      <c r="U45" s="66">
        <f>U29*elasticities!$I$6</f>
        <v>-0.24199999999999999</v>
      </c>
      <c r="V45" s="66">
        <f>V29*elasticities!$I$6</f>
        <v>-0.30249999999999999</v>
      </c>
      <c r="W45" s="66">
        <f>W29*elasticities!$I$6</f>
        <v>-0.36299999999999999</v>
      </c>
      <c r="X45" s="66">
        <f>X29*elasticities!$I$6</f>
        <v>-0.42349999999999999</v>
      </c>
      <c r="Y45" s="66">
        <f>Y29*elasticities!$I$6</f>
        <v>-0.48399999999999999</v>
      </c>
      <c r="Z45" s="66">
        <f>Z29*elasticities!$I$6</f>
        <v>-0.54449999999999998</v>
      </c>
      <c r="AA45" s="66">
        <f>AA29*elasticities!$I$6</f>
        <v>-0.60499999999999998</v>
      </c>
      <c r="AB45" s="66">
        <f>AB29*elasticities!$I$6</f>
        <v>-0.60499999999999998</v>
      </c>
      <c r="AC45" s="66">
        <f>AC29*elasticities!$I$6</f>
        <v>-0.60499999999999998</v>
      </c>
      <c r="AD45" s="66">
        <f>AD29*elasticities!$I$6</f>
        <v>-0.60499999999999998</v>
      </c>
      <c r="AE45" s="66">
        <f>AE29*elasticities!$I$6</f>
        <v>-0.60499999999999998</v>
      </c>
      <c r="AF45" s="66">
        <f>AF29*elasticities!$I$6</f>
        <v>-0.60499999999999998</v>
      </c>
      <c r="AG45" s="66">
        <f>AG29*elasticities!$I$6</f>
        <v>-0.60499999999999998</v>
      </c>
      <c r="AH45" s="66">
        <f>AH29*elasticities!$I$6</f>
        <v>-0.60499999999999998</v>
      </c>
      <c r="AI45" s="66">
        <f>AI29*elasticities!$I$6</f>
        <v>-0.60499999999999998</v>
      </c>
      <c r="AJ45" s="66">
        <f>AJ29*elasticities!$I$6</f>
        <v>-0.60499999999999998</v>
      </c>
      <c r="AK45" s="66">
        <f>AK29*elasticities!$I$6</f>
        <v>-0.60499999999999998</v>
      </c>
      <c r="AL45" s="66">
        <f>AL29*elasticities!$I$6</f>
        <v>-0.60499999999999998</v>
      </c>
    </row>
    <row r="46" spans="1:38">
      <c r="A46" s="54" t="s">
        <v>239</v>
      </c>
      <c r="B46" s="54" t="s">
        <v>508</v>
      </c>
      <c r="C46" s="66"/>
      <c r="D46" s="66"/>
      <c r="E46" s="66"/>
      <c r="F46" s="66"/>
      <c r="G46" s="66"/>
      <c r="H46" s="66"/>
      <c r="I46" s="66"/>
      <c r="J46" s="66"/>
      <c r="K46" s="66"/>
      <c r="L46" s="66">
        <f>L30*elasticities!$I$8</f>
        <v>0</v>
      </c>
      <c r="M46" s="66">
        <f>M30*elasticities!$I$8</f>
        <v>0</v>
      </c>
      <c r="N46" s="66">
        <f>N30*elasticities!$I$8</f>
        <v>0</v>
      </c>
      <c r="O46" s="66">
        <f>O30*elasticities!$I$8</f>
        <v>0</v>
      </c>
      <c r="P46" s="66">
        <f>P30*elasticities!$I$8</f>
        <v>0</v>
      </c>
      <c r="Q46" s="66">
        <f>Q30*elasticities!$I$8</f>
        <v>0</v>
      </c>
      <c r="R46" s="66">
        <f>R30*elasticities!$I$8</f>
        <v>-6.4000000000000001E-2</v>
      </c>
      <c r="S46" s="66">
        <f>S30*elasticities!$I$8</f>
        <v>-0.128</v>
      </c>
      <c r="T46" s="66">
        <f>T30*elasticities!$I$8</f>
        <v>-0.192</v>
      </c>
      <c r="U46" s="66">
        <f>U30*elasticities!$I$8</f>
        <v>-0.25600000000000001</v>
      </c>
      <c r="V46" s="66">
        <f>V30*elasticities!$I$8</f>
        <v>-0.32</v>
      </c>
      <c r="W46" s="66">
        <f>W30*elasticities!$I$8</f>
        <v>-0.38400000000000001</v>
      </c>
      <c r="X46" s="66">
        <f>X30*elasticities!$I$8</f>
        <v>-0.44799999999999995</v>
      </c>
      <c r="Y46" s="66">
        <f>Y30*elasticities!$I$8</f>
        <v>-0.51200000000000001</v>
      </c>
      <c r="Z46" s="66">
        <f>Z30*elasticities!$I$8</f>
        <v>-0.57600000000000007</v>
      </c>
      <c r="AA46" s="66">
        <f>AA30*elasticities!$I$8</f>
        <v>-0.64</v>
      </c>
      <c r="AB46" s="66">
        <f>AB30*elasticities!$I$8</f>
        <v>-0.64</v>
      </c>
      <c r="AC46" s="66">
        <f>AC30*elasticities!$I$8</f>
        <v>-0.64</v>
      </c>
      <c r="AD46" s="66">
        <f>AD30*elasticities!$I$8</f>
        <v>-0.64</v>
      </c>
      <c r="AE46" s="66">
        <f>AE30*elasticities!$I$8</f>
        <v>-0.64</v>
      </c>
      <c r="AF46" s="66">
        <f>AF30*elasticities!$I$8</f>
        <v>-0.64</v>
      </c>
      <c r="AG46" s="66">
        <f>AG30*elasticities!$I$8</f>
        <v>-0.64</v>
      </c>
      <c r="AH46" s="66">
        <f>AH30*elasticities!$I$8</f>
        <v>-0.64</v>
      </c>
      <c r="AI46" s="66">
        <f>AI30*elasticities!$I$8</f>
        <v>-0.64</v>
      </c>
      <c r="AJ46" s="66">
        <f>AJ30*elasticities!$I$8</f>
        <v>-0.64</v>
      </c>
      <c r="AK46" s="66">
        <f>AK30*elasticities!$I$8</f>
        <v>-0.64</v>
      </c>
      <c r="AL46" s="66">
        <f>AL30*elasticities!$I$8</f>
        <v>-0.64</v>
      </c>
    </row>
    <row r="47" spans="1:38">
      <c r="A47" s="54" t="s">
        <v>238</v>
      </c>
      <c r="B47" s="54" t="s">
        <v>508</v>
      </c>
      <c r="C47" s="66"/>
      <c r="D47" s="66"/>
      <c r="E47" s="66"/>
      <c r="F47" s="66"/>
      <c r="G47" s="66"/>
      <c r="H47" s="66"/>
      <c r="I47" s="66"/>
      <c r="J47" s="66"/>
      <c r="K47" s="66"/>
      <c r="L47" s="66">
        <f>L31*elasticities!$I$9</f>
        <v>0</v>
      </c>
      <c r="M47" s="66">
        <f>M31*elasticities!$I$9</f>
        <v>0</v>
      </c>
      <c r="N47" s="66">
        <f>N31*elasticities!$I$9</f>
        <v>0</v>
      </c>
      <c r="O47" s="66">
        <f>O31*elasticities!$I$9</f>
        <v>0</v>
      </c>
      <c r="P47" s="66">
        <f>P31*elasticities!$I$9</f>
        <v>0</v>
      </c>
      <c r="Q47" s="66">
        <f>Q31*elasticities!$I$9</f>
        <v>0</v>
      </c>
      <c r="R47" s="66">
        <f>R31*elasticities!$I$9</f>
        <v>-4.3500000000000004E-2</v>
      </c>
      <c r="S47" s="66">
        <f>S31*elasticities!$I$9</f>
        <v>-8.7000000000000008E-2</v>
      </c>
      <c r="T47" s="66">
        <f>T31*elasticities!$I$9</f>
        <v>-0.1305</v>
      </c>
      <c r="U47" s="66">
        <f>U31*elasticities!$I$9</f>
        <v>-0.17400000000000002</v>
      </c>
      <c r="V47" s="66">
        <f>V31*elasticities!$I$9</f>
        <v>-0.2175</v>
      </c>
      <c r="W47" s="66">
        <f>W31*elasticities!$I$9</f>
        <v>-0.26100000000000001</v>
      </c>
      <c r="X47" s="66">
        <f>X31*elasticities!$I$9</f>
        <v>-0.30449999999999999</v>
      </c>
      <c r="Y47" s="66">
        <f>Y31*elasticities!$I$9</f>
        <v>-0.34800000000000003</v>
      </c>
      <c r="Z47" s="66">
        <f>Z31*elasticities!$I$9</f>
        <v>-0.39150000000000001</v>
      </c>
      <c r="AA47" s="66">
        <f>AA31*elasticities!$I$9</f>
        <v>-0.435</v>
      </c>
      <c r="AB47" s="66">
        <f>AB31*elasticities!$I$9</f>
        <v>-0.435</v>
      </c>
      <c r="AC47" s="66">
        <f>AC31*elasticities!$I$9</f>
        <v>-0.435</v>
      </c>
      <c r="AD47" s="66">
        <f>AD31*elasticities!$I$9</f>
        <v>-0.435</v>
      </c>
      <c r="AE47" s="66">
        <f>AE31*elasticities!$I$9</f>
        <v>-0.435</v>
      </c>
      <c r="AF47" s="66">
        <f>AF31*elasticities!$I$9</f>
        <v>-0.435</v>
      </c>
      <c r="AG47" s="66">
        <f>AG31*elasticities!$I$9</f>
        <v>-0.435</v>
      </c>
      <c r="AH47" s="66">
        <f>AH31*elasticities!$I$9</f>
        <v>-0.435</v>
      </c>
      <c r="AI47" s="66">
        <f>AI31*elasticities!$I$9</f>
        <v>-0.435</v>
      </c>
      <c r="AJ47" s="66">
        <f>AJ31*elasticities!$I$9</f>
        <v>-0.435</v>
      </c>
      <c r="AK47" s="66">
        <f>AK31*elasticities!$I$9</f>
        <v>-0.435</v>
      </c>
      <c r="AL47" s="66">
        <f>AL31*elasticities!$I$9</f>
        <v>-0.435</v>
      </c>
    </row>
    <row r="48" spans="1:38">
      <c r="A48" s="54" t="s">
        <v>193</v>
      </c>
      <c r="B48" s="54" t="s">
        <v>508</v>
      </c>
      <c r="C48" s="66"/>
      <c r="D48" s="66"/>
      <c r="E48" s="66"/>
      <c r="F48" s="66"/>
      <c r="G48" s="66"/>
      <c r="H48" s="66"/>
      <c r="I48" s="66"/>
      <c r="J48" s="66"/>
      <c r="K48" s="66"/>
      <c r="L48" s="66">
        <f>L32*elasticities!$I$10</f>
        <v>0</v>
      </c>
      <c r="M48" s="66">
        <f>M32*elasticities!$I$10</f>
        <v>0</v>
      </c>
      <c r="N48" s="66">
        <f>N32*elasticities!$I$10</f>
        <v>0</v>
      </c>
      <c r="O48" s="66">
        <f>O32*elasticities!$I$10</f>
        <v>0</v>
      </c>
      <c r="P48" s="66">
        <f>P32*elasticities!$I$10</f>
        <v>0</v>
      </c>
      <c r="Q48" s="66">
        <f>Q32*elasticities!$I$10</f>
        <v>0</v>
      </c>
      <c r="R48" s="66">
        <f>R32*elasticities!$I$10</f>
        <v>-3.6499999999999998E-2</v>
      </c>
      <c r="S48" s="66">
        <f>S32*elasticities!$I$10</f>
        <v>-7.2999999999999995E-2</v>
      </c>
      <c r="T48" s="66">
        <f>T32*elasticities!$I$10</f>
        <v>-0.1095</v>
      </c>
      <c r="U48" s="66">
        <f>U32*elasticities!$I$10</f>
        <v>-0.14599999999999999</v>
      </c>
      <c r="V48" s="66">
        <f>V32*elasticities!$I$10</f>
        <v>-0.1825</v>
      </c>
      <c r="W48" s="66">
        <f>W32*elasticities!$I$10</f>
        <v>-0.219</v>
      </c>
      <c r="X48" s="66">
        <f>X32*elasticities!$I$10</f>
        <v>-0.2555</v>
      </c>
      <c r="Y48" s="66">
        <f>Y32*elasticities!$I$10</f>
        <v>-0.29199999999999998</v>
      </c>
      <c r="Z48" s="66">
        <f>Z32*elasticities!$I$10</f>
        <v>-0.32850000000000001</v>
      </c>
      <c r="AA48" s="66">
        <f>AA32*elasticities!$I$10</f>
        <v>-0.36499999999999999</v>
      </c>
      <c r="AB48" s="66">
        <f>AB32*elasticities!$I$10</f>
        <v>-0.36499999999999999</v>
      </c>
      <c r="AC48" s="66">
        <f>AC32*elasticities!$I$10</f>
        <v>-0.36499999999999999</v>
      </c>
      <c r="AD48" s="66">
        <f>AD32*elasticities!$I$10</f>
        <v>-0.36499999999999999</v>
      </c>
      <c r="AE48" s="66">
        <f>AE32*elasticities!$I$10</f>
        <v>-0.36499999999999999</v>
      </c>
      <c r="AF48" s="66">
        <f>AF32*elasticities!$I$10</f>
        <v>-0.36499999999999999</v>
      </c>
      <c r="AG48" s="66">
        <f>AG32*elasticities!$I$10</f>
        <v>-0.36499999999999999</v>
      </c>
      <c r="AH48" s="66">
        <f>AH32*elasticities!$I$10</f>
        <v>-0.36499999999999999</v>
      </c>
      <c r="AI48" s="66">
        <f>AI32*elasticities!$I$10</f>
        <v>-0.36499999999999999</v>
      </c>
      <c r="AJ48" s="66">
        <f>AJ32*elasticities!$I$10</f>
        <v>-0.36499999999999999</v>
      </c>
      <c r="AK48" s="66">
        <f>AK32*elasticities!$I$10</f>
        <v>-0.36499999999999999</v>
      </c>
      <c r="AL48" s="66">
        <f>AL32*elasticities!$I$10</f>
        <v>-0.36499999999999999</v>
      </c>
    </row>
    <row r="49" spans="1:38">
      <c r="A49" s="54" t="s">
        <v>3</v>
      </c>
      <c r="B49" s="54" t="s">
        <v>508</v>
      </c>
      <c r="C49" s="66"/>
      <c r="D49" s="66"/>
      <c r="E49" s="66"/>
      <c r="F49" s="66"/>
      <c r="G49" s="66"/>
      <c r="H49" s="66"/>
      <c r="I49" s="66"/>
      <c r="J49" s="66"/>
      <c r="K49" s="66"/>
      <c r="L49" s="66">
        <f>L33*elasticities!$I$11</f>
        <v>0</v>
      </c>
      <c r="M49" s="66">
        <f>M33*elasticities!$I$11</f>
        <v>0</v>
      </c>
      <c r="N49" s="66">
        <f>N33*elasticities!$I$11</f>
        <v>0</v>
      </c>
      <c r="O49" s="66">
        <f>O33*elasticities!$I$11</f>
        <v>0</v>
      </c>
      <c r="P49" s="66">
        <f>P33*elasticities!$I$11</f>
        <v>0</v>
      </c>
      <c r="Q49" s="66">
        <f>Q33*elasticities!$I$11</f>
        <v>0</v>
      </c>
      <c r="R49" s="66">
        <f>R33*elasticities!$I$11</f>
        <v>-2.2499999999999999E-2</v>
      </c>
      <c r="S49" s="66">
        <f>S33*elasticities!$I$11</f>
        <v>-4.4999999999999998E-2</v>
      </c>
      <c r="T49" s="66">
        <f>T33*elasticities!$I$11</f>
        <v>-6.7499999999999991E-2</v>
      </c>
      <c r="U49" s="66">
        <f>U33*elasticities!$I$11</f>
        <v>-0.09</v>
      </c>
      <c r="V49" s="66">
        <f>V33*elasticities!$I$11</f>
        <v>-0.11249999999999999</v>
      </c>
      <c r="W49" s="66">
        <f>W33*elasticities!$I$11</f>
        <v>-0.13499999999999998</v>
      </c>
      <c r="X49" s="66">
        <f>X33*elasticities!$I$11</f>
        <v>-0.15749999999999997</v>
      </c>
      <c r="Y49" s="66">
        <f>Y33*elasticities!$I$11</f>
        <v>-0.18</v>
      </c>
      <c r="Z49" s="66">
        <f>Z33*elasticities!$I$11</f>
        <v>-0.20249999999999999</v>
      </c>
      <c r="AA49" s="66">
        <f>AA33*elasticities!$I$11</f>
        <v>-0.22499999999999998</v>
      </c>
      <c r="AB49" s="66">
        <f>AB33*elasticities!$I$11</f>
        <v>-0.22499999999999998</v>
      </c>
      <c r="AC49" s="66">
        <f>AC33*elasticities!$I$11</f>
        <v>-0.22499999999999998</v>
      </c>
      <c r="AD49" s="66">
        <f>AD33*elasticities!$I$11</f>
        <v>-0.22499999999999998</v>
      </c>
      <c r="AE49" s="66">
        <f>AE33*elasticities!$I$11</f>
        <v>-0.22499999999999998</v>
      </c>
      <c r="AF49" s="66">
        <f>AF33*elasticities!$I$11</f>
        <v>-0.22499999999999998</v>
      </c>
      <c r="AG49" s="66">
        <f>AG33*elasticities!$I$11</f>
        <v>-0.22499999999999998</v>
      </c>
      <c r="AH49" s="66">
        <f>AH33*elasticities!$I$11</f>
        <v>-0.22499999999999998</v>
      </c>
      <c r="AI49" s="66">
        <f>AI33*elasticities!$I$11</f>
        <v>-0.22499999999999998</v>
      </c>
      <c r="AJ49" s="66">
        <f>AJ33*elasticities!$I$11</f>
        <v>-0.22499999999999998</v>
      </c>
      <c r="AK49" s="66">
        <f>AK33*elasticities!$I$11</f>
        <v>-0.22499999999999998</v>
      </c>
      <c r="AL49" s="66">
        <f>AL33*elasticities!$I$11</f>
        <v>-0.22499999999999998</v>
      </c>
    </row>
    <row r="50" spans="1:38">
      <c r="A50" s="54" t="s">
        <v>233</v>
      </c>
      <c r="B50" s="54" t="s">
        <v>508</v>
      </c>
      <c r="C50" s="66"/>
      <c r="D50" s="66"/>
      <c r="E50" s="66"/>
      <c r="F50" s="66"/>
      <c r="G50" s="66"/>
      <c r="H50" s="66"/>
      <c r="I50" s="66"/>
      <c r="J50" s="66"/>
      <c r="K50" s="66"/>
      <c r="L50" s="66">
        <f>L34*elasticities!$I$13</f>
        <v>0</v>
      </c>
      <c r="M50" s="66">
        <f>M34*elasticities!$I$13</f>
        <v>0</v>
      </c>
      <c r="N50" s="66">
        <f>N34*elasticities!$I$13</f>
        <v>0</v>
      </c>
      <c r="O50" s="66">
        <f>O34*elasticities!$I$13</f>
        <v>0</v>
      </c>
      <c r="P50" s="66">
        <f>P34*elasticities!$I$13</f>
        <v>0</v>
      </c>
      <c r="Q50" s="66">
        <f>Q34*elasticities!$I$13</f>
        <v>0</v>
      </c>
      <c r="R50" s="66">
        <f>R34*elasticities!$I$13</f>
        <v>-2.0000000000000004E-2</v>
      </c>
      <c r="S50" s="66">
        <f>S34*elasticities!$I$13</f>
        <v>-4.0000000000000008E-2</v>
      </c>
      <c r="T50" s="66">
        <f>T34*elasticities!$I$13</f>
        <v>-0.06</v>
      </c>
      <c r="U50" s="66">
        <f>U34*elasticities!$I$13</f>
        <v>-8.0000000000000016E-2</v>
      </c>
      <c r="V50" s="66">
        <f>V34*elasticities!$I$13</f>
        <v>-0.1</v>
      </c>
      <c r="W50" s="66">
        <f>W34*elasticities!$I$13</f>
        <v>-0.12</v>
      </c>
      <c r="X50" s="66">
        <f>X34*elasticities!$I$13</f>
        <v>-0.13999999999999999</v>
      </c>
      <c r="Y50" s="66">
        <f>Y34*elasticities!$I$13</f>
        <v>-0.16000000000000003</v>
      </c>
      <c r="Z50" s="66">
        <f>Z34*elasticities!$I$13</f>
        <v>-0.18000000000000002</v>
      </c>
      <c r="AA50" s="66">
        <f>AA34*elasticities!$I$13</f>
        <v>-0.2</v>
      </c>
      <c r="AB50" s="66">
        <f>AB34*elasticities!$I$13</f>
        <v>-0.22000000000000003</v>
      </c>
      <c r="AC50" s="66">
        <f>AC34*elasticities!$I$13</f>
        <v>-0.24</v>
      </c>
      <c r="AD50" s="66">
        <f>AD34*elasticities!$I$13</f>
        <v>-0.26</v>
      </c>
      <c r="AE50" s="66">
        <f>AE34*elasticities!$I$13</f>
        <v>-0.27999999999999997</v>
      </c>
      <c r="AF50" s="66">
        <f>AF34*elasticities!$I$13</f>
        <v>-0.30000000000000004</v>
      </c>
      <c r="AG50" s="66">
        <f>AG34*elasticities!$I$13</f>
        <v>-0.32000000000000006</v>
      </c>
      <c r="AH50" s="66">
        <f>AH34*elasticities!$I$13</f>
        <v>-0.34</v>
      </c>
      <c r="AI50" s="66">
        <f>AI34*elasticities!$I$13</f>
        <v>-0.36000000000000004</v>
      </c>
      <c r="AJ50" s="66">
        <f>AJ34*elasticities!$I$13</f>
        <v>-0.38</v>
      </c>
      <c r="AK50" s="66">
        <f>AK34*elasticities!$I$13</f>
        <v>-0.4</v>
      </c>
      <c r="AL50" s="66">
        <f>AL34*elasticities!$I$13</f>
        <v>-0.4</v>
      </c>
    </row>
    <row r="51" spans="1:38">
      <c r="A51" s="54" t="s">
        <v>234</v>
      </c>
      <c r="B51" s="54" t="s">
        <v>508</v>
      </c>
      <c r="C51" s="66"/>
      <c r="D51" s="66"/>
      <c r="E51" s="66"/>
      <c r="F51" s="66"/>
      <c r="G51" s="66"/>
      <c r="H51" s="66"/>
      <c r="I51" s="66"/>
      <c r="J51" s="66"/>
      <c r="K51" s="66"/>
      <c r="L51" s="66">
        <f>L35*elasticities!$I$15</f>
        <v>0</v>
      </c>
      <c r="M51" s="66">
        <f>M35*elasticities!$I$15</f>
        <v>0</v>
      </c>
      <c r="N51" s="66">
        <f>N35*elasticities!$I$15</f>
        <v>0</v>
      </c>
      <c r="O51" s="66">
        <f>O35*elasticities!$I$15</f>
        <v>0</v>
      </c>
      <c r="P51" s="66">
        <f>P35*elasticities!$I$15</f>
        <v>0</v>
      </c>
      <c r="Q51" s="66">
        <f>Q35*elasticities!$I$15</f>
        <v>0</v>
      </c>
      <c r="R51" s="66">
        <f>R35*elasticities!$I$15</f>
        <v>-1.7333333333333336E-2</v>
      </c>
      <c r="S51" s="66">
        <f>S35*elasticities!$I$15</f>
        <v>-3.4666666666666672E-2</v>
      </c>
      <c r="T51" s="66">
        <f>T35*elasticities!$I$15</f>
        <v>-5.1999999999999998E-2</v>
      </c>
      <c r="U51" s="66">
        <f>U35*elasticities!$I$15</f>
        <v>-6.9333333333333344E-2</v>
      </c>
      <c r="V51" s="66">
        <f>V35*elasticities!$I$15</f>
        <v>-8.666666666666667E-2</v>
      </c>
      <c r="W51" s="66">
        <f>W35*elasticities!$I$15</f>
        <v>-0.104</v>
      </c>
      <c r="X51" s="66">
        <f>X35*elasticities!$I$15</f>
        <v>-0.12133333333333333</v>
      </c>
      <c r="Y51" s="66">
        <f>Y35*elasticities!$I$15</f>
        <v>-0.13866666666666669</v>
      </c>
      <c r="Z51" s="66">
        <f>Z35*elasticities!$I$15</f>
        <v>-0.156</v>
      </c>
      <c r="AA51" s="66">
        <f>AA35*elasticities!$I$15</f>
        <v>-0.17333333333333334</v>
      </c>
      <c r="AB51" s="66">
        <f>AB35*elasticities!$I$15</f>
        <v>-0.19066666666666668</v>
      </c>
      <c r="AC51" s="66">
        <f>AC35*elasticities!$I$15</f>
        <v>-0.20799999999999999</v>
      </c>
      <c r="AD51" s="66">
        <f>AD35*elasticities!$I$15</f>
        <v>-0.22533333333333336</v>
      </c>
      <c r="AE51" s="66">
        <f>AE35*elasticities!$I$15</f>
        <v>-0.24266666666666667</v>
      </c>
      <c r="AF51" s="66">
        <f>AF35*elasticities!$I$15</f>
        <v>-0.26</v>
      </c>
      <c r="AG51" s="66">
        <f>AG35*elasticities!$I$15</f>
        <v>-0.27733333333333338</v>
      </c>
      <c r="AH51" s="66">
        <f>AH35*elasticities!$I$15</f>
        <v>-0.29466666666666669</v>
      </c>
      <c r="AI51" s="66">
        <f>AI35*elasticities!$I$15</f>
        <v>-0.312</v>
      </c>
      <c r="AJ51" s="66">
        <f>AJ35*elasticities!$I$15</f>
        <v>-0.32933333333333331</v>
      </c>
      <c r="AK51" s="66">
        <f>AK35*elasticities!$I$15</f>
        <v>-0.34666666666666668</v>
      </c>
      <c r="AL51" s="66">
        <f>AL35*elasticities!$I$15</f>
        <v>-0.34666666666666668</v>
      </c>
    </row>
    <row r="52" spans="1:38">
      <c r="A52" s="54" t="s">
        <v>330</v>
      </c>
      <c r="B52" s="54" t="s">
        <v>508</v>
      </c>
      <c r="C52" s="66"/>
      <c r="D52" s="66"/>
      <c r="E52" s="66"/>
      <c r="F52" s="66"/>
      <c r="G52" s="66"/>
      <c r="H52" s="66"/>
      <c r="I52" s="66"/>
      <c r="J52" s="66"/>
      <c r="K52" s="66"/>
      <c r="L52" s="66">
        <f>L36*elasticities!$I$16</f>
        <v>0</v>
      </c>
      <c r="M52" s="66">
        <f>M36*elasticities!$I$16</f>
        <v>0</v>
      </c>
      <c r="N52" s="66">
        <f>N36*elasticities!$I$16</f>
        <v>0</v>
      </c>
      <c r="O52" s="66">
        <f>O36*elasticities!$I$16</f>
        <v>0</v>
      </c>
      <c r="P52" s="66">
        <f>P36*elasticities!$I$16</f>
        <v>0</v>
      </c>
      <c r="Q52" s="66">
        <f>Q36*elasticities!$I$16</f>
        <v>0</v>
      </c>
      <c r="R52" s="66">
        <f>R36*elasticities!$I$16</f>
        <v>-6.9999999999999993E-2</v>
      </c>
      <c r="S52" s="66">
        <f>S36*elasticities!$I$16</f>
        <v>-0.13999999999999999</v>
      </c>
      <c r="T52" s="66">
        <f>T36*elasticities!$I$16</f>
        <v>-0.21</v>
      </c>
      <c r="U52" s="66">
        <f>U36*elasticities!$I$16</f>
        <v>-0.27999999999999997</v>
      </c>
      <c r="V52" s="66">
        <f>V36*elasticities!$I$16</f>
        <v>-0.35</v>
      </c>
      <c r="W52" s="66">
        <f>W36*elasticities!$I$16</f>
        <v>-0.42</v>
      </c>
      <c r="X52" s="66">
        <f>X36*elasticities!$I$16</f>
        <v>-0.48999999999999994</v>
      </c>
      <c r="Y52" s="66">
        <f>Y36*elasticities!$I$16</f>
        <v>-0.55999999999999994</v>
      </c>
      <c r="Z52" s="66">
        <f>Z36*elasticities!$I$16</f>
        <v>-0.63</v>
      </c>
      <c r="AA52" s="66">
        <f>AA36*elasticities!$I$16</f>
        <v>-0.7</v>
      </c>
      <c r="AB52" s="66">
        <f>AB36*elasticities!$I$16</f>
        <v>-0.7</v>
      </c>
      <c r="AC52" s="66">
        <f>AC36*elasticities!$I$16</f>
        <v>-0.7</v>
      </c>
      <c r="AD52" s="66">
        <f>AD36*elasticities!$I$16</f>
        <v>-0.7</v>
      </c>
      <c r="AE52" s="66">
        <f>AE36*elasticities!$I$16</f>
        <v>-0.7</v>
      </c>
      <c r="AF52" s="66">
        <f>AF36*elasticities!$I$16</f>
        <v>-0.7</v>
      </c>
      <c r="AG52" s="66">
        <f>AG36*elasticities!$I$16</f>
        <v>-0.7</v>
      </c>
      <c r="AH52" s="66">
        <f>AH36*elasticities!$I$16</f>
        <v>-0.7</v>
      </c>
      <c r="AI52" s="66">
        <f>AI36*elasticities!$I$16</f>
        <v>-0.7</v>
      </c>
      <c r="AJ52" s="66">
        <f>AJ36*elasticities!$I$16</f>
        <v>-0.7</v>
      </c>
      <c r="AK52" s="66">
        <f>AK36*elasticities!$I$16</f>
        <v>-0.7</v>
      </c>
      <c r="AL52" s="66">
        <f>AL36*elasticities!$I$16</f>
        <v>-0.7</v>
      </c>
    </row>
    <row r="53" spans="1:38">
      <c r="A53" s="54" t="s">
        <v>240</v>
      </c>
      <c r="B53" s="54" t="s">
        <v>508</v>
      </c>
      <c r="C53" s="66"/>
      <c r="D53" s="66"/>
      <c r="E53" s="66"/>
      <c r="F53" s="66"/>
      <c r="G53" s="66"/>
      <c r="H53" s="66"/>
      <c r="I53" s="66"/>
      <c r="J53" s="66"/>
      <c r="K53" s="66"/>
      <c r="L53" s="66">
        <f>L37*elasticities!$I$18</f>
        <v>0</v>
      </c>
      <c r="M53" s="66">
        <f>M37*elasticities!$I$18</f>
        <v>0</v>
      </c>
      <c r="N53" s="66">
        <f>N37*elasticities!$I$18</f>
        <v>0</v>
      </c>
      <c r="O53" s="66">
        <f>O37*elasticities!$I$18</f>
        <v>0</v>
      </c>
      <c r="P53" s="66">
        <f>P37*elasticities!$I$18</f>
        <v>0</v>
      </c>
      <c r="Q53" s="66">
        <f>Q37*elasticities!$I$18</f>
        <v>0</v>
      </c>
      <c r="R53" s="66">
        <f>R37*elasticities!$I$18</f>
        <v>-1.4999999999999999E-2</v>
      </c>
      <c r="S53" s="66">
        <f>S37*elasticities!$I$18</f>
        <v>-0.03</v>
      </c>
      <c r="T53" s="66">
        <f>T37*elasticities!$I$18</f>
        <v>-4.4999999999999998E-2</v>
      </c>
      <c r="U53" s="66">
        <f>U37*elasticities!$I$18</f>
        <v>-0.06</v>
      </c>
      <c r="V53" s="66">
        <f>V37*elasticities!$I$18</f>
        <v>-7.4999999999999997E-2</v>
      </c>
      <c r="W53" s="66">
        <f>W37*elasticities!$I$18</f>
        <v>-0.09</v>
      </c>
      <c r="X53" s="66">
        <f>X37*elasticities!$I$18</f>
        <v>-0.105</v>
      </c>
      <c r="Y53" s="66">
        <f>Y37*elasticities!$I$18</f>
        <v>-0.12</v>
      </c>
      <c r="Z53" s="66">
        <f>Z37*elasticities!$I$18</f>
        <v>-0.13500000000000001</v>
      </c>
      <c r="AA53" s="66">
        <f>AA37*elasticities!$I$18</f>
        <v>-0.15</v>
      </c>
      <c r="AB53" s="66">
        <f>AB37*elasticities!$I$18</f>
        <v>-0.15</v>
      </c>
      <c r="AC53" s="66">
        <f>AC37*elasticities!$I$18</f>
        <v>-0.15</v>
      </c>
      <c r="AD53" s="66">
        <f>AD37*elasticities!$I$18</f>
        <v>-0.15</v>
      </c>
      <c r="AE53" s="66">
        <f>AE37*elasticities!$I$18</f>
        <v>-0.15</v>
      </c>
      <c r="AF53" s="66">
        <f>AF37*elasticities!$I$18</f>
        <v>-0.15</v>
      </c>
      <c r="AG53" s="66">
        <f>AG37*elasticities!$I$18</f>
        <v>-0.15</v>
      </c>
      <c r="AH53" s="66">
        <f>AH37*elasticities!$I$18</f>
        <v>-0.15</v>
      </c>
      <c r="AI53" s="66">
        <f>AI37*elasticities!$I$18</f>
        <v>-0.15</v>
      </c>
      <c r="AJ53" s="66">
        <f>AJ37*elasticities!$I$18</f>
        <v>-0.15</v>
      </c>
      <c r="AK53" s="66">
        <f>AK37*elasticities!$I$18</f>
        <v>-0.15</v>
      </c>
      <c r="AL53" s="66">
        <f>AL37*elasticities!$I$18</f>
        <v>-0.15</v>
      </c>
    </row>
    <row r="54" spans="1:38" s="614" customFormat="1">
      <c r="A54" s="54" t="s">
        <v>1233</v>
      </c>
      <c r="B54" s="54" t="s">
        <v>508</v>
      </c>
      <c r="C54" s="537"/>
      <c r="D54" s="537"/>
      <c r="E54" s="537"/>
      <c r="F54" s="537"/>
      <c r="G54" s="537"/>
      <c r="H54" s="537"/>
      <c r="I54" s="537"/>
      <c r="J54" s="537"/>
      <c r="K54" s="537"/>
      <c r="L54" s="537">
        <f>L38*elasticities!$I$18</f>
        <v>0</v>
      </c>
      <c r="M54" s="537">
        <f>M38*elasticities!$I$18</f>
        <v>0</v>
      </c>
      <c r="N54" s="537">
        <f>N38*elasticities!$I$18</f>
        <v>0</v>
      </c>
      <c r="O54" s="537">
        <f>O38*elasticities!$I$18</f>
        <v>0</v>
      </c>
      <c r="P54" s="537">
        <f>P38*elasticities!$I$19</f>
        <v>0</v>
      </c>
      <c r="Q54" s="537">
        <f>Q38*elasticities!$I$19</f>
        <v>0</v>
      </c>
      <c r="R54" s="537">
        <f>R38*elasticities!$I$19</f>
        <v>-5.6000000000000008E-2</v>
      </c>
      <c r="S54" s="537">
        <f>S38*elasticities!$I$19</f>
        <v>-0.11200000000000002</v>
      </c>
      <c r="T54" s="537">
        <f>T38*elasticities!$I$19</f>
        <v>-0.16800000000000001</v>
      </c>
      <c r="U54" s="537">
        <f>U38*elasticities!$I$19</f>
        <v>-0.22400000000000003</v>
      </c>
      <c r="V54" s="537">
        <f>V38*elasticities!$I$19</f>
        <v>-0.28000000000000003</v>
      </c>
      <c r="W54" s="537">
        <f>W38*elasticities!$I$19</f>
        <v>-0.28000000000000003</v>
      </c>
      <c r="X54" s="537">
        <f>X38*elasticities!$I$19</f>
        <v>-0.28000000000000003</v>
      </c>
      <c r="Y54" s="537">
        <f>Y38*elasticities!$I$19</f>
        <v>-0.28000000000000003</v>
      </c>
      <c r="Z54" s="537">
        <f>Z38*elasticities!$I$19</f>
        <v>-0.28000000000000003</v>
      </c>
      <c r="AA54" s="537">
        <f>AA38*elasticities!$I$19</f>
        <v>-0.28000000000000003</v>
      </c>
      <c r="AB54" s="537">
        <f>AB38*elasticities!$I$19</f>
        <v>-0.28000000000000003</v>
      </c>
      <c r="AC54" s="537">
        <f>AC38*elasticities!$I$19</f>
        <v>-0.28000000000000003</v>
      </c>
      <c r="AD54" s="537">
        <f>AD38*elasticities!$I$19</f>
        <v>-0.28000000000000003</v>
      </c>
      <c r="AE54" s="537">
        <f>AE38*elasticities!$I$19</f>
        <v>-0.28000000000000003</v>
      </c>
      <c r="AF54" s="537">
        <f>AF38*elasticities!$I$19</f>
        <v>-0.28000000000000003</v>
      </c>
      <c r="AG54" s="537">
        <f>AG38*elasticities!$I$19</f>
        <v>-0.28000000000000003</v>
      </c>
      <c r="AH54" s="537">
        <f>AH38*elasticities!$I$19</f>
        <v>-0.28000000000000003</v>
      </c>
      <c r="AI54" s="537">
        <f>AI38*elasticities!$I$19</f>
        <v>-0.28000000000000003</v>
      </c>
      <c r="AJ54" s="537">
        <f>AJ38*elasticities!$I$19</f>
        <v>-0.28000000000000003</v>
      </c>
      <c r="AK54" s="537">
        <f>AK38*elasticities!$I$19</f>
        <v>-0.28000000000000003</v>
      </c>
      <c r="AL54" s="537">
        <f>AL38*elasticities!$I$19</f>
        <v>-0.28000000000000003</v>
      </c>
    </row>
    <row r="55" spans="1:38">
      <c r="A55" s="54" t="s">
        <v>241</v>
      </c>
      <c r="B55" s="54" t="s">
        <v>508</v>
      </c>
      <c r="C55" s="66"/>
      <c r="D55" s="66"/>
      <c r="E55" s="66"/>
      <c r="F55" s="66"/>
      <c r="G55" s="66"/>
      <c r="H55" s="66"/>
      <c r="I55" s="66"/>
      <c r="J55" s="66"/>
      <c r="K55" s="66"/>
      <c r="L55" s="66">
        <f>L39*elasticities!$I$20</f>
        <v>0</v>
      </c>
      <c r="M55" s="66">
        <f>M39*elasticities!$I$20</f>
        <v>0</v>
      </c>
      <c r="N55" s="66">
        <f>N39*elasticities!$I$20</f>
        <v>0</v>
      </c>
      <c r="O55" s="66">
        <f>O39*elasticities!$I$20</f>
        <v>0</v>
      </c>
      <c r="P55" s="66">
        <f>P39*elasticities!$I$20</f>
        <v>0</v>
      </c>
      <c r="Q55" s="66">
        <f>Q39*elasticities!$I$20</f>
        <v>0</v>
      </c>
      <c r="R55" s="66">
        <f>R39*elasticities!$I$20</f>
        <v>-1.4000000000000002E-2</v>
      </c>
      <c r="S55" s="66">
        <f>S39*elasticities!$I$20</f>
        <v>-2.8000000000000004E-2</v>
      </c>
      <c r="T55" s="66">
        <f>T39*elasticities!$I$20</f>
        <v>-4.2000000000000003E-2</v>
      </c>
      <c r="U55" s="66">
        <f>U39*elasticities!$I$20</f>
        <v>-5.6000000000000008E-2</v>
      </c>
      <c r="V55" s="66">
        <f>V39*elasticities!$I$20</f>
        <v>-7.0000000000000007E-2</v>
      </c>
      <c r="W55" s="66">
        <f>W39*elasticities!$I$20</f>
        <v>-8.4000000000000005E-2</v>
      </c>
      <c r="X55" s="66">
        <f>X39*elasticities!$I$20</f>
        <v>-9.8000000000000004E-2</v>
      </c>
      <c r="Y55" s="66">
        <f>Y39*elasticities!$I$20</f>
        <v>-0.11200000000000002</v>
      </c>
      <c r="Z55" s="66">
        <f>Z39*elasticities!$I$20</f>
        <v>-0.12600000000000003</v>
      </c>
      <c r="AA55" s="66">
        <f>AA39*elasticities!$I$20</f>
        <v>-0.14000000000000001</v>
      </c>
      <c r="AB55" s="66">
        <f>AB39*elasticities!$I$20</f>
        <v>-0.14000000000000001</v>
      </c>
      <c r="AC55" s="66">
        <f>AC39*elasticities!$I$20</f>
        <v>-0.14000000000000001</v>
      </c>
      <c r="AD55" s="66">
        <f>AD39*elasticities!$I$20</f>
        <v>-0.14000000000000001</v>
      </c>
      <c r="AE55" s="66">
        <f>AE39*elasticities!$I$20</f>
        <v>-0.14000000000000001</v>
      </c>
      <c r="AF55" s="66">
        <f>AF39*elasticities!$I$20</f>
        <v>-0.14000000000000001</v>
      </c>
      <c r="AG55" s="66">
        <f>AG39*elasticities!$I$20</f>
        <v>-0.14000000000000001</v>
      </c>
      <c r="AH55" s="66">
        <f>AH39*elasticities!$I$20</f>
        <v>-0.14000000000000001</v>
      </c>
      <c r="AI55" s="66">
        <f>AI39*elasticities!$I$20</f>
        <v>-0.14000000000000001</v>
      </c>
      <c r="AJ55" s="66">
        <f>AJ39*elasticities!$I$20</f>
        <v>-0.14000000000000001</v>
      </c>
      <c r="AK55" s="66">
        <f>AK39*elasticities!$I$20</f>
        <v>-0.14000000000000001</v>
      </c>
      <c r="AL55" s="66">
        <f>AL39*elasticities!$I$20</f>
        <v>-0.14000000000000001</v>
      </c>
    </row>
    <row r="56" spans="1:38">
      <c r="A56" s="54" t="s">
        <v>235</v>
      </c>
      <c r="B56" s="54" t="s">
        <v>508</v>
      </c>
      <c r="C56" s="66"/>
      <c r="D56" s="66"/>
      <c r="E56" s="66"/>
      <c r="F56" s="66"/>
      <c r="G56" s="66"/>
      <c r="H56" s="66"/>
      <c r="I56" s="66"/>
      <c r="J56" s="66"/>
      <c r="K56" s="66"/>
      <c r="L56" s="66">
        <f>L40*elasticities!$I$22</f>
        <v>0</v>
      </c>
      <c r="M56" s="66">
        <f>M40*elasticities!$I$22</f>
        <v>0</v>
      </c>
      <c r="N56" s="66">
        <f>N40*elasticities!$I$22</f>
        <v>0</v>
      </c>
      <c r="O56" s="66">
        <f>O40*elasticities!$I$22</f>
        <v>0</v>
      </c>
      <c r="P56" s="66">
        <f>P40*elasticities!$I$22</f>
        <v>0</v>
      </c>
      <c r="Q56" s="66">
        <f>Q40*elasticities!$I$22</f>
        <v>0</v>
      </c>
      <c r="R56" s="66">
        <f>R40*elasticities!$I$22</f>
        <v>-3.3333333333333333E-2</v>
      </c>
      <c r="S56" s="66">
        <f>S40*elasticities!$I$22</f>
        <v>-6.6666666666666666E-2</v>
      </c>
      <c r="T56" s="66">
        <f>T40*elasticities!$I$22</f>
        <v>-0.1</v>
      </c>
      <c r="U56" s="66">
        <f>U40*elasticities!$I$22</f>
        <v>-0.13333333333333333</v>
      </c>
      <c r="V56" s="66">
        <f>V40*elasticities!$I$22</f>
        <v>-0.16666666666666666</v>
      </c>
      <c r="W56" s="66">
        <f>W40*elasticities!$I$22</f>
        <v>-0.2</v>
      </c>
      <c r="X56" s="66">
        <f>X40*elasticities!$I$22</f>
        <v>-0.23333333333333334</v>
      </c>
      <c r="Y56" s="66">
        <f>Y40*elasticities!$I$22</f>
        <v>-0.26666666666666666</v>
      </c>
      <c r="Z56" s="66">
        <f>Z40*elasticities!$I$22</f>
        <v>-0.3</v>
      </c>
      <c r="AA56" s="66">
        <f>AA40*elasticities!$I$22</f>
        <v>-0.33333333333333331</v>
      </c>
      <c r="AB56" s="66">
        <f>AB40*elasticities!$I$22</f>
        <v>-0.36666666666666664</v>
      </c>
      <c r="AC56" s="66">
        <f>AC40*elasticities!$I$22</f>
        <v>-0.4</v>
      </c>
      <c r="AD56" s="66">
        <f>AD40*elasticities!$I$22</f>
        <v>-0.43333333333333335</v>
      </c>
      <c r="AE56" s="66">
        <f>AE40*elasticities!$I$22</f>
        <v>-0.46666666666666667</v>
      </c>
      <c r="AF56" s="66">
        <f>AF40*elasticities!$I$22</f>
        <v>-0.5</v>
      </c>
      <c r="AG56" s="66">
        <f>AG40*elasticities!$I$22</f>
        <v>-0.5</v>
      </c>
      <c r="AH56" s="66">
        <f>AH40*elasticities!$I$22</f>
        <v>-0.5</v>
      </c>
      <c r="AI56" s="66">
        <f>AI40*elasticities!$I$22</f>
        <v>-0.5</v>
      </c>
      <c r="AJ56" s="66">
        <f>AJ40*elasticities!$I$22</f>
        <v>-0.5</v>
      </c>
      <c r="AK56" s="66">
        <f>AK40*elasticities!$I$22</f>
        <v>-0.5</v>
      </c>
      <c r="AL56" s="66">
        <f>AL40*elasticities!$I$22</f>
        <v>-0.5</v>
      </c>
    </row>
    <row r="57" spans="1:38">
      <c r="A57" s="54" t="s">
        <v>236</v>
      </c>
      <c r="B57" s="54" t="s">
        <v>508</v>
      </c>
      <c r="C57" s="66"/>
      <c r="D57" s="66"/>
      <c r="E57" s="66"/>
      <c r="F57" s="66"/>
      <c r="G57" s="66"/>
      <c r="H57" s="66"/>
      <c r="I57" s="66"/>
      <c r="J57" s="66"/>
      <c r="K57" s="66"/>
      <c r="L57" s="66">
        <f>L41*elasticities!$I$23</f>
        <v>0</v>
      </c>
      <c r="M57" s="66">
        <f>M41*elasticities!$I$23</f>
        <v>0</v>
      </c>
      <c r="N57" s="66">
        <f>N41*elasticities!$I$23</f>
        <v>0</v>
      </c>
      <c r="O57" s="66">
        <f>O41*elasticities!$I$23</f>
        <v>0</v>
      </c>
      <c r="P57" s="66">
        <f>P41*elasticities!$I$23</f>
        <v>0</v>
      </c>
      <c r="Q57" s="66">
        <f>Q41*elasticities!$I$23</f>
        <v>0</v>
      </c>
      <c r="R57" s="66">
        <f>R41*elasticities!$I$23</f>
        <v>-3.2000000000000001E-2</v>
      </c>
      <c r="S57" s="66">
        <f>S41*elasticities!$I$23</f>
        <v>-6.4000000000000001E-2</v>
      </c>
      <c r="T57" s="66">
        <f>T41*elasticities!$I$23</f>
        <v>-9.6000000000000002E-2</v>
      </c>
      <c r="U57" s="66">
        <f>U41*elasticities!$I$23</f>
        <v>-0.128</v>
      </c>
      <c r="V57" s="66">
        <f>V41*elasticities!$I$23</f>
        <v>-0.15999999999999998</v>
      </c>
      <c r="W57" s="66">
        <f>W41*elasticities!$I$23</f>
        <v>-0.192</v>
      </c>
      <c r="X57" s="66">
        <f>X41*elasticities!$I$23</f>
        <v>-0.224</v>
      </c>
      <c r="Y57" s="66">
        <f>Y41*elasticities!$I$23</f>
        <v>-0.25600000000000001</v>
      </c>
      <c r="Z57" s="66">
        <f>Z41*elasticities!$I$23</f>
        <v>-0.28799999999999998</v>
      </c>
      <c r="AA57" s="66">
        <f>AA41*elasticities!$I$23</f>
        <v>-0.31999999999999995</v>
      </c>
      <c r="AB57" s="66">
        <f>AB41*elasticities!$I$23</f>
        <v>-0.35199999999999998</v>
      </c>
      <c r="AC57" s="66">
        <f>AC41*elasticities!$I$23</f>
        <v>-0.38400000000000001</v>
      </c>
      <c r="AD57" s="66">
        <f>AD41*elasticities!$I$23</f>
        <v>-0.41599999999999998</v>
      </c>
      <c r="AE57" s="66">
        <f>AE41*elasticities!$I$23</f>
        <v>-0.44800000000000001</v>
      </c>
      <c r="AF57" s="66">
        <f>AF41*elasticities!$I$23</f>
        <v>-0.48</v>
      </c>
      <c r="AG57" s="66">
        <f>AG41*elasticities!$I$23</f>
        <v>-0.48</v>
      </c>
      <c r="AH57" s="66">
        <f>AH41*elasticities!$I$23</f>
        <v>-0.48</v>
      </c>
      <c r="AI57" s="66">
        <f>AI41*elasticities!$I$23</f>
        <v>-0.48</v>
      </c>
      <c r="AJ57" s="66">
        <f>AJ41*elasticities!$I$23</f>
        <v>-0.48</v>
      </c>
      <c r="AK57" s="66">
        <f>AK41*elasticities!$I$23</f>
        <v>-0.48</v>
      </c>
      <c r="AL57" s="66">
        <f>AL41*elasticities!$I$23</f>
        <v>-0.48</v>
      </c>
    </row>
    <row r="58" spans="1:38">
      <c r="A58" s="54" t="s">
        <v>237</v>
      </c>
      <c r="B58" s="54" t="s">
        <v>508</v>
      </c>
      <c r="C58" s="66"/>
      <c r="D58" s="66"/>
      <c r="E58" s="66"/>
      <c r="F58" s="66"/>
      <c r="G58" s="66"/>
      <c r="H58" s="66"/>
      <c r="I58" s="66"/>
      <c r="J58" s="66"/>
      <c r="K58" s="66"/>
      <c r="L58" s="66">
        <f>L42*elasticities!$I$24</f>
        <v>0</v>
      </c>
      <c r="M58" s="66">
        <f>M42*elasticities!$I$24</f>
        <v>0</v>
      </c>
      <c r="N58" s="66">
        <f>N42*elasticities!$I$24</f>
        <v>0</v>
      </c>
      <c r="O58" s="66">
        <f>O42*elasticities!$I$24</f>
        <v>0</v>
      </c>
      <c r="P58" s="66">
        <f>P42*elasticities!$I$24</f>
        <v>0</v>
      </c>
      <c r="Q58" s="66">
        <f>Q42*elasticities!$I$24</f>
        <v>0</v>
      </c>
      <c r="R58" s="66">
        <f>R42*elasticities!$I$24</f>
        <v>-2.8499999999999998E-2</v>
      </c>
      <c r="S58" s="66">
        <f>S42*elasticities!$I$24</f>
        <v>-5.6999999999999995E-2</v>
      </c>
      <c r="T58" s="66">
        <f>T42*elasticities!$I$24</f>
        <v>-8.5499999999999993E-2</v>
      </c>
      <c r="U58" s="66">
        <f>U42*elasticities!$I$24</f>
        <v>-0.11399999999999999</v>
      </c>
      <c r="V58" s="66">
        <f>V42*elasticities!$I$24</f>
        <v>-0.14249999999999999</v>
      </c>
      <c r="W58" s="66">
        <f>W42*elasticities!$I$24</f>
        <v>-0.17099999999999999</v>
      </c>
      <c r="X58" s="66">
        <f>X42*elasticities!$I$24</f>
        <v>-0.19949999999999998</v>
      </c>
      <c r="Y58" s="66">
        <f>Y42*elasticities!$I$24</f>
        <v>-0.22799999999999998</v>
      </c>
      <c r="Z58" s="66">
        <f>Z42*elasticities!$I$24</f>
        <v>-0.25650000000000001</v>
      </c>
      <c r="AA58" s="66">
        <f>AA42*elasticities!$I$24</f>
        <v>-0.28499999999999998</v>
      </c>
      <c r="AB58" s="66">
        <f>AB42*elasticities!$I$24</f>
        <v>-0.3135</v>
      </c>
      <c r="AC58" s="66">
        <f>AC42*elasticities!$I$24</f>
        <v>-0.34199999999999997</v>
      </c>
      <c r="AD58" s="66">
        <f>AD42*elasticities!$I$24</f>
        <v>-0.3705</v>
      </c>
      <c r="AE58" s="66">
        <f>AE42*elasticities!$I$24</f>
        <v>-0.39899999999999997</v>
      </c>
      <c r="AF58" s="66">
        <f>AF42*elasticities!$I$24</f>
        <v>-0.42749999999999999</v>
      </c>
      <c r="AG58" s="66">
        <f>AG42*elasticities!$I$24</f>
        <v>-0.45599999999999996</v>
      </c>
      <c r="AH58" s="66">
        <f>AH42*elasticities!$I$24</f>
        <v>-0.48449999999999993</v>
      </c>
      <c r="AI58" s="66">
        <f>AI42*elasticities!$I$24</f>
        <v>-0.51300000000000001</v>
      </c>
      <c r="AJ58" s="66">
        <f>AJ42*elasticities!$I$24</f>
        <v>-0.54149999999999998</v>
      </c>
      <c r="AK58" s="66">
        <f>AK42*elasticities!$I$24</f>
        <v>-0.56999999999999995</v>
      </c>
      <c r="AL58" s="66">
        <f>AL42*elasticities!$I$24</f>
        <v>-0.56999999999999995</v>
      </c>
    </row>
    <row r="59" spans="1:38" ht="3.95" customHeight="1">
      <c r="A59" s="54"/>
      <c r="B59" s="54"/>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row>
    <row r="60" spans="1:38" ht="14.25">
      <c r="A60" s="121" t="s">
        <v>519</v>
      </c>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row>
    <row r="61" spans="1:38" ht="3.95" customHeight="1">
      <c r="A61" s="54"/>
      <c r="B61" s="54"/>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row>
    <row r="62" spans="1:38">
      <c r="A62" s="137" t="s">
        <v>78</v>
      </c>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row>
    <row r="63" spans="1:38">
      <c r="A63" s="125" t="s">
        <v>513</v>
      </c>
      <c r="B63" s="54" t="s">
        <v>508</v>
      </c>
      <c r="C63" s="160"/>
      <c r="D63" s="160"/>
      <c r="E63" s="160"/>
      <c r="F63" s="160"/>
      <c r="G63" s="160"/>
      <c r="H63" s="160"/>
      <c r="I63" s="160"/>
      <c r="J63" s="160"/>
      <c r="K63" s="160"/>
      <c r="L63" s="160">
        <f>IF(Dashboard!$F35="o.k.",IF(L$6&lt;=Dashboard!$D35,MIN(1-Dashboard!$E35*(1-(Dashboard!$D35-L$6)/Dashboard!$C35),1),1-Dashboard!$E35),1)</f>
        <v>1</v>
      </c>
      <c r="M63" s="160">
        <f>IF(Dashboard!$F35="o.k.",IF(M$6&lt;=Dashboard!$D35,MIN(1-Dashboard!$E35*(1-(Dashboard!$D35-M$6)/Dashboard!$C35),1),1-Dashboard!$E35),1)</f>
        <v>1</v>
      </c>
      <c r="N63" s="160">
        <f>IF(Dashboard!$F35="o.k.",IF(N$6&lt;=Dashboard!$D35,MIN(1-Dashboard!$E35*(1-(Dashboard!$D35-N$6)/Dashboard!$C35),1),1-Dashboard!$E35),1)</f>
        <v>1</v>
      </c>
      <c r="O63" s="160">
        <f>IF(Dashboard!$F35="o.k.",IF(O$6&lt;=Dashboard!$D35,MIN(1-Dashboard!$E35*(1-(Dashboard!$D35-O$6)/Dashboard!$C35),1),1-Dashboard!$E35),1)</f>
        <v>1</v>
      </c>
      <c r="P63" s="160">
        <f>IF(Dashboard!$F35="o.k.",IF(P$6&lt;=Dashboard!$D35,MIN(1-Dashboard!$E35*(1-(Dashboard!$D35-P$6)/Dashboard!$C35),1),1-Dashboard!$E35),1)</f>
        <v>1</v>
      </c>
      <c r="Q63" s="160">
        <f>IF(Dashboard!$F35="o.k.",IF(Q$6&lt;=Dashboard!$D35,MIN(1-Dashboard!$E35*(1-(Dashboard!$D35-Q$6)/Dashboard!$C35),1),1-Dashboard!$E35),1)</f>
        <v>1</v>
      </c>
      <c r="R63" s="160">
        <f>IF(Dashboard!$F35="o.k.",IF(R$6&lt;=Dashboard!$D35,MIN(1-Dashboard!$E35*(1-(Dashboard!$D35-R$6)/Dashboard!$C35),1),1-Dashboard!$E35),1)</f>
        <v>1</v>
      </c>
      <c r="S63" s="160">
        <f>IF(Dashboard!$F35="o.k.",IF(S$6&lt;=Dashboard!$D35,MIN(1-Dashboard!$E35*(1-(Dashboard!$D35-S$6)/Dashboard!$C35),1),1-Dashboard!$E35),1)</f>
        <v>1</v>
      </c>
      <c r="T63" s="160">
        <f>IF(Dashboard!$F35="o.k.",IF(T$6&lt;=Dashboard!$D35,MIN(1-Dashboard!$E35*(1-(Dashboard!$D35-T$6)/Dashboard!$C35),1),1-Dashboard!$E35),1)</f>
        <v>1</v>
      </c>
      <c r="U63" s="160">
        <f>IF(Dashboard!$F35="o.k.",IF(U$6&lt;=Dashboard!$D35,MIN(1-Dashboard!$E35*(1-(Dashboard!$D35-U$6)/Dashboard!$C35),1),1-Dashboard!$E35),1)</f>
        <v>1</v>
      </c>
      <c r="V63" s="160">
        <f>IF(Dashboard!$F35="o.k.",IF(V$6&lt;=Dashboard!$D35,MIN(1-Dashboard!$E35*(1-(Dashboard!$D35-V$6)/Dashboard!$C35),1),1-Dashboard!$E35),1)</f>
        <v>1</v>
      </c>
      <c r="W63" s="160">
        <f>IF(Dashboard!$F35="o.k.",IF(W$6&lt;=Dashboard!$D35,MIN(1-Dashboard!$E35*(1-(Dashboard!$D35-W$6)/Dashboard!$C35),1),1-Dashboard!$E35),1)</f>
        <v>1</v>
      </c>
      <c r="X63" s="160">
        <f>IF(Dashboard!$F35="o.k.",IF(X$6&lt;=Dashboard!$D35,MIN(1-Dashboard!$E35*(1-(Dashboard!$D35-X$6)/Dashboard!$C35),1),1-Dashboard!$E35),1)</f>
        <v>1</v>
      </c>
      <c r="Y63" s="160">
        <f>IF(Dashboard!$F35="o.k.",IF(Y$6&lt;=Dashboard!$D35,MIN(1-Dashboard!$E35*(1-(Dashboard!$D35-Y$6)/Dashboard!$C35),1),1-Dashboard!$E35),1)</f>
        <v>1</v>
      </c>
      <c r="Z63" s="160">
        <f>IF(Dashboard!$F35="o.k.",IF(Z$6&lt;=Dashboard!$D35,MIN(1-Dashboard!$E35*(1-(Dashboard!$D35-Z$6)/Dashboard!$C35),1),1-Dashboard!$E35),1)</f>
        <v>1</v>
      </c>
      <c r="AA63" s="160">
        <f>IF(Dashboard!$F35="o.k.",IF(AA$6&lt;=Dashboard!$D35,MIN(1-Dashboard!$E35*(1-(Dashboard!$D35-AA$6)/Dashboard!$C35),1),1-Dashboard!$E35),1)</f>
        <v>1</v>
      </c>
      <c r="AB63" s="160">
        <f>IF(Dashboard!$F35="o.k.",IF(AB$6&lt;=Dashboard!$D35,MIN(1-Dashboard!$E35*(1-(Dashboard!$D35-AB$6)/Dashboard!$C35),1),1-Dashboard!$E35),1)</f>
        <v>1</v>
      </c>
      <c r="AC63" s="160">
        <f>IF(Dashboard!$F35="o.k.",IF(AC$6&lt;=Dashboard!$D35,MIN(1-Dashboard!$E35*(1-(Dashboard!$D35-AC$6)/Dashboard!$C35),1),1-Dashboard!$E35),1)</f>
        <v>1</v>
      </c>
      <c r="AD63" s="160">
        <f>IF(Dashboard!$F35="o.k.",IF(AD$6&lt;=Dashboard!$D35,MIN(1-Dashboard!$E35*(1-(Dashboard!$D35-AD$6)/Dashboard!$C35),1),1-Dashboard!$E35),1)</f>
        <v>1</v>
      </c>
      <c r="AE63" s="160">
        <f>IF(Dashboard!$F35="o.k.",IF(AE$6&lt;=Dashboard!$D35,MIN(1-Dashboard!$E35*(1-(Dashboard!$D35-AE$6)/Dashboard!$C35),1),1-Dashboard!$E35),1)</f>
        <v>1</v>
      </c>
      <c r="AF63" s="160">
        <f>IF(Dashboard!$F35="o.k.",IF(AF$6&lt;=Dashboard!$D35,MIN(1-Dashboard!$E35*(1-(Dashboard!$D35-AF$6)/Dashboard!$C35),1),1-Dashboard!$E35),1)</f>
        <v>1</v>
      </c>
      <c r="AG63" s="160">
        <f>IF(Dashboard!$F35="o.k.",IF(AG$6&lt;=Dashboard!$D35,MIN(1-Dashboard!$E35*(1-(Dashboard!$D35-AG$6)/Dashboard!$C35),1),1-Dashboard!$E35),1)</f>
        <v>1</v>
      </c>
      <c r="AH63" s="160">
        <f>IF(Dashboard!$F35="o.k.",IF(AH$6&lt;=Dashboard!$D35,MIN(1-Dashboard!$E35*(1-(Dashboard!$D35-AH$6)/Dashboard!$C35),1),1-Dashboard!$E35),1)</f>
        <v>1</v>
      </c>
      <c r="AI63" s="160">
        <f>IF(Dashboard!$F35="o.k.",IF(AI$6&lt;=Dashboard!$D35,MIN(1-Dashboard!$E35*(1-(Dashboard!$D35-AI$6)/Dashboard!$C35),1),1-Dashboard!$E35),1)</f>
        <v>1</v>
      </c>
      <c r="AJ63" s="160">
        <f>IF(Dashboard!$F35="o.k.",IF(AJ$6&lt;=Dashboard!$D35,MIN(1-Dashboard!$E35*(1-(Dashboard!$D35-AJ$6)/Dashboard!$C35),1),1-Dashboard!$E35),1)</f>
        <v>1</v>
      </c>
      <c r="AK63" s="160">
        <f>IF(Dashboard!$F35="o.k.",IF(AK$6&lt;=Dashboard!$D35,MIN(1-Dashboard!$E35*(1-(Dashboard!$D35-AK$6)/Dashboard!$C35),1),1-Dashboard!$E35),1)</f>
        <v>1</v>
      </c>
      <c r="AL63" s="160">
        <f>IF(Dashboard!$F35="o.k.",IF(AL$6&lt;=Dashboard!$D35,MIN(1-Dashboard!$E35*(1-(Dashboard!$D35-AL$6)/Dashboard!$C35),1),1-Dashboard!$E35),1)</f>
        <v>1</v>
      </c>
    </row>
    <row r="64" spans="1:38">
      <c r="A64" s="125" t="s">
        <v>463</v>
      </c>
      <c r="B64" s="54" t="s">
        <v>508</v>
      </c>
      <c r="C64" s="160"/>
      <c r="D64" s="160"/>
      <c r="E64" s="160"/>
      <c r="F64" s="160"/>
      <c r="G64" s="160"/>
      <c r="H64" s="160"/>
      <c r="I64" s="160"/>
      <c r="J64" s="160"/>
      <c r="K64" s="160"/>
      <c r="L64" s="160">
        <f>IF(Dashboard!$F36="o.k.",IF(L$6&lt;=Dashboard!$D36,MIN(1-Dashboard!$E36*(1-(Dashboard!$D36-L$6)/Dashboard!$C36),1),1-Dashboard!$E36),1)</f>
        <v>1</v>
      </c>
      <c r="M64" s="160">
        <f>IF(Dashboard!$F36="o.k.",IF(M$6&lt;=Dashboard!$D36,MIN(1-Dashboard!$E36*(1-(Dashboard!$D36-M$6)/Dashboard!$C36),1),1-Dashboard!$E36),1)</f>
        <v>1</v>
      </c>
      <c r="N64" s="160">
        <f>IF(Dashboard!$F36="o.k.",IF(N$6&lt;=Dashboard!$D36,MIN(1-Dashboard!$E36*(1-(Dashboard!$D36-N$6)/Dashboard!$C36),1),1-Dashboard!$E36),1)</f>
        <v>1</v>
      </c>
      <c r="O64" s="160">
        <f>IF(Dashboard!$F36="o.k.",IF(O$6&lt;=Dashboard!$D36,MIN(1-Dashboard!$E36*(1-(Dashboard!$D36-O$6)/Dashboard!$C36),1),1-Dashboard!$E36),1)</f>
        <v>1</v>
      </c>
      <c r="P64" s="160">
        <f>IF(Dashboard!$F36="o.k.",IF(P$6&lt;=Dashboard!$D36,MIN(1-Dashboard!$E36*(1-(Dashboard!$D36-P$6)/Dashboard!$C36),1),1-Dashboard!$E36),1)</f>
        <v>1</v>
      </c>
      <c r="Q64" s="160">
        <f>IF(Dashboard!$F36="o.k.",IF(Q$6&lt;=Dashboard!$D36,MIN(1-Dashboard!$E36*(1-(Dashboard!$D36-Q$6)/Dashboard!$C36),1),1-Dashboard!$E36),1)</f>
        <v>1</v>
      </c>
      <c r="R64" s="160">
        <f>IF(Dashboard!$F36="o.k.",IF(R$6&lt;=Dashboard!$D36,MIN(1-Dashboard!$E36*(1-(Dashboard!$D36-R$6)/Dashboard!$C36),1),1-Dashboard!$E36),1)</f>
        <v>1</v>
      </c>
      <c r="S64" s="160">
        <f>IF(Dashboard!$F36="o.k.",IF(S$6&lt;=Dashboard!$D36,MIN(1-Dashboard!$E36*(1-(Dashboard!$D36-S$6)/Dashboard!$C36),1),1-Dashboard!$E36),1)</f>
        <v>1</v>
      </c>
      <c r="T64" s="160">
        <f>IF(Dashboard!$F36="o.k.",IF(T$6&lt;=Dashboard!$D36,MIN(1-Dashboard!$E36*(1-(Dashboard!$D36-T$6)/Dashboard!$C36),1),1-Dashboard!$E36),1)</f>
        <v>1</v>
      </c>
      <c r="U64" s="160">
        <f>IF(Dashboard!$F36="o.k.",IF(U$6&lt;=Dashboard!$D36,MIN(1-Dashboard!$E36*(1-(Dashboard!$D36-U$6)/Dashboard!$C36),1),1-Dashboard!$E36),1)</f>
        <v>1</v>
      </c>
      <c r="V64" s="160">
        <f>IF(Dashboard!$F36="o.k.",IF(V$6&lt;=Dashboard!$D36,MIN(1-Dashboard!$E36*(1-(Dashboard!$D36-V$6)/Dashboard!$C36),1),1-Dashboard!$E36),1)</f>
        <v>1</v>
      </c>
      <c r="W64" s="160">
        <f>IF(Dashboard!$F36="o.k.",IF(W$6&lt;=Dashboard!$D36,MIN(1-Dashboard!$E36*(1-(Dashboard!$D36-W$6)/Dashboard!$C36),1),1-Dashboard!$E36),1)</f>
        <v>1</v>
      </c>
      <c r="X64" s="160">
        <f>IF(Dashboard!$F36="o.k.",IF(X$6&lt;=Dashboard!$D36,MIN(1-Dashboard!$E36*(1-(Dashboard!$D36-X$6)/Dashboard!$C36),1),1-Dashboard!$E36),1)</f>
        <v>1</v>
      </c>
      <c r="Y64" s="160">
        <f>IF(Dashboard!$F36="o.k.",IF(Y$6&lt;=Dashboard!$D36,MIN(1-Dashboard!$E36*(1-(Dashboard!$D36-Y$6)/Dashboard!$C36),1),1-Dashboard!$E36),1)</f>
        <v>1</v>
      </c>
      <c r="Z64" s="160">
        <f>IF(Dashboard!$F36="o.k.",IF(Z$6&lt;=Dashboard!$D36,MIN(1-Dashboard!$E36*(1-(Dashboard!$D36-Z$6)/Dashboard!$C36),1),1-Dashboard!$E36),1)</f>
        <v>1</v>
      </c>
      <c r="AA64" s="160">
        <f>IF(Dashboard!$F36="o.k.",IF(AA$6&lt;=Dashboard!$D36,MIN(1-Dashboard!$E36*(1-(Dashboard!$D36-AA$6)/Dashboard!$C36),1),1-Dashboard!$E36),1)</f>
        <v>1</v>
      </c>
      <c r="AB64" s="160">
        <f>IF(Dashboard!$F36="o.k.",IF(AB$6&lt;=Dashboard!$D36,MIN(1-Dashboard!$E36*(1-(Dashboard!$D36-AB$6)/Dashboard!$C36),1),1-Dashboard!$E36),1)</f>
        <v>1</v>
      </c>
      <c r="AC64" s="160">
        <f>IF(Dashboard!$F36="o.k.",IF(AC$6&lt;=Dashboard!$D36,MIN(1-Dashboard!$E36*(1-(Dashboard!$D36-AC$6)/Dashboard!$C36),1),1-Dashboard!$E36),1)</f>
        <v>1</v>
      </c>
      <c r="AD64" s="160">
        <f>IF(Dashboard!$F36="o.k.",IF(AD$6&lt;=Dashboard!$D36,MIN(1-Dashboard!$E36*(1-(Dashboard!$D36-AD$6)/Dashboard!$C36),1),1-Dashboard!$E36),1)</f>
        <v>1</v>
      </c>
      <c r="AE64" s="160">
        <f>IF(Dashboard!$F36="o.k.",IF(AE$6&lt;=Dashboard!$D36,MIN(1-Dashboard!$E36*(1-(Dashboard!$D36-AE$6)/Dashboard!$C36),1),1-Dashboard!$E36),1)</f>
        <v>1</v>
      </c>
      <c r="AF64" s="160">
        <f>IF(Dashboard!$F36="o.k.",IF(AF$6&lt;=Dashboard!$D36,MIN(1-Dashboard!$E36*(1-(Dashboard!$D36-AF$6)/Dashboard!$C36),1),1-Dashboard!$E36),1)</f>
        <v>1</v>
      </c>
      <c r="AG64" s="160">
        <f>IF(Dashboard!$F36="o.k.",IF(AG$6&lt;=Dashboard!$D36,MIN(1-Dashboard!$E36*(1-(Dashboard!$D36-AG$6)/Dashboard!$C36),1),1-Dashboard!$E36),1)</f>
        <v>1</v>
      </c>
      <c r="AH64" s="160">
        <f>IF(Dashboard!$F36="o.k.",IF(AH$6&lt;=Dashboard!$D36,MIN(1-Dashboard!$E36*(1-(Dashboard!$D36-AH$6)/Dashboard!$C36),1),1-Dashboard!$E36),1)</f>
        <v>1</v>
      </c>
      <c r="AI64" s="160">
        <f>IF(Dashboard!$F36="o.k.",IF(AI$6&lt;=Dashboard!$D36,MIN(1-Dashboard!$E36*(1-(Dashboard!$D36-AI$6)/Dashboard!$C36),1),1-Dashboard!$E36),1)</f>
        <v>1</v>
      </c>
      <c r="AJ64" s="160">
        <f>IF(Dashboard!$F36="o.k.",IF(AJ$6&lt;=Dashboard!$D36,MIN(1-Dashboard!$E36*(1-(Dashboard!$D36-AJ$6)/Dashboard!$C36),1),1-Dashboard!$E36),1)</f>
        <v>1</v>
      </c>
      <c r="AK64" s="160">
        <f>IF(Dashboard!$F36="o.k.",IF(AK$6&lt;=Dashboard!$D36,MIN(1-Dashboard!$E36*(1-(Dashboard!$D36-AK$6)/Dashboard!$C36),1),1-Dashboard!$E36),1)</f>
        <v>1</v>
      </c>
      <c r="AL64" s="160">
        <f>IF(Dashboard!$F36="o.k.",IF(AL$6&lt;=Dashboard!$D36,MIN(1-Dashboard!$E36*(1-(Dashboard!$D36-AL$6)/Dashboard!$C36),1),1-Dashboard!$E36),1)</f>
        <v>1</v>
      </c>
    </row>
    <row r="65" spans="1:38">
      <c r="A65" s="137" t="s">
        <v>79</v>
      </c>
      <c r="B65" s="54"/>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row>
    <row r="66" spans="1:38">
      <c r="A66" s="125" t="s">
        <v>513</v>
      </c>
      <c r="B66" s="54" t="s">
        <v>508</v>
      </c>
      <c r="C66" s="160"/>
      <c r="D66" s="160"/>
      <c r="E66" s="160"/>
      <c r="F66" s="160"/>
      <c r="G66" s="160"/>
      <c r="H66" s="160"/>
      <c r="I66" s="160"/>
      <c r="J66" s="160"/>
      <c r="K66" s="160"/>
      <c r="L66" s="160">
        <f>IF(Dashboard!$F38="o.k.",IF(L$6&lt;=Dashboard!$D38,MIN(1-Dashboard!$E38*(1-(Dashboard!$D38-L$6)/Dashboard!$C38),1),1-Dashboard!$E38),1)</f>
        <v>1</v>
      </c>
      <c r="M66" s="160">
        <f>IF(Dashboard!$F38="o.k.",IF(M$6&lt;=Dashboard!$D38,MIN(1-Dashboard!$E38*(1-(Dashboard!$D38-M$6)/Dashboard!$C38),1),1-Dashboard!$E38),1)</f>
        <v>1</v>
      </c>
      <c r="N66" s="160">
        <f>IF(Dashboard!$F38="o.k.",IF(N$6&lt;=Dashboard!$D38,MIN(1-Dashboard!$E38*(1-(Dashboard!$D38-N$6)/Dashboard!$C38),1),1-Dashboard!$E38),1)</f>
        <v>1</v>
      </c>
      <c r="O66" s="160">
        <f>IF(Dashboard!$F38="o.k.",IF(O$6&lt;=Dashboard!$D38,MIN(1-Dashboard!$E38*(1-(Dashboard!$D38-O$6)/Dashboard!$C38),1),1-Dashboard!$E38),1)</f>
        <v>1</v>
      </c>
      <c r="P66" s="160">
        <f>IF(Dashboard!$F38="o.k.",IF(P$6&lt;=Dashboard!$D38,MIN(1-Dashboard!$E38*(1-(Dashboard!$D38-P$6)/Dashboard!$C38),1),1-Dashboard!$E38),1)</f>
        <v>1</v>
      </c>
      <c r="Q66" s="160">
        <f>IF(Dashboard!$F38="o.k.",IF(Q$6&lt;=Dashboard!$D38,MIN(1-Dashboard!$E38*(1-(Dashboard!$D38-Q$6)/Dashboard!$C38),1),1-Dashboard!$E38),1)</f>
        <v>1</v>
      </c>
      <c r="R66" s="160">
        <f>IF(Dashboard!$F38="o.k.",IF(R$6&lt;=Dashboard!$D38,MIN(1-Dashboard!$E38*(1-(Dashboard!$D38-R$6)/Dashboard!$C38),1),1-Dashboard!$E38),1)</f>
        <v>1</v>
      </c>
      <c r="S66" s="160">
        <f>IF(Dashboard!$F38="o.k.",IF(S$6&lt;=Dashboard!$D38,MIN(1-Dashboard!$E38*(1-(Dashboard!$D38-S$6)/Dashboard!$C38),1),1-Dashboard!$E38),1)</f>
        <v>1</v>
      </c>
      <c r="T66" s="160">
        <f>IF(Dashboard!$F38="o.k.",IF(T$6&lt;=Dashboard!$D38,MIN(1-Dashboard!$E38*(1-(Dashboard!$D38-T$6)/Dashboard!$C38),1),1-Dashboard!$E38),1)</f>
        <v>1</v>
      </c>
      <c r="U66" s="160">
        <f>IF(Dashboard!$F38="o.k.",IF(U$6&lt;=Dashboard!$D38,MIN(1-Dashboard!$E38*(1-(Dashboard!$D38-U$6)/Dashboard!$C38),1),1-Dashboard!$E38),1)</f>
        <v>1</v>
      </c>
      <c r="V66" s="160">
        <f>IF(Dashboard!$F38="o.k.",IF(V$6&lt;=Dashboard!$D38,MIN(1-Dashboard!$E38*(1-(Dashboard!$D38-V$6)/Dashboard!$C38),1),1-Dashboard!$E38),1)</f>
        <v>1</v>
      </c>
      <c r="W66" s="160">
        <f>IF(Dashboard!$F38="o.k.",IF(W$6&lt;=Dashboard!$D38,MIN(1-Dashboard!$E38*(1-(Dashboard!$D38-W$6)/Dashboard!$C38),1),1-Dashboard!$E38),1)</f>
        <v>1</v>
      </c>
      <c r="X66" s="160">
        <f>IF(Dashboard!$F38="o.k.",IF(X$6&lt;=Dashboard!$D38,MIN(1-Dashboard!$E38*(1-(Dashboard!$D38-X$6)/Dashboard!$C38),1),1-Dashboard!$E38),1)</f>
        <v>1</v>
      </c>
      <c r="Y66" s="160">
        <f>IF(Dashboard!$F38="o.k.",IF(Y$6&lt;=Dashboard!$D38,MIN(1-Dashboard!$E38*(1-(Dashboard!$D38-Y$6)/Dashboard!$C38),1),1-Dashboard!$E38),1)</f>
        <v>1</v>
      </c>
      <c r="Z66" s="160">
        <f>IF(Dashboard!$F38="o.k.",IF(Z$6&lt;=Dashboard!$D38,MIN(1-Dashboard!$E38*(1-(Dashboard!$D38-Z$6)/Dashboard!$C38),1),1-Dashboard!$E38),1)</f>
        <v>1</v>
      </c>
      <c r="AA66" s="160">
        <f>IF(Dashboard!$F38="o.k.",IF(AA$6&lt;=Dashboard!$D38,MIN(1-Dashboard!$E38*(1-(Dashboard!$D38-AA$6)/Dashboard!$C38),1),1-Dashboard!$E38),1)</f>
        <v>1</v>
      </c>
      <c r="AB66" s="160">
        <f>IF(Dashboard!$F38="o.k.",IF(AB$6&lt;=Dashboard!$D38,MIN(1-Dashboard!$E38*(1-(Dashboard!$D38-AB$6)/Dashboard!$C38),1),1-Dashboard!$E38),1)</f>
        <v>1</v>
      </c>
      <c r="AC66" s="160">
        <f>IF(Dashboard!$F38="o.k.",IF(AC$6&lt;=Dashboard!$D38,MIN(1-Dashboard!$E38*(1-(Dashboard!$D38-AC$6)/Dashboard!$C38),1),1-Dashboard!$E38),1)</f>
        <v>1</v>
      </c>
      <c r="AD66" s="160">
        <f>IF(Dashboard!$F38="o.k.",IF(AD$6&lt;=Dashboard!$D38,MIN(1-Dashboard!$E38*(1-(Dashboard!$D38-AD$6)/Dashboard!$C38),1),1-Dashboard!$E38),1)</f>
        <v>1</v>
      </c>
      <c r="AE66" s="160">
        <f>IF(Dashboard!$F38="o.k.",IF(AE$6&lt;=Dashboard!$D38,MIN(1-Dashboard!$E38*(1-(Dashboard!$D38-AE$6)/Dashboard!$C38),1),1-Dashboard!$E38),1)</f>
        <v>1</v>
      </c>
      <c r="AF66" s="160">
        <f>IF(Dashboard!$F38="o.k.",IF(AF$6&lt;=Dashboard!$D38,MIN(1-Dashboard!$E38*(1-(Dashboard!$D38-AF$6)/Dashboard!$C38),1),1-Dashboard!$E38),1)</f>
        <v>1</v>
      </c>
      <c r="AG66" s="160">
        <f>IF(Dashboard!$F38="o.k.",IF(AG$6&lt;=Dashboard!$D38,MIN(1-Dashboard!$E38*(1-(Dashboard!$D38-AG$6)/Dashboard!$C38),1),1-Dashboard!$E38),1)</f>
        <v>1</v>
      </c>
      <c r="AH66" s="160">
        <f>IF(Dashboard!$F38="o.k.",IF(AH$6&lt;=Dashboard!$D38,MIN(1-Dashboard!$E38*(1-(Dashboard!$D38-AH$6)/Dashboard!$C38),1),1-Dashboard!$E38),1)</f>
        <v>1</v>
      </c>
      <c r="AI66" s="160">
        <f>IF(Dashboard!$F38="o.k.",IF(AI$6&lt;=Dashboard!$D38,MIN(1-Dashboard!$E38*(1-(Dashboard!$D38-AI$6)/Dashboard!$C38),1),1-Dashboard!$E38),1)</f>
        <v>1</v>
      </c>
      <c r="AJ66" s="160">
        <f>IF(Dashboard!$F38="o.k.",IF(AJ$6&lt;=Dashboard!$D38,MIN(1-Dashboard!$E38*(1-(Dashboard!$D38-AJ$6)/Dashboard!$C38),1),1-Dashboard!$E38),1)</f>
        <v>1</v>
      </c>
      <c r="AK66" s="160">
        <f>IF(Dashboard!$F38="o.k.",IF(AK$6&lt;=Dashboard!$D38,MIN(1-Dashboard!$E38*(1-(Dashboard!$D38-AK$6)/Dashboard!$C38),1),1-Dashboard!$E38),1)</f>
        <v>1</v>
      </c>
      <c r="AL66" s="160">
        <f>IF(Dashboard!$F38="o.k.",IF(AL$6&lt;=Dashboard!$D38,MIN(1-Dashboard!$E38*(1-(Dashboard!$D38-AL$6)/Dashboard!$C38),1),1-Dashboard!$E38),1)</f>
        <v>1</v>
      </c>
    </row>
    <row r="67" spans="1:38">
      <c r="A67" s="125" t="s">
        <v>463</v>
      </c>
      <c r="B67" s="54" t="s">
        <v>508</v>
      </c>
      <c r="C67" s="160"/>
      <c r="D67" s="160"/>
      <c r="E67" s="160"/>
      <c r="F67" s="160"/>
      <c r="G67" s="160"/>
      <c r="H67" s="160"/>
      <c r="I67" s="160"/>
      <c r="J67" s="160"/>
      <c r="K67" s="160"/>
      <c r="L67" s="160">
        <f>IF(Dashboard!$F39="o.k.",IF(L$6&lt;=Dashboard!$D39,MIN(1-Dashboard!$E39*(1-(Dashboard!$D39-L$6)/Dashboard!$C39),1),1-Dashboard!$E39),1)</f>
        <v>1</v>
      </c>
      <c r="M67" s="160">
        <f>IF(Dashboard!$F39="o.k.",IF(M$6&lt;=Dashboard!$D39,MIN(1-Dashboard!$E39*(1-(Dashboard!$D39-M$6)/Dashboard!$C39),1),1-Dashboard!$E39),1)</f>
        <v>1</v>
      </c>
      <c r="N67" s="160">
        <f>IF(Dashboard!$F39="o.k.",IF(N$6&lt;=Dashboard!$D39,MIN(1-Dashboard!$E39*(1-(Dashboard!$D39-N$6)/Dashboard!$C39),1),1-Dashboard!$E39),1)</f>
        <v>1</v>
      </c>
      <c r="O67" s="160">
        <f>IF(Dashboard!$F39="o.k.",IF(O$6&lt;=Dashboard!$D39,MIN(1-Dashboard!$E39*(1-(Dashboard!$D39-O$6)/Dashboard!$C39),1),1-Dashboard!$E39),1)</f>
        <v>1</v>
      </c>
      <c r="P67" s="160">
        <f>IF(Dashboard!$F39="o.k.",IF(P$6&lt;=Dashboard!$D39,MIN(1-Dashboard!$E39*(1-(Dashboard!$D39-P$6)/Dashboard!$C39),1),1-Dashboard!$E39),1)</f>
        <v>1</v>
      </c>
      <c r="Q67" s="160">
        <f>IF(Dashboard!$F39="o.k.",IF(Q$6&lt;=Dashboard!$D39,MIN(1-Dashboard!$E39*(1-(Dashboard!$D39-Q$6)/Dashboard!$C39),1),1-Dashboard!$E39),1)</f>
        <v>1</v>
      </c>
      <c r="R67" s="160">
        <f>IF(Dashboard!$F39="o.k.",IF(R$6&lt;=Dashboard!$D39,MIN(1-Dashboard!$E39*(1-(Dashboard!$D39-R$6)/Dashboard!$C39),1),1-Dashboard!$E39),1)</f>
        <v>1</v>
      </c>
      <c r="S67" s="160">
        <f>IF(Dashboard!$F39="o.k.",IF(S$6&lt;=Dashboard!$D39,MIN(1-Dashboard!$E39*(1-(Dashboard!$D39-S$6)/Dashboard!$C39),1),1-Dashboard!$E39),1)</f>
        <v>1</v>
      </c>
      <c r="T67" s="160">
        <f>IF(Dashboard!$F39="o.k.",IF(T$6&lt;=Dashboard!$D39,MIN(1-Dashboard!$E39*(1-(Dashboard!$D39-T$6)/Dashboard!$C39),1),1-Dashboard!$E39),1)</f>
        <v>1</v>
      </c>
      <c r="U67" s="160">
        <f>IF(Dashboard!$F39="o.k.",IF(U$6&lt;=Dashboard!$D39,MIN(1-Dashboard!$E39*(1-(Dashboard!$D39-U$6)/Dashboard!$C39),1),1-Dashboard!$E39),1)</f>
        <v>1</v>
      </c>
      <c r="V67" s="160">
        <f>IF(Dashboard!$F39="o.k.",IF(V$6&lt;=Dashboard!$D39,MIN(1-Dashboard!$E39*(1-(Dashboard!$D39-V$6)/Dashboard!$C39),1),1-Dashboard!$E39),1)</f>
        <v>1</v>
      </c>
      <c r="W67" s="160">
        <f>IF(Dashboard!$F39="o.k.",IF(W$6&lt;=Dashboard!$D39,MIN(1-Dashboard!$E39*(1-(Dashboard!$D39-W$6)/Dashboard!$C39),1),1-Dashboard!$E39),1)</f>
        <v>1</v>
      </c>
      <c r="X67" s="160">
        <f>IF(Dashboard!$F39="o.k.",IF(X$6&lt;=Dashboard!$D39,MIN(1-Dashboard!$E39*(1-(Dashboard!$D39-X$6)/Dashboard!$C39),1),1-Dashboard!$E39),1)</f>
        <v>1</v>
      </c>
      <c r="Y67" s="160">
        <f>IF(Dashboard!$F39="o.k.",IF(Y$6&lt;=Dashboard!$D39,MIN(1-Dashboard!$E39*(1-(Dashboard!$D39-Y$6)/Dashboard!$C39),1),1-Dashboard!$E39),1)</f>
        <v>1</v>
      </c>
      <c r="Z67" s="160">
        <f>IF(Dashboard!$F39="o.k.",IF(Z$6&lt;=Dashboard!$D39,MIN(1-Dashboard!$E39*(1-(Dashboard!$D39-Z$6)/Dashboard!$C39),1),1-Dashboard!$E39),1)</f>
        <v>1</v>
      </c>
      <c r="AA67" s="160">
        <f>IF(Dashboard!$F39="o.k.",IF(AA$6&lt;=Dashboard!$D39,MIN(1-Dashboard!$E39*(1-(Dashboard!$D39-AA$6)/Dashboard!$C39),1),1-Dashboard!$E39),1)</f>
        <v>1</v>
      </c>
      <c r="AB67" s="160">
        <f>IF(Dashboard!$F39="o.k.",IF(AB$6&lt;=Dashboard!$D39,MIN(1-Dashboard!$E39*(1-(Dashboard!$D39-AB$6)/Dashboard!$C39),1),1-Dashboard!$E39),1)</f>
        <v>1</v>
      </c>
      <c r="AC67" s="160">
        <f>IF(Dashboard!$F39="o.k.",IF(AC$6&lt;=Dashboard!$D39,MIN(1-Dashboard!$E39*(1-(Dashboard!$D39-AC$6)/Dashboard!$C39),1),1-Dashboard!$E39),1)</f>
        <v>1</v>
      </c>
      <c r="AD67" s="160">
        <f>IF(Dashboard!$F39="o.k.",IF(AD$6&lt;=Dashboard!$D39,MIN(1-Dashboard!$E39*(1-(Dashboard!$D39-AD$6)/Dashboard!$C39),1),1-Dashboard!$E39),1)</f>
        <v>1</v>
      </c>
      <c r="AE67" s="160">
        <f>IF(Dashboard!$F39="o.k.",IF(AE$6&lt;=Dashboard!$D39,MIN(1-Dashboard!$E39*(1-(Dashboard!$D39-AE$6)/Dashboard!$C39),1),1-Dashboard!$E39),1)</f>
        <v>1</v>
      </c>
      <c r="AF67" s="160">
        <f>IF(Dashboard!$F39="o.k.",IF(AF$6&lt;=Dashboard!$D39,MIN(1-Dashboard!$E39*(1-(Dashboard!$D39-AF$6)/Dashboard!$C39),1),1-Dashboard!$E39),1)</f>
        <v>1</v>
      </c>
      <c r="AG67" s="160">
        <f>IF(Dashboard!$F39="o.k.",IF(AG$6&lt;=Dashboard!$D39,MIN(1-Dashboard!$E39*(1-(Dashboard!$D39-AG$6)/Dashboard!$C39),1),1-Dashboard!$E39),1)</f>
        <v>1</v>
      </c>
      <c r="AH67" s="160">
        <f>IF(Dashboard!$F39="o.k.",IF(AH$6&lt;=Dashboard!$D39,MIN(1-Dashboard!$E39*(1-(Dashboard!$D39-AH$6)/Dashboard!$C39),1),1-Dashboard!$E39),1)</f>
        <v>1</v>
      </c>
      <c r="AI67" s="160">
        <f>IF(Dashboard!$F39="o.k.",IF(AI$6&lt;=Dashboard!$D39,MIN(1-Dashboard!$E39*(1-(Dashboard!$D39-AI$6)/Dashboard!$C39),1),1-Dashboard!$E39),1)</f>
        <v>1</v>
      </c>
      <c r="AJ67" s="160">
        <f>IF(Dashboard!$F39="o.k.",IF(AJ$6&lt;=Dashboard!$D39,MIN(1-Dashboard!$E39*(1-(Dashboard!$D39-AJ$6)/Dashboard!$C39),1),1-Dashboard!$E39),1)</f>
        <v>1</v>
      </c>
      <c r="AK67" s="160">
        <f>IF(Dashboard!$F39="o.k.",IF(AK$6&lt;=Dashboard!$D39,MIN(1-Dashboard!$E39*(1-(Dashboard!$D39-AK$6)/Dashboard!$C39),1),1-Dashboard!$E39),1)</f>
        <v>1</v>
      </c>
      <c r="AL67" s="160">
        <f>IF(Dashboard!$F39="o.k.",IF(AL$6&lt;=Dashboard!$D39,MIN(1-Dashboard!$E39*(1-(Dashboard!$D39-AL$6)/Dashboard!$C39),1),1-Dashboard!$E39),1)</f>
        <v>1</v>
      </c>
    </row>
    <row r="68" spans="1:38">
      <c r="A68" s="137" t="s">
        <v>80</v>
      </c>
      <c r="B68" s="54"/>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row>
    <row r="69" spans="1:38">
      <c r="A69" s="125" t="s">
        <v>513</v>
      </c>
      <c r="B69" s="54" t="s">
        <v>508</v>
      </c>
      <c r="C69" s="160"/>
      <c r="D69" s="160"/>
      <c r="E69" s="160"/>
      <c r="F69" s="160"/>
      <c r="G69" s="160"/>
      <c r="H69" s="160"/>
      <c r="I69" s="160"/>
      <c r="J69" s="160"/>
      <c r="K69" s="160"/>
      <c r="L69" s="160">
        <f>IF(Dashboard!$F41="o.k.",IF(L$6&lt;=Dashboard!$D41,MIN(1-Dashboard!$E41*(1-(Dashboard!$D41-L$6)/Dashboard!$C41),1),1-Dashboard!$E41),1)</f>
        <v>1</v>
      </c>
      <c r="M69" s="160">
        <f>IF(Dashboard!$F41="o.k.",IF(M$6&lt;=Dashboard!$D41,MIN(1-Dashboard!$E41*(1-(Dashboard!$D41-M$6)/Dashboard!$C41),1),1-Dashboard!$E41),1)</f>
        <v>1</v>
      </c>
      <c r="N69" s="160">
        <f>IF(Dashboard!$F41="o.k.",IF(N$6&lt;=Dashboard!$D41,MIN(1-Dashboard!$E41*(1-(Dashboard!$D41-N$6)/Dashboard!$C41),1),1-Dashboard!$E41),1)</f>
        <v>1</v>
      </c>
      <c r="O69" s="160">
        <f>IF(Dashboard!$F41="o.k.",IF(O$6&lt;=Dashboard!$D41,MIN(1-Dashboard!$E41*(1-(Dashboard!$D41-O$6)/Dashboard!$C41),1),1-Dashboard!$E41),1)</f>
        <v>1</v>
      </c>
      <c r="P69" s="160">
        <f>IF(Dashboard!$F41="o.k.",IF(P$6&lt;=Dashboard!$D41,MIN(1-Dashboard!$E41*(1-(Dashboard!$D41-P$6)/Dashboard!$C41),1),1-Dashboard!$E41),1)</f>
        <v>1</v>
      </c>
      <c r="Q69" s="160">
        <f>IF(Dashboard!$F41="o.k.",IF(Q$6&lt;=Dashboard!$D41,MIN(1-Dashboard!$E41*(1-(Dashboard!$D41-Q$6)/Dashboard!$C41),1),1-Dashboard!$E41),1)</f>
        <v>1</v>
      </c>
      <c r="R69" s="160">
        <f>IF(Dashboard!$F41="o.k.",IF(R$6&lt;=Dashboard!$D41,MIN(1-Dashboard!$E41*(1-(Dashboard!$D41-R$6)/Dashboard!$C41),1),1-Dashboard!$E41),1)</f>
        <v>1</v>
      </c>
      <c r="S69" s="160">
        <f>IF(Dashboard!$F41="o.k.",IF(S$6&lt;=Dashboard!$D41,MIN(1-Dashboard!$E41*(1-(Dashboard!$D41-S$6)/Dashboard!$C41),1),1-Dashboard!$E41),1)</f>
        <v>1</v>
      </c>
      <c r="T69" s="160">
        <f>IF(Dashboard!$F41="o.k.",IF(T$6&lt;=Dashboard!$D41,MIN(1-Dashboard!$E41*(1-(Dashboard!$D41-T$6)/Dashboard!$C41),1),1-Dashboard!$E41),1)</f>
        <v>1</v>
      </c>
      <c r="U69" s="160">
        <f>IF(Dashboard!$F41="o.k.",IF(U$6&lt;=Dashboard!$D41,MIN(1-Dashboard!$E41*(1-(Dashboard!$D41-U$6)/Dashboard!$C41),1),1-Dashboard!$E41),1)</f>
        <v>1</v>
      </c>
      <c r="V69" s="160">
        <f>IF(Dashboard!$F41="o.k.",IF(V$6&lt;=Dashboard!$D41,MIN(1-Dashboard!$E41*(1-(Dashboard!$D41-V$6)/Dashboard!$C41),1),1-Dashboard!$E41),1)</f>
        <v>1</v>
      </c>
      <c r="W69" s="160">
        <f>IF(Dashboard!$F41="o.k.",IF(W$6&lt;=Dashboard!$D41,MIN(1-Dashboard!$E41*(1-(Dashboard!$D41-W$6)/Dashboard!$C41),1),1-Dashboard!$E41),1)</f>
        <v>1</v>
      </c>
      <c r="X69" s="160">
        <f>IF(Dashboard!$F41="o.k.",IF(X$6&lt;=Dashboard!$D41,MIN(1-Dashboard!$E41*(1-(Dashboard!$D41-X$6)/Dashboard!$C41),1),1-Dashboard!$E41),1)</f>
        <v>1</v>
      </c>
      <c r="Y69" s="160">
        <f>IF(Dashboard!$F41="o.k.",IF(Y$6&lt;=Dashboard!$D41,MIN(1-Dashboard!$E41*(1-(Dashboard!$D41-Y$6)/Dashboard!$C41),1),1-Dashboard!$E41),1)</f>
        <v>1</v>
      </c>
      <c r="Z69" s="160">
        <f>IF(Dashboard!$F41="o.k.",IF(Z$6&lt;=Dashboard!$D41,MIN(1-Dashboard!$E41*(1-(Dashboard!$D41-Z$6)/Dashboard!$C41),1),1-Dashboard!$E41),1)</f>
        <v>1</v>
      </c>
      <c r="AA69" s="160">
        <f>IF(Dashboard!$F41="o.k.",IF(AA$6&lt;=Dashboard!$D41,MIN(1-Dashboard!$E41*(1-(Dashboard!$D41-AA$6)/Dashboard!$C41),1),1-Dashboard!$E41),1)</f>
        <v>1</v>
      </c>
      <c r="AB69" s="160">
        <f>IF(Dashboard!$F41="o.k.",IF(AB$6&lt;=Dashboard!$D41,MIN(1-Dashboard!$E41*(1-(Dashboard!$D41-AB$6)/Dashboard!$C41),1),1-Dashboard!$E41),1)</f>
        <v>1</v>
      </c>
      <c r="AC69" s="160">
        <f>IF(Dashboard!$F41="o.k.",IF(AC$6&lt;=Dashboard!$D41,MIN(1-Dashboard!$E41*(1-(Dashboard!$D41-AC$6)/Dashboard!$C41),1),1-Dashboard!$E41),1)</f>
        <v>1</v>
      </c>
      <c r="AD69" s="160">
        <f>IF(Dashboard!$F41="o.k.",IF(AD$6&lt;=Dashboard!$D41,MIN(1-Dashboard!$E41*(1-(Dashboard!$D41-AD$6)/Dashboard!$C41),1),1-Dashboard!$E41),1)</f>
        <v>1</v>
      </c>
      <c r="AE69" s="160">
        <f>IF(Dashboard!$F41="o.k.",IF(AE$6&lt;=Dashboard!$D41,MIN(1-Dashboard!$E41*(1-(Dashboard!$D41-AE$6)/Dashboard!$C41),1),1-Dashboard!$E41),1)</f>
        <v>1</v>
      </c>
      <c r="AF69" s="160">
        <f>IF(Dashboard!$F41="o.k.",IF(AF$6&lt;=Dashboard!$D41,MIN(1-Dashboard!$E41*(1-(Dashboard!$D41-AF$6)/Dashboard!$C41),1),1-Dashboard!$E41),1)</f>
        <v>1</v>
      </c>
      <c r="AG69" s="160">
        <f>IF(Dashboard!$F41="o.k.",IF(AG$6&lt;=Dashboard!$D41,MIN(1-Dashboard!$E41*(1-(Dashboard!$D41-AG$6)/Dashboard!$C41),1),1-Dashboard!$E41),1)</f>
        <v>1</v>
      </c>
      <c r="AH69" s="160">
        <f>IF(Dashboard!$F41="o.k.",IF(AH$6&lt;=Dashboard!$D41,MIN(1-Dashboard!$E41*(1-(Dashboard!$D41-AH$6)/Dashboard!$C41),1),1-Dashboard!$E41),1)</f>
        <v>1</v>
      </c>
      <c r="AI69" s="160">
        <f>IF(Dashboard!$F41="o.k.",IF(AI$6&lt;=Dashboard!$D41,MIN(1-Dashboard!$E41*(1-(Dashboard!$D41-AI$6)/Dashboard!$C41),1),1-Dashboard!$E41),1)</f>
        <v>1</v>
      </c>
      <c r="AJ69" s="160">
        <f>IF(Dashboard!$F41="o.k.",IF(AJ$6&lt;=Dashboard!$D41,MIN(1-Dashboard!$E41*(1-(Dashboard!$D41-AJ$6)/Dashboard!$C41),1),1-Dashboard!$E41),1)</f>
        <v>1</v>
      </c>
      <c r="AK69" s="160">
        <f>IF(Dashboard!$F41="o.k.",IF(AK$6&lt;=Dashboard!$D41,MIN(1-Dashboard!$E41*(1-(Dashboard!$D41-AK$6)/Dashboard!$C41),1),1-Dashboard!$E41),1)</f>
        <v>1</v>
      </c>
      <c r="AL69" s="160">
        <f>IF(Dashboard!$F41="o.k.",IF(AL$6&lt;=Dashboard!$D41,MIN(1-Dashboard!$E41*(1-(Dashboard!$D41-AL$6)/Dashboard!$C41),1),1-Dashboard!$E41),1)</f>
        <v>1</v>
      </c>
    </row>
    <row r="70" spans="1:38">
      <c r="A70" s="125" t="s">
        <v>465</v>
      </c>
      <c r="B70" s="54" t="s">
        <v>508</v>
      </c>
      <c r="C70" s="160"/>
      <c r="D70" s="160"/>
      <c r="E70" s="160"/>
      <c r="F70" s="160"/>
      <c r="G70" s="160"/>
      <c r="H70" s="160"/>
      <c r="I70" s="160"/>
      <c r="J70" s="160"/>
      <c r="K70" s="160"/>
      <c r="L70" s="160">
        <f>IF(Dashboard!$F42="o.k.",IF(L$6&lt;=Dashboard!$D42,MIN(1-Dashboard!$E42*(1-(Dashboard!$D42-L$6)/Dashboard!$C42),1),1-Dashboard!$E42),1)</f>
        <v>1</v>
      </c>
      <c r="M70" s="160">
        <f>IF(Dashboard!$F42="o.k.",IF(M$6&lt;=Dashboard!$D42,MIN(1-Dashboard!$E42*(1-(Dashboard!$D42-M$6)/Dashboard!$C42),1),1-Dashboard!$E42),1)</f>
        <v>1</v>
      </c>
      <c r="N70" s="160">
        <f>IF(Dashboard!$F42="o.k.",IF(N$6&lt;=Dashboard!$D42,MIN(1-Dashboard!$E42*(1-(Dashboard!$D42-N$6)/Dashboard!$C42),1),1-Dashboard!$E42),1)</f>
        <v>1</v>
      </c>
      <c r="O70" s="160">
        <f>IF(Dashboard!$F42="o.k.",IF(O$6&lt;=Dashboard!$D42,MIN(1-Dashboard!$E42*(1-(Dashboard!$D42-O$6)/Dashboard!$C42),1),1-Dashboard!$E42),1)</f>
        <v>1</v>
      </c>
      <c r="P70" s="160">
        <f>IF(Dashboard!$F42="o.k.",IF(P$6&lt;=Dashboard!$D42,MIN(1-Dashboard!$E42*(1-(Dashboard!$D42-P$6)/Dashboard!$C42),1),1-Dashboard!$E42),1)</f>
        <v>1</v>
      </c>
      <c r="Q70" s="160">
        <f>IF(Dashboard!$F42="o.k.",IF(Q$6&lt;=Dashboard!$D42,MIN(1-Dashboard!$E42*(1-(Dashboard!$D42-Q$6)/Dashboard!$C42),1),1-Dashboard!$E42),1)</f>
        <v>1</v>
      </c>
      <c r="R70" s="160">
        <f>IF(Dashboard!$F42="o.k.",IF(R$6&lt;=Dashboard!$D42,MIN(1-Dashboard!$E42*(1-(Dashboard!$D42-R$6)/Dashboard!$C42),1),1-Dashboard!$E42),1)</f>
        <v>1</v>
      </c>
      <c r="S70" s="160">
        <f>IF(Dashboard!$F42="o.k.",IF(S$6&lt;=Dashboard!$D42,MIN(1-Dashboard!$E42*(1-(Dashboard!$D42-S$6)/Dashboard!$C42),1),1-Dashboard!$E42),1)</f>
        <v>1</v>
      </c>
      <c r="T70" s="160">
        <f>IF(Dashboard!$F42="o.k.",IF(T$6&lt;=Dashboard!$D42,MIN(1-Dashboard!$E42*(1-(Dashboard!$D42-T$6)/Dashboard!$C42),1),1-Dashboard!$E42),1)</f>
        <v>1</v>
      </c>
      <c r="U70" s="160">
        <f>IF(Dashboard!$F42="o.k.",IF(U$6&lt;=Dashboard!$D42,MIN(1-Dashboard!$E42*(1-(Dashboard!$D42-U$6)/Dashboard!$C42),1),1-Dashboard!$E42),1)</f>
        <v>1</v>
      </c>
      <c r="V70" s="160">
        <f>IF(Dashboard!$F42="o.k.",IF(V$6&lt;=Dashboard!$D42,MIN(1-Dashboard!$E42*(1-(Dashboard!$D42-V$6)/Dashboard!$C42),1),1-Dashboard!$E42),1)</f>
        <v>1</v>
      </c>
      <c r="W70" s="160">
        <f>IF(Dashboard!$F42="o.k.",IF(W$6&lt;=Dashboard!$D42,MIN(1-Dashboard!$E42*(1-(Dashboard!$D42-W$6)/Dashboard!$C42),1),1-Dashboard!$E42),1)</f>
        <v>1</v>
      </c>
      <c r="X70" s="160">
        <f>IF(Dashboard!$F42="o.k.",IF(X$6&lt;=Dashboard!$D42,MIN(1-Dashboard!$E42*(1-(Dashboard!$D42-X$6)/Dashboard!$C42),1),1-Dashboard!$E42),1)</f>
        <v>1</v>
      </c>
      <c r="Y70" s="160">
        <f>IF(Dashboard!$F42="o.k.",IF(Y$6&lt;=Dashboard!$D42,MIN(1-Dashboard!$E42*(1-(Dashboard!$D42-Y$6)/Dashboard!$C42),1),1-Dashboard!$E42),1)</f>
        <v>1</v>
      </c>
      <c r="Z70" s="160">
        <f>IF(Dashboard!$F42="o.k.",IF(Z$6&lt;=Dashboard!$D42,MIN(1-Dashboard!$E42*(1-(Dashboard!$D42-Z$6)/Dashboard!$C42),1),1-Dashboard!$E42),1)</f>
        <v>1</v>
      </c>
      <c r="AA70" s="160">
        <f>IF(Dashboard!$F42="o.k.",IF(AA$6&lt;=Dashboard!$D42,MIN(1-Dashboard!$E42*(1-(Dashboard!$D42-AA$6)/Dashboard!$C42),1),1-Dashboard!$E42),1)</f>
        <v>1</v>
      </c>
      <c r="AB70" s="160">
        <f>IF(Dashboard!$F42="o.k.",IF(AB$6&lt;=Dashboard!$D42,MIN(1-Dashboard!$E42*(1-(Dashboard!$D42-AB$6)/Dashboard!$C42),1),1-Dashboard!$E42),1)</f>
        <v>1</v>
      </c>
      <c r="AC70" s="160">
        <f>IF(Dashboard!$F42="o.k.",IF(AC$6&lt;=Dashboard!$D42,MIN(1-Dashboard!$E42*(1-(Dashboard!$D42-AC$6)/Dashboard!$C42),1),1-Dashboard!$E42),1)</f>
        <v>1</v>
      </c>
      <c r="AD70" s="160">
        <f>IF(Dashboard!$F42="o.k.",IF(AD$6&lt;=Dashboard!$D42,MIN(1-Dashboard!$E42*(1-(Dashboard!$D42-AD$6)/Dashboard!$C42),1),1-Dashboard!$E42),1)</f>
        <v>1</v>
      </c>
      <c r="AE70" s="160">
        <f>IF(Dashboard!$F42="o.k.",IF(AE$6&lt;=Dashboard!$D42,MIN(1-Dashboard!$E42*(1-(Dashboard!$D42-AE$6)/Dashboard!$C42),1),1-Dashboard!$E42),1)</f>
        <v>1</v>
      </c>
      <c r="AF70" s="160">
        <f>IF(Dashboard!$F42="o.k.",IF(AF$6&lt;=Dashboard!$D42,MIN(1-Dashboard!$E42*(1-(Dashboard!$D42-AF$6)/Dashboard!$C42),1),1-Dashboard!$E42),1)</f>
        <v>1</v>
      </c>
      <c r="AG70" s="160">
        <f>IF(Dashboard!$F42="o.k.",IF(AG$6&lt;=Dashboard!$D42,MIN(1-Dashboard!$E42*(1-(Dashboard!$D42-AG$6)/Dashboard!$C42),1),1-Dashboard!$E42),1)</f>
        <v>1</v>
      </c>
      <c r="AH70" s="160">
        <f>IF(Dashboard!$F42="o.k.",IF(AH$6&lt;=Dashboard!$D42,MIN(1-Dashboard!$E42*(1-(Dashboard!$D42-AH$6)/Dashboard!$C42),1),1-Dashboard!$E42),1)</f>
        <v>1</v>
      </c>
      <c r="AI70" s="160">
        <f>IF(Dashboard!$F42="o.k.",IF(AI$6&lt;=Dashboard!$D42,MIN(1-Dashboard!$E42*(1-(Dashboard!$D42-AI$6)/Dashboard!$C42),1),1-Dashboard!$E42),1)</f>
        <v>1</v>
      </c>
      <c r="AJ70" s="160">
        <f>IF(Dashboard!$F42="o.k.",IF(AJ$6&lt;=Dashboard!$D42,MIN(1-Dashboard!$E42*(1-(Dashboard!$D42-AJ$6)/Dashboard!$C42),1),1-Dashboard!$E42),1)</f>
        <v>1</v>
      </c>
      <c r="AK70" s="160">
        <f>IF(Dashboard!$F42="o.k.",IF(AK$6&lt;=Dashboard!$D42,MIN(1-Dashboard!$E42*(1-(Dashboard!$D42-AK$6)/Dashboard!$C42),1),1-Dashboard!$E42),1)</f>
        <v>1</v>
      </c>
      <c r="AL70" s="160">
        <f>IF(Dashboard!$F42="o.k.",IF(AL$6&lt;=Dashboard!$D42,MIN(1-Dashboard!$E42*(1-(Dashboard!$D42-AL$6)/Dashboard!$C42),1),1-Dashboard!$E42),1)</f>
        <v>1</v>
      </c>
    </row>
    <row r="71" spans="1:38">
      <c r="A71" s="125" t="s">
        <v>466</v>
      </c>
      <c r="B71" s="54" t="s">
        <v>508</v>
      </c>
      <c r="C71" s="160"/>
      <c r="D71" s="160"/>
      <c r="E71" s="160"/>
      <c r="F71" s="160"/>
      <c r="G71" s="160"/>
      <c r="H71" s="160"/>
      <c r="I71" s="160"/>
      <c r="J71" s="160"/>
      <c r="K71" s="160"/>
      <c r="L71" s="160">
        <f>IF(Dashboard!$F43="o.k.",IF(L$6&lt;=Dashboard!$D43,MIN(1-Dashboard!$E43*(1-(Dashboard!$D43-L$6)/Dashboard!$C43),1),1-Dashboard!$E43),1)</f>
        <v>1</v>
      </c>
      <c r="M71" s="160">
        <f>IF(Dashboard!$F43="o.k.",IF(M$6&lt;=Dashboard!$D43,MIN(1-Dashboard!$E43*(1-(Dashboard!$D43-M$6)/Dashboard!$C43),1),1-Dashboard!$E43),1)</f>
        <v>1</v>
      </c>
      <c r="N71" s="160">
        <f>IF(Dashboard!$F43="o.k.",IF(N$6&lt;=Dashboard!$D43,MIN(1-Dashboard!$E43*(1-(Dashboard!$D43-N$6)/Dashboard!$C43),1),1-Dashboard!$E43),1)</f>
        <v>1</v>
      </c>
      <c r="O71" s="160">
        <f>IF(Dashboard!$F43="o.k.",IF(O$6&lt;=Dashboard!$D43,MIN(1-Dashboard!$E43*(1-(Dashboard!$D43-O$6)/Dashboard!$C43),1),1-Dashboard!$E43),1)</f>
        <v>1</v>
      </c>
      <c r="P71" s="160">
        <f>IF(Dashboard!$F43="o.k.",IF(P$6&lt;=Dashboard!$D43,MIN(1-Dashboard!$E43*(1-(Dashboard!$D43-P$6)/Dashboard!$C43),1),1-Dashboard!$E43),1)</f>
        <v>1</v>
      </c>
      <c r="Q71" s="160">
        <f>IF(Dashboard!$F43="o.k.",IF(Q$6&lt;=Dashboard!$D43,MIN(1-Dashboard!$E43*(1-(Dashboard!$D43-Q$6)/Dashboard!$C43),1),1-Dashboard!$E43),1)</f>
        <v>1</v>
      </c>
      <c r="R71" s="160">
        <f>IF(Dashboard!$F43="o.k.",IF(R$6&lt;=Dashboard!$D43,MIN(1-Dashboard!$E43*(1-(Dashboard!$D43-R$6)/Dashboard!$C43),1),1-Dashboard!$E43),1)</f>
        <v>1</v>
      </c>
      <c r="S71" s="160">
        <f>IF(Dashboard!$F43="o.k.",IF(S$6&lt;=Dashboard!$D43,MIN(1-Dashboard!$E43*(1-(Dashboard!$D43-S$6)/Dashboard!$C43),1),1-Dashboard!$E43),1)</f>
        <v>1</v>
      </c>
      <c r="T71" s="160">
        <f>IF(Dashboard!$F43="o.k.",IF(T$6&lt;=Dashboard!$D43,MIN(1-Dashboard!$E43*(1-(Dashboard!$D43-T$6)/Dashboard!$C43),1),1-Dashboard!$E43),1)</f>
        <v>1</v>
      </c>
      <c r="U71" s="160">
        <f>IF(Dashboard!$F43="o.k.",IF(U$6&lt;=Dashboard!$D43,MIN(1-Dashboard!$E43*(1-(Dashboard!$D43-U$6)/Dashboard!$C43),1),1-Dashboard!$E43),1)</f>
        <v>1</v>
      </c>
      <c r="V71" s="160">
        <f>IF(Dashboard!$F43="o.k.",IF(V$6&lt;=Dashboard!$D43,MIN(1-Dashboard!$E43*(1-(Dashboard!$D43-V$6)/Dashboard!$C43),1),1-Dashboard!$E43),1)</f>
        <v>1</v>
      </c>
      <c r="W71" s="160">
        <f>IF(Dashboard!$F43="o.k.",IF(W$6&lt;=Dashboard!$D43,MIN(1-Dashboard!$E43*(1-(Dashboard!$D43-W$6)/Dashboard!$C43),1),1-Dashboard!$E43),1)</f>
        <v>1</v>
      </c>
      <c r="X71" s="160">
        <f>IF(Dashboard!$F43="o.k.",IF(X$6&lt;=Dashboard!$D43,MIN(1-Dashboard!$E43*(1-(Dashboard!$D43-X$6)/Dashboard!$C43),1),1-Dashboard!$E43),1)</f>
        <v>1</v>
      </c>
      <c r="Y71" s="160">
        <f>IF(Dashboard!$F43="o.k.",IF(Y$6&lt;=Dashboard!$D43,MIN(1-Dashboard!$E43*(1-(Dashboard!$D43-Y$6)/Dashboard!$C43),1),1-Dashboard!$E43),1)</f>
        <v>1</v>
      </c>
      <c r="Z71" s="160">
        <f>IF(Dashboard!$F43="o.k.",IF(Z$6&lt;=Dashboard!$D43,MIN(1-Dashboard!$E43*(1-(Dashboard!$D43-Z$6)/Dashboard!$C43),1),1-Dashboard!$E43),1)</f>
        <v>1</v>
      </c>
      <c r="AA71" s="160">
        <f>IF(Dashboard!$F43="o.k.",IF(AA$6&lt;=Dashboard!$D43,MIN(1-Dashboard!$E43*(1-(Dashboard!$D43-AA$6)/Dashboard!$C43),1),1-Dashboard!$E43),1)</f>
        <v>1</v>
      </c>
      <c r="AB71" s="160">
        <f>IF(Dashboard!$F43="o.k.",IF(AB$6&lt;=Dashboard!$D43,MIN(1-Dashboard!$E43*(1-(Dashboard!$D43-AB$6)/Dashboard!$C43),1),1-Dashboard!$E43),1)</f>
        <v>1</v>
      </c>
      <c r="AC71" s="160">
        <f>IF(Dashboard!$F43="o.k.",IF(AC$6&lt;=Dashboard!$D43,MIN(1-Dashboard!$E43*(1-(Dashboard!$D43-AC$6)/Dashboard!$C43),1),1-Dashboard!$E43),1)</f>
        <v>1</v>
      </c>
      <c r="AD71" s="160">
        <f>IF(Dashboard!$F43="o.k.",IF(AD$6&lt;=Dashboard!$D43,MIN(1-Dashboard!$E43*(1-(Dashboard!$D43-AD$6)/Dashboard!$C43),1),1-Dashboard!$E43),1)</f>
        <v>1</v>
      </c>
      <c r="AE71" s="160">
        <f>IF(Dashboard!$F43="o.k.",IF(AE$6&lt;=Dashboard!$D43,MIN(1-Dashboard!$E43*(1-(Dashboard!$D43-AE$6)/Dashboard!$C43),1),1-Dashboard!$E43),1)</f>
        <v>1</v>
      </c>
      <c r="AF71" s="160">
        <f>IF(Dashboard!$F43="o.k.",IF(AF$6&lt;=Dashboard!$D43,MIN(1-Dashboard!$E43*(1-(Dashboard!$D43-AF$6)/Dashboard!$C43),1),1-Dashboard!$E43),1)</f>
        <v>1</v>
      </c>
      <c r="AG71" s="160">
        <f>IF(Dashboard!$F43="o.k.",IF(AG$6&lt;=Dashboard!$D43,MIN(1-Dashboard!$E43*(1-(Dashboard!$D43-AG$6)/Dashboard!$C43),1),1-Dashboard!$E43),1)</f>
        <v>1</v>
      </c>
      <c r="AH71" s="160">
        <f>IF(Dashboard!$F43="o.k.",IF(AH$6&lt;=Dashboard!$D43,MIN(1-Dashboard!$E43*(1-(Dashboard!$D43-AH$6)/Dashboard!$C43),1),1-Dashboard!$E43),1)</f>
        <v>1</v>
      </c>
      <c r="AI71" s="160">
        <f>IF(Dashboard!$F43="o.k.",IF(AI$6&lt;=Dashboard!$D43,MIN(1-Dashboard!$E43*(1-(Dashboard!$D43-AI$6)/Dashboard!$C43),1),1-Dashboard!$E43),1)</f>
        <v>1</v>
      </c>
      <c r="AJ71" s="160">
        <f>IF(Dashboard!$F43="o.k.",IF(AJ$6&lt;=Dashboard!$D43,MIN(1-Dashboard!$E43*(1-(Dashboard!$D43-AJ$6)/Dashboard!$C43),1),1-Dashboard!$E43),1)</f>
        <v>1</v>
      </c>
      <c r="AK71" s="160">
        <f>IF(Dashboard!$F43="o.k.",IF(AK$6&lt;=Dashboard!$D43,MIN(1-Dashboard!$E43*(1-(Dashboard!$D43-AK$6)/Dashboard!$C43),1),1-Dashboard!$E43),1)</f>
        <v>1</v>
      </c>
      <c r="AL71" s="160">
        <f>IF(Dashboard!$F43="o.k.",IF(AL$6&lt;=Dashboard!$D43,MIN(1-Dashboard!$E43*(1-(Dashboard!$D43-AL$6)/Dashboard!$C43),1),1-Dashboard!$E43),1)</f>
        <v>1</v>
      </c>
    </row>
    <row r="72" spans="1:38">
      <c r="A72" s="125" t="s">
        <v>463</v>
      </c>
      <c r="B72" s="54" t="s">
        <v>508</v>
      </c>
      <c r="C72" s="160"/>
      <c r="D72" s="160"/>
      <c r="E72" s="160"/>
      <c r="F72" s="160"/>
      <c r="G72" s="160"/>
      <c r="H72" s="160"/>
      <c r="I72" s="160"/>
      <c r="J72" s="160"/>
      <c r="K72" s="160"/>
      <c r="L72" s="160">
        <f>IF(Dashboard!$F44="o.k.",IF(L$6&lt;=Dashboard!$D44,MIN(1-Dashboard!$E44*(1-(Dashboard!$D44-L$6)/Dashboard!$C44),1),1-Dashboard!$E44),1)</f>
        <v>1</v>
      </c>
      <c r="M72" s="160">
        <f>IF(Dashboard!$F44="o.k.",IF(M$6&lt;=Dashboard!$D44,MIN(1-Dashboard!$E44*(1-(Dashboard!$D44-M$6)/Dashboard!$C44),1),1-Dashboard!$E44),1)</f>
        <v>1</v>
      </c>
      <c r="N72" s="160">
        <f>IF(Dashboard!$F44="o.k.",IF(N$6&lt;=Dashboard!$D44,MIN(1-Dashboard!$E44*(1-(Dashboard!$D44-N$6)/Dashboard!$C44),1),1-Dashboard!$E44),1)</f>
        <v>1</v>
      </c>
      <c r="O72" s="160">
        <f>IF(Dashboard!$F44="o.k.",IF(O$6&lt;=Dashboard!$D44,MIN(1-Dashboard!$E44*(1-(Dashboard!$D44-O$6)/Dashboard!$C44),1),1-Dashboard!$E44),1)</f>
        <v>1</v>
      </c>
      <c r="P72" s="160">
        <f>IF(Dashboard!$F44="o.k.",IF(P$6&lt;=Dashboard!$D44,MIN(1-Dashboard!$E44*(1-(Dashboard!$D44-P$6)/Dashboard!$C44),1),1-Dashboard!$E44),1)</f>
        <v>1</v>
      </c>
      <c r="Q72" s="160">
        <f>IF(Dashboard!$F44="o.k.",IF(Q$6&lt;=Dashboard!$D44,MIN(1-Dashboard!$E44*(1-(Dashboard!$D44-Q$6)/Dashboard!$C44),1),1-Dashboard!$E44),1)</f>
        <v>1</v>
      </c>
      <c r="R72" s="160">
        <f>IF(Dashboard!$F44="o.k.",IF(R$6&lt;=Dashboard!$D44,MIN(1-Dashboard!$E44*(1-(Dashboard!$D44-R$6)/Dashboard!$C44),1),1-Dashboard!$E44),1)</f>
        <v>1</v>
      </c>
      <c r="S72" s="160">
        <f>IF(Dashboard!$F44="o.k.",IF(S$6&lt;=Dashboard!$D44,MIN(1-Dashboard!$E44*(1-(Dashboard!$D44-S$6)/Dashboard!$C44),1),1-Dashboard!$E44),1)</f>
        <v>1</v>
      </c>
      <c r="T72" s="160">
        <f>IF(Dashboard!$F44="o.k.",IF(T$6&lt;=Dashboard!$D44,MIN(1-Dashboard!$E44*(1-(Dashboard!$D44-T$6)/Dashboard!$C44),1),1-Dashboard!$E44),1)</f>
        <v>1</v>
      </c>
      <c r="U72" s="160">
        <f>IF(Dashboard!$F44="o.k.",IF(U$6&lt;=Dashboard!$D44,MIN(1-Dashboard!$E44*(1-(Dashboard!$D44-U$6)/Dashboard!$C44),1),1-Dashboard!$E44),1)</f>
        <v>1</v>
      </c>
      <c r="V72" s="160">
        <f>IF(Dashboard!$F44="o.k.",IF(V$6&lt;=Dashboard!$D44,MIN(1-Dashboard!$E44*(1-(Dashboard!$D44-V$6)/Dashboard!$C44),1),1-Dashboard!$E44),1)</f>
        <v>1</v>
      </c>
      <c r="W72" s="160">
        <f>IF(Dashboard!$F44="o.k.",IF(W$6&lt;=Dashboard!$D44,MIN(1-Dashboard!$E44*(1-(Dashboard!$D44-W$6)/Dashboard!$C44),1),1-Dashboard!$E44),1)</f>
        <v>1</v>
      </c>
      <c r="X72" s="160">
        <f>IF(Dashboard!$F44="o.k.",IF(X$6&lt;=Dashboard!$D44,MIN(1-Dashboard!$E44*(1-(Dashboard!$D44-X$6)/Dashboard!$C44),1),1-Dashboard!$E44),1)</f>
        <v>1</v>
      </c>
      <c r="Y72" s="160">
        <f>IF(Dashboard!$F44="o.k.",IF(Y$6&lt;=Dashboard!$D44,MIN(1-Dashboard!$E44*(1-(Dashboard!$D44-Y$6)/Dashboard!$C44),1),1-Dashboard!$E44),1)</f>
        <v>1</v>
      </c>
      <c r="Z72" s="160">
        <f>IF(Dashboard!$F44="o.k.",IF(Z$6&lt;=Dashboard!$D44,MIN(1-Dashboard!$E44*(1-(Dashboard!$D44-Z$6)/Dashboard!$C44),1),1-Dashboard!$E44),1)</f>
        <v>1</v>
      </c>
      <c r="AA72" s="160">
        <f>IF(Dashboard!$F44="o.k.",IF(AA$6&lt;=Dashboard!$D44,MIN(1-Dashboard!$E44*(1-(Dashboard!$D44-AA$6)/Dashboard!$C44),1),1-Dashboard!$E44),1)</f>
        <v>1</v>
      </c>
      <c r="AB72" s="160">
        <f>IF(Dashboard!$F44="o.k.",IF(AB$6&lt;=Dashboard!$D44,MIN(1-Dashboard!$E44*(1-(Dashboard!$D44-AB$6)/Dashboard!$C44),1),1-Dashboard!$E44),1)</f>
        <v>1</v>
      </c>
      <c r="AC72" s="160">
        <f>IF(Dashboard!$F44="o.k.",IF(AC$6&lt;=Dashboard!$D44,MIN(1-Dashboard!$E44*(1-(Dashboard!$D44-AC$6)/Dashboard!$C44),1),1-Dashboard!$E44),1)</f>
        <v>1</v>
      </c>
      <c r="AD72" s="160">
        <f>IF(Dashboard!$F44="o.k.",IF(AD$6&lt;=Dashboard!$D44,MIN(1-Dashboard!$E44*(1-(Dashboard!$D44-AD$6)/Dashboard!$C44),1),1-Dashboard!$E44),1)</f>
        <v>1</v>
      </c>
      <c r="AE72" s="160">
        <f>IF(Dashboard!$F44="o.k.",IF(AE$6&lt;=Dashboard!$D44,MIN(1-Dashboard!$E44*(1-(Dashboard!$D44-AE$6)/Dashboard!$C44),1),1-Dashboard!$E44),1)</f>
        <v>1</v>
      </c>
      <c r="AF72" s="160">
        <f>IF(Dashboard!$F44="o.k.",IF(AF$6&lt;=Dashboard!$D44,MIN(1-Dashboard!$E44*(1-(Dashboard!$D44-AF$6)/Dashboard!$C44),1),1-Dashboard!$E44),1)</f>
        <v>1</v>
      </c>
      <c r="AG72" s="160">
        <f>IF(Dashboard!$F44="o.k.",IF(AG$6&lt;=Dashboard!$D44,MIN(1-Dashboard!$E44*(1-(Dashboard!$D44-AG$6)/Dashboard!$C44),1),1-Dashboard!$E44),1)</f>
        <v>1</v>
      </c>
      <c r="AH72" s="160">
        <f>IF(Dashboard!$F44="o.k.",IF(AH$6&lt;=Dashboard!$D44,MIN(1-Dashboard!$E44*(1-(Dashboard!$D44-AH$6)/Dashboard!$C44),1),1-Dashboard!$E44),1)</f>
        <v>1</v>
      </c>
      <c r="AI72" s="160">
        <f>IF(Dashboard!$F44="o.k.",IF(AI$6&lt;=Dashboard!$D44,MIN(1-Dashboard!$E44*(1-(Dashboard!$D44-AI$6)/Dashboard!$C44),1),1-Dashboard!$E44),1)</f>
        <v>1</v>
      </c>
      <c r="AJ72" s="160">
        <f>IF(Dashboard!$F44="o.k.",IF(AJ$6&lt;=Dashboard!$D44,MIN(1-Dashboard!$E44*(1-(Dashboard!$D44-AJ$6)/Dashboard!$C44),1),1-Dashboard!$E44),1)</f>
        <v>1</v>
      </c>
      <c r="AK72" s="160">
        <f>IF(Dashboard!$F44="o.k.",IF(AK$6&lt;=Dashboard!$D44,MIN(1-Dashboard!$E44*(1-(Dashboard!$D44-AK$6)/Dashboard!$C44),1),1-Dashboard!$E44),1)</f>
        <v>1</v>
      </c>
      <c r="AL72" s="160">
        <f>IF(Dashboard!$F44="o.k.",IF(AL$6&lt;=Dashboard!$D44,MIN(1-Dashboard!$E44*(1-(Dashboard!$D44-AL$6)/Dashboard!$C44),1),1-Dashboard!$E44),1)</f>
        <v>1</v>
      </c>
    </row>
    <row r="73" spans="1:38">
      <c r="A73" s="54" t="s">
        <v>81</v>
      </c>
      <c r="B73" s="54"/>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row>
    <row r="74" spans="1:38">
      <c r="A74" s="125" t="s">
        <v>351</v>
      </c>
      <c r="B74" s="54" t="s">
        <v>508</v>
      </c>
      <c r="C74" s="160"/>
      <c r="D74" s="160"/>
      <c r="E74" s="160"/>
      <c r="F74" s="160"/>
      <c r="G74" s="160"/>
      <c r="H74" s="160"/>
      <c r="I74" s="160"/>
      <c r="J74" s="160"/>
      <c r="K74" s="160"/>
      <c r="L74" s="160">
        <f>IF(Dashboard!$F46="o.k.",IF(L$6&lt;=Dashboard!$D46,MIN(1-Dashboard!$E46*(1-(Dashboard!$D46-L$6)/Dashboard!$C46),1),1-Dashboard!$E46),1)</f>
        <v>1</v>
      </c>
      <c r="M74" s="160">
        <f>IF(Dashboard!$F46="o.k.",IF(M$6&lt;=Dashboard!$D46,MIN(1-Dashboard!$E46*(1-(Dashboard!$D46-M$6)/Dashboard!$C46),1),1-Dashboard!$E46),1)</f>
        <v>1</v>
      </c>
      <c r="N74" s="160">
        <f>IF(Dashboard!$F46="o.k.",IF(N$6&lt;=Dashboard!$D46,MIN(1-Dashboard!$E46*(1-(Dashboard!$D46-N$6)/Dashboard!$C46),1),1-Dashboard!$E46),1)</f>
        <v>1</v>
      </c>
      <c r="O74" s="160">
        <f>IF(Dashboard!$F46="o.k.",IF(O$6&lt;=Dashboard!$D46,MIN(1-Dashboard!$E46*(1-(Dashboard!$D46-O$6)/Dashboard!$C46),1),1-Dashboard!$E46),1)</f>
        <v>1</v>
      </c>
      <c r="P74" s="160">
        <f>IF(Dashboard!$F46="o.k.",IF(P$6&lt;=Dashboard!$D46,MIN(1-Dashboard!$E46*(1-(Dashboard!$D46-P$6)/Dashboard!$C46),1),1-Dashboard!$E46),1)</f>
        <v>1</v>
      </c>
      <c r="Q74" s="160">
        <f>IF(Dashboard!$F46="o.k.",IF(Q$6&lt;=Dashboard!$D46,MIN(1-Dashboard!$E46*(1-(Dashboard!$D46-Q$6)/Dashboard!$C46),1),1-Dashboard!$E46),1)</f>
        <v>1</v>
      </c>
      <c r="R74" s="160">
        <f>IF(Dashboard!$F46="o.k.",IF(R$6&lt;=Dashboard!$D46,MIN(1-Dashboard!$E46*(1-(Dashboard!$D46-R$6)/Dashboard!$C46),1),1-Dashboard!$E46),1)</f>
        <v>1</v>
      </c>
      <c r="S74" s="160">
        <f>IF(Dashboard!$F46="o.k.",IF(S$6&lt;=Dashboard!$D46,MIN(1-Dashboard!$E46*(1-(Dashboard!$D46-S$6)/Dashboard!$C46),1),1-Dashboard!$E46),1)</f>
        <v>1</v>
      </c>
      <c r="T74" s="160">
        <f>IF(Dashboard!$F46="o.k.",IF(T$6&lt;=Dashboard!$D46,MIN(1-Dashboard!$E46*(1-(Dashboard!$D46-T$6)/Dashboard!$C46),1),1-Dashboard!$E46),1)</f>
        <v>1</v>
      </c>
      <c r="U74" s="160">
        <f>IF(Dashboard!$F46="o.k.",IF(U$6&lt;=Dashboard!$D46,MIN(1-Dashboard!$E46*(1-(Dashboard!$D46-U$6)/Dashboard!$C46),1),1-Dashboard!$E46),1)</f>
        <v>1</v>
      </c>
      <c r="V74" s="160">
        <f>IF(Dashboard!$F46="o.k.",IF(V$6&lt;=Dashboard!$D46,MIN(1-Dashboard!$E46*(1-(Dashboard!$D46-V$6)/Dashboard!$C46),1),1-Dashboard!$E46),1)</f>
        <v>1</v>
      </c>
      <c r="W74" s="160">
        <f>IF(Dashboard!$F46="o.k.",IF(W$6&lt;=Dashboard!$D46,MIN(1-Dashboard!$E46*(1-(Dashboard!$D46-W$6)/Dashboard!$C46),1),1-Dashboard!$E46),1)</f>
        <v>1</v>
      </c>
      <c r="X74" s="160">
        <f>IF(Dashboard!$F46="o.k.",IF(X$6&lt;=Dashboard!$D46,MIN(1-Dashboard!$E46*(1-(Dashboard!$D46-X$6)/Dashboard!$C46),1),1-Dashboard!$E46),1)</f>
        <v>1</v>
      </c>
      <c r="Y74" s="160">
        <f>IF(Dashboard!$F46="o.k.",IF(Y$6&lt;=Dashboard!$D46,MIN(1-Dashboard!$E46*(1-(Dashboard!$D46-Y$6)/Dashboard!$C46),1),1-Dashboard!$E46),1)</f>
        <v>1</v>
      </c>
      <c r="Z74" s="160">
        <f>IF(Dashboard!$F46="o.k.",IF(Z$6&lt;=Dashboard!$D46,MIN(1-Dashboard!$E46*(1-(Dashboard!$D46-Z$6)/Dashboard!$C46),1),1-Dashboard!$E46),1)</f>
        <v>1</v>
      </c>
      <c r="AA74" s="160">
        <f>IF(Dashboard!$F46="o.k.",IF(AA$6&lt;=Dashboard!$D46,MIN(1-Dashboard!$E46*(1-(Dashboard!$D46-AA$6)/Dashboard!$C46),1),1-Dashboard!$E46),1)</f>
        <v>1</v>
      </c>
      <c r="AB74" s="160">
        <f>IF(Dashboard!$F46="o.k.",IF(AB$6&lt;=Dashboard!$D46,MIN(1-Dashboard!$E46*(1-(Dashboard!$D46-AB$6)/Dashboard!$C46),1),1-Dashboard!$E46),1)</f>
        <v>1</v>
      </c>
      <c r="AC74" s="160">
        <f>IF(Dashboard!$F46="o.k.",IF(AC$6&lt;=Dashboard!$D46,MIN(1-Dashboard!$E46*(1-(Dashboard!$D46-AC$6)/Dashboard!$C46),1),1-Dashboard!$E46),1)</f>
        <v>1</v>
      </c>
      <c r="AD74" s="160">
        <f>IF(Dashboard!$F46="o.k.",IF(AD$6&lt;=Dashboard!$D46,MIN(1-Dashboard!$E46*(1-(Dashboard!$D46-AD$6)/Dashboard!$C46),1),1-Dashboard!$E46),1)</f>
        <v>1</v>
      </c>
      <c r="AE74" s="160">
        <f>IF(Dashboard!$F46="o.k.",IF(AE$6&lt;=Dashboard!$D46,MIN(1-Dashboard!$E46*(1-(Dashboard!$D46-AE$6)/Dashboard!$C46),1),1-Dashboard!$E46),1)</f>
        <v>1</v>
      </c>
      <c r="AF74" s="160">
        <f>IF(Dashboard!$F46="o.k.",IF(AF$6&lt;=Dashboard!$D46,MIN(1-Dashboard!$E46*(1-(Dashboard!$D46-AF$6)/Dashboard!$C46),1),1-Dashboard!$E46),1)</f>
        <v>1</v>
      </c>
      <c r="AG74" s="160">
        <f>IF(Dashboard!$F46="o.k.",IF(AG$6&lt;=Dashboard!$D46,MIN(1-Dashboard!$E46*(1-(Dashboard!$D46-AG$6)/Dashboard!$C46),1),1-Dashboard!$E46),1)</f>
        <v>1</v>
      </c>
      <c r="AH74" s="160">
        <f>IF(Dashboard!$F46="o.k.",IF(AH$6&lt;=Dashboard!$D46,MIN(1-Dashboard!$E46*(1-(Dashboard!$D46-AH$6)/Dashboard!$C46),1),1-Dashboard!$E46),1)</f>
        <v>1</v>
      </c>
      <c r="AI74" s="160">
        <f>IF(Dashboard!$F46="o.k.",IF(AI$6&lt;=Dashboard!$D46,MIN(1-Dashboard!$E46*(1-(Dashboard!$D46-AI$6)/Dashboard!$C46),1),1-Dashboard!$E46),1)</f>
        <v>1</v>
      </c>
      <c r="AJ74" s="160">
        <f>IF(Dashboard!$F46="o.k.",IF(AJ$6&lt;=Dashboard!$D46,MIN(1-Dashboard!$E46*(1-(Dashboard!$D46-AJ$6)/Dashboard!$C46),1),1-Dashboard!$E46),1)</f>
        <v>1</v>
      </c>
      <c r="AK74" s="160">
        <f>IF(Dashboard!$F46="o.k.",IF(AK$6&lt;=Dashboard!$D46,MIN(1-Dashboard!$E46*(1-(Dashboard!$D46-AK$6)/Dashboard!$C46),1),1-Dashboard!$E46),1)</f>
        <v>1</v>
      </c>
      <c r="AL74" s="160">
        <f>IF(Dashboard!$F46="o.k.",IF(AL$6&lt;=Dashboard!$D46,MIN(1-Dashboard!$E46*(1-(Dashboard!$D46-AL$6)/Dashboard!$C46),1),1-Dashboard!$E46),1)</f>
        <v>1</v>
      </c>
    </row>
    <row r="75" spans="1:38">
      <c r="A75" s="125" t="s">
        <v>352</v>
      </c>
      <c r="B75" s="54" t="s">
        <v>508</v>
      </c>
      <c r="C75" s="160"/>
      <c r="D75" s="160"/>
      <c r="E75" s="160"/>
      <c r="F75" s="160"/>
      <c r="G75" s="160"/>
      <c r="H75" s="160"/>
      <c r="I75" s="160"/>
      <c r="J75" s="160"/>
      <c r="K75" s="160"/>
      <c r="L75" s="160">
        <f>IF(Dashboard!$F47="o.k.",IF(L$6&lt;=Dashboard!$D47,MIN(1-Dashboard!$E47*(1-(Dashboard!$D47-L$6)/Dashboard!$C47),1),1-Dashboard!$E47),1)</f>
        <v>1</v>
      </c>
      <c r="M75" s="160">
        <f>IF(Dashboard!$F47="o.k.",IF(M$6&lt;=Dashboard!$D47,MIN(1-Dashboard!$E47*(1-(Dashboard!$D47-M$6)/Dashboard!$C47),1),1-Dashboard!$E47),1)</f>
        <v>1</v>
      </c>
      <c r="N75" s="160">
        <f>IF(Dashboard!$F47="o.k.",IF(N$6&lt;=Dashboard!$D47,MIN(1-Dashboard!$E47*(1-(Dashboard!$D47-N$6)/Dashboard!$C47),1),1-Dashboard!$E47),1)</f>
        <v>1</v>
      </c>
      <c r="O75" s="160">
        <f>IF(Dashboard!$F47="o.k.",IF(O$6&lt;=Dashboard!$D47,MIN(1-Dashboard!$E47*(1-(Dashboard!$D47-O$6)/Dashboard!$C47),1),1-Dashboard!$E47),1)</f>
        <v>1</v>
      </c>
      <c r="P75" s="160">
        <f>IF(Dashboard!$F47="o.k.",IF(P$6&lt;=Dashboard!$D47,MIN(1-Dashboard!$E47*(1-(Dashboard!$D47-P$6)/Dashboard!$C47),1),1-Dashboard!$E47),1)</f>
        <v>1</v>
      </c>
      <c r="Q75" s="160">
        <f>IF(Dashboard!$F47="o.k.",IF(Q$6&lt;=Dashboard!$D47,MIN(1-Dashboard!$E47*(1-(Dashboard!$D47-Q$6)/Dashboard!$C47),1),1-Dashboard!$E47),1)</f>
        <v>1</v>
      </c>
      <c r="R75" s="160">
        <f>IF(Dashboard!$F47="o.k.",IF(R$6&lt;=Dashboard!$D47,MIN(1-Dashboard!$E47*(1-(Dashboard!$D47-R$6)/Dashboard!$C47),1),1-Dashboard!$E47),1)</f>
        <v>1</v>
      </c>
      <c r="S75" s="160">
        <f>IF(Dashboard!$F47="o.k.",IF(S$6&lt;=Dashboard!$D47,MIN(1-Dashboard!$E47*(1-(Dashboard!$D47-S$6)/Dashboard!$C47),1),1-Dashboard!$E47),1)</f>
        <v>1</v>
      </c>
      <c r="T75" s="160">
        <f>IF(Dashboard!$F47="o.k.",IF(T$6&lt;=Dashboard!$D47,MIN(1-Dashboard!$E47*(1-(Dashboard!$D47-T$6)/Dashboard!$C47),1),1-Dashboard!$E47),1)</f>
        <v>1</v>
      </c>
      <c r="U75" s="160">
        <f>IF(Dashboard!$F47="o.k.",IF(U$6&lt;=Dashboard!$D47,MIN(1-Dashboard!$E47*(1-(Dashboard!$D47-U$6)/Dashboard!$C47),1),1-Dashboard!$E47),1)</f>
        <v>1</v>
      </c>
      <c r="V75" s="160">
        <f>IF(Dashboard!$F47="o.k.",IF(V$6&lt;=Dashboard!$D47,MIN(1-Dashboard!$E47*(1-(Dashboard!$D47-V$6)/Dashboard!$C47),1),1-Dashboard!$E47),1)</f>
        <v>1</v>
      </c>
      <c r="W75" s="160">
        <f>IF(Dashboard!$F47="o.k.",IF(W$6&lt;=Dashboard!$D47,MIN(1-Dashboard!$E47*(1-(Dashboard!$D47-W$6)/Dashboard!$C47),1),1-Dashboard!$E47),1)</f>
        <v>1</v>
      </c>
      <c r="X75" s="160">
        <f>IF(Dashboard!$F47="o.k.",IF(X$6&lt;=Dashboard!$D47,MIN(1-Dashboard!$E47*(1-(Dashboard!$D47-X$6)/Dashboard!$C47),1),1-Dashboard!$E47),1)</f>
        <v>1</v>
      </c>
      <c r="Y75" s="160">
        <f>IF(Dashboard!$F47="o.k.",IF(Y$6&lt;=Dashboard!$D47,MIN(1-Dashboard!$E47*(1-(Dashboard!$D47-Y$6)/Dashboard!$C47),1),1-Dashboard!$E47),1)</f>
        <v>1</v>
      </c>
      <c r="Z75" s="160">
        <f>IF(Dashboard!$F47="o.k.",IF(Z$6&lt;=Dashboard!$D47,MIN(1-Dashboard!$E47*(1-(Dashboard!$D47-Z$6)/Dashboard!$C47),1),1-Dashboard!$E47),1)</f>
        <v>1</v>
      </c>
      <c r="AA75" s="160">
        <f>IF(Dashboard!$F47="o.k.",IF(AA$6&lt;=Dashboard!$D47,MIN(1-Dashboard!$E47*(1-(Dashboard!$D47-AA$6)/Dashboard!$C47),1),1-Dashboard!$E47),1)</f>
        <v>1</v>
      </c>
      <c r="AB75" s="160">
        <f>IF(Dashboard!$F47="o.k.",IF(AB$6&lt;=Dashboard!$D47,MIN(1-Dashboard!$E47*(1-(Dashboard!$D47-AB$6)/Dashboard!$C47),1),1-Dashboard!$E47),1)</f>
        <v>1</v>
      </c>
      <c r="AC75" s="160">
        <f>IF(Dashboard!$F47="o.k.",IF(AC$6&lt;=Dashboard!$D47,MIN(1-Dashboard!$E47*(1-(Dashboard!$D47-AC$6)/Dashboard!$C47),1),1-Dashboard!$E47),1)</f>
        <v>1</v>
      </c>
      <c r="AD75" s="160">
        <f>IF(Dashboard!$F47="o.k.",IF(AD$6&lt;=Dashboard!$D47,MIN(1-Dashboard!$E47*(1-(Dashboard!$D47-AD$6)/Dashboard!$C47),1),1-Dashboard!$E47),1)</f>
        <v>1</v>
      </c>
      <c r="AE75" s="160">
        <f>IF(Dashboard!$F47="o.k.",IF(AE$6&lt;=Dashboard!$D47,MIN(1-Dashboard!$E47*(1-(Dashboard!$D47-AE$6)/Dashboard!$C47),1),1-Dashboard!$E47),1)</f>
        <v>1</v>
      </c>
      <c r="AF75" s="160">
        <f>IF(Dashboard!$F47="o.k.",IF(AF$6&lt;=Dashboard!$D47,MIN(1-Dashboard!$E47*(1-(Dashboard!$D47-AF$6)/Dashboard!$C47),1),1-Dashboard!$E47),1)</f>
        <v>1</v>
      </c>
      <c r="AG75" s="160">
        <f>IF(Dashboard!$F47="o.k.",IF(AG$6&lt;=Dashboard!$D47,MIN(1-Dashboard!$E47*(1-(Dashboard!$D47-AG$6)/Dashboard!$C47),1),1-Dashboard!$E47),1)</f>
        <v>1</v>
      </c>
      <c r="AH75" s="160">
        <f>IF(Dashboard!$F47="o.k.",IF(AH$6&lt;=Dashboard!$D47,MIN(1-Dashboard!$E47*(1-(Dashboard!$D47-AH$6)/Dashboard!$C47),1),1-Dashboard!$E47),1)</f>
        <v>1</v>
      </c>
      <c r="AI75" s="160">
        <f>IF(Dashboard!$F47="o.k.",IF(AI$6&lt;=Dashboard!$D47,MIN(1-Dashboard!$E47*(1-(Dashboard!$D47-AI$6)/Dashboard!$C47),1),1-Dashboard!$E47),1)</f>
        <v>1</v>
      </c>
      <c r="AJ75" s="160">
        <f>IF(Dashboard!$F47="o.k.",IF(AJ$6&lt;=Dashboard!$D47,MIN(1-Dashboard!$E47*(1-(Dashboard!$D47-AJ$6)/Dashboard!$C47),1),1-Dashboard!$E47),1)</f>
        <v>1</v>
      </c>
      <c r="AK75" s="160">
        <f>IF(Dashboard!$F47="o.k.",IF(AK$6&lt;=Dashboard!$D47,MIN(1-Dashboard!$E47*(1-(Dashboard!$D47-AK$6)/Dashboard!$C47),1),1-Dashboard!$E47),1)</f>
        <v>1</v>
      </c>
      <c r="AL75" s="160">
        <f>IF(Dashboard!$F47="o.k.",IF(AL$6&lt;=Dashboard!$D47,MIN(1-Dashboard!$E47*(1-(Dashboard!$D47-AL$6)/Dashboard!$C47),1),1-Dashboard!$E47),1)</f>
        <v>1</v>
      </c>
    </row>
    <row r="76" spans="1:38">
      <c r="A76" s="125" t="s">
        <v>500</v>
      </c>
      <c r="B76" s="54" t="s">
        <v>508</v>
      </c>
      <c r="C76" s="160"/>
      <c r="D76" s="160"/>
      <c r="E76" s="160"/>
      <c r="F76" s="160"/>
      <c r="G76" s="160"/>
      <c r="H76" s="160"/>
      <c r="I76" s="160"/>
      <c r="J76" s="160"/>
      <c r="K76" s="160"/>
      <c r="L76" s="160">
        <f>IF(Dashboard!$F48="o.k.",IF(L$6&lt;=Dashboard!$D48,MIN(1-Dashboard!$E48*(1-(Dashboard!$D48-L$6)/Dashboard!$C48),1),1-Dashboard!$E48),1)</f>
        <v>1</v>
      </c>
      <c r="M76" s="160">
        <f>IF(Dashboard!$F48="o.k.",IF(M$6&lt;=Dashboard!$D48,MIN(1-Dashboard!$E48*(1-(Dashboard!$D48-M$6)/Dashboard!$C48),1),1-Dashboard!$E48),1)</f>
        <v>1</v>
      </c>
      <c r="N76" s="160">
        <f>IF(Dashboard!$F48="o.k.",IF(N$6&lt;=Dashboard!$D48,MIN(1-Dashboard!$E48*(1-(Dashboard!$D48-N$6)/Dashboard!$C48),1),1-Dashboard!$E48),1)</f>
        <v>1</v>
      </c>
      <c r="O76" s="160">
        <f>IF(Dashboard!$F48="o.k.",IF(O$6&lt;=Dashboard!$D48,MIN(1-Dashboard!$E48*(1-(Dashboard!$D48-O$6)/Dashboard!$C48),1),1-Dashboard!$E48),1)</f>
        <v>1</v>
      </c>
      <c r="P76" s="160">
        <f>IF(Dashboard!$F48="o.k.",IF(P$6&lt;=Dashboard!$D48,MIN(1-Dashboard!$E48*(1-(Dashboard!$D48-P$6)/Dashboard!$C48),1),1-Dashboard!$E48),1)</f>
        <v>1</v>
      </c>
      <c r="Q76" s="160">
        <f>IF(Dashboard!$F48="o.k.",IF(Q$6&lt;=Dashboard!$D48,MIN(1-Dashboard!$E48*(1-(Dashboard!$D48-Q$6)/Dashboard!$C48),1),1-Dashboard!$E48),1)</f>
        <v>1</v>
      </c>
      <c r="R76" s="160">
        <f>IF(Dashboard!$F48="o.k.",IF(R$6&lt;=Dashboard!$D48,MIN(1-Dashboard!$E48*(1-(Dashboard!$D48-R$6)/Dashboard!$C48),1),1-Dashboard!$E48),1)</f>
        <v>1</v>
      </c>
      <c r="S76" s="160">
        <f>IF(Dashboard!$F48="o.k.",IF(S$6&lt;=Dashboard!$D48,MIN(1-Dashboard!$E48*(1-(Dashboard!$D48-S$6)/Dashboard!$C48),1),1-Dashboard!$E48),1)</f>
        <v>1</v>
      </c>
      <c r="T76" s="160">
        <f>IF(Dashboard!$F48="o.k.",IF(T$6&lt;=Dashboard!$D48,MIN(1-Dashboard!$E48*(1-(Dashboard!$D48-T$6)/Dashboard!$C48),1),1-Dashboard!$E48),1)</f>
        <v>1</v>
      </c>
      <c r="U76" s="160">
        <f>IF(Dashboard!$F48="o.k.",IF(U$6&lt;=Dashboard!$D48,MIN(1-Dashboard!$E48*(1-(Dashboard!$D48-U$6)/Dashboard!$C48),1),1-Dashboard!$E48),1)</f>
        <v>1</v>
      </c>
      <c r="V76" s="160">
        <f>IF(Dashboard!$F48="o.k.",IF(V$6&lt;=Dashboard!$D48,MIN(1-Dashboard!$E48*(1-(Dashboard!$D48-V$6)/Dashboard!$C48),1),1-Dashboard!$E48),1)</f>
        <v>1</v>
      </c>
      <c r="W76" s="160">
        <f>IF(Dashboard!$F48="o.k.",IF(W$6&lt;=Dashboard!$D48,MIN(1-Dashboard!$E48*(1-(Dashboard!$D48-W$6)/Dashboard!$C48),1),1-Dashboard!$E48),1)</f>
        <v>1</v>
      </c>
      <c r="X76" s="160">
        <f>IF(Dashboard!$F48="o.k.",IF(X$6&lt;=Dashboard!$D48,MIN(1-Dashboard!$E48*(1-(Dashboard!$D48-X$6)/Dashboard!$C48),1),1-Dashboard!$E48),1)</f>
        <v>1</v>
      </c>
      <c r="Y76" s="160">
        <f>IF(Dashboard!$F48="o.k.",IF(Y$6&lt;=Dashboard!$D48,MIN(1-Dashboard!$E48*(1-(Dashboard!$D48-Y$6)/Dashboard!$C48),1),1-Dashboard!$E48),1)</f>
        <v>1</v>
      </c>
      <c r="Z76" s="160">
        <f>IF(Dashboard!$F48="o.k.",IF(Z$6&lt;=Dashboard!$D48,MIN(1-Dashboard!$E48*(1-(Dashboard!$D48-Z$6)/Dashboard!$C48),1),1-Dashboard!$E48),1)</f>
        <v>1</v>
      </c>
      <c r="AA76" s="160">
        <f>IF(Dashboard!$F48="o.k.",IF(AA$6&lt;=Dashboard!$D48,MIN(1-Dashboard!$E48*(1-(Dashboard!$D48-AA$6)/Dashboard!$C48),1),1-Dashboard!$E48),1)</f>
        <v>1</v>
      </c>
      <c r="AB76" s="160">
        <f>IF(Dashboard!$F48="o.k.",IF(AB$6&lt;=Dashboard!$D48,MIN(1-Dashboard!$E48*(1-(Dashboard!$D48-AB$6)/Dashboard!$C48),1),1-Dashboard!$E48),1)</f>
        <v>1</v>
      </c>
      <c r="AC76" s="160">
        <f>IF(Dashboard!$F48="o.k.",IF(AC$6&lt;=Dashboard!$D48,MIN(1-Dashboard!$E48*(1-(Dashboard!$D48-AC$6)/Dashboard!$C48),1),1-Dashboard!$E48),1)</f>
        <v>1</v>
      </c>
      <c r="AD76" s="160">
        <f>IF(Dashboard!$F48="o.k.",IF(AD$6&lt;=Dashboard!$D48,MIN(1-Dashboard!$E48*(1-(Dashboard!$D48-AD$6)/Dashboard!$C48),1),1-Dashboard!$E48),1)</f>
        <v>1</v>
      </c>
      <c r="AE76" s="160">
        <f>IF(Dashboard!$F48="o.k.",IF(AE$6&lt;=Dashboard!$D48,MIN(1-Dashboard!$E48*(1-(Dashboard!$D48-AE$6)/Dashboard!$C48),1),1-Dashboard!$E48),1)</f>
        <v>1</v>
      </c>
      <c r="AF76" s="160">
        <f>IF(Dashboard!$F48="o.k.",IF(AF$6&lt;=Dashboard!$D48,MIN(1-Dashboard!$E48*(1-(Dashboard!$D48-AF$6)/Dashboard!$C48),1),1-Dashboard!$E48),1)</f>
        <v>1</v>
      </c>
      <c r="AG76" s="160">
        <f>IF(Dashboard!$F48="o.k.",IF(AG$6&lt;=Dashboard!$D48,MIN(1-Dashboard!$E48*(1-(Dashboard!$D48-AG$6)/Dashboard!$C48),1),1-Dashboard!$E48),1)</f>
        <v>1</v>
      </c>
      <c r="AH76" s="160">
        <f>IF(Dashboard!$F48="o.k.",IF(AH$6&lt;=Dashboard!$D48,MIN(1-Dashboard!$E48*(1-(Dashboard!$D48-AH$6)/Dashboard!$C48),1),1-Dashboard!$E48),1)</f>
        <v>1</v>
      </c>
      <c r="AI76" s="160">
        <f>IF(Dashboard!$F48="o.k.",IF(AI$6&lt;=Dashboard!$D48,MIN(1-Dashboard!$E48*(1-(Dashboard!$D48-AI$6)/Dashboard!$C48),1),1-Dashboard!$E48),1)</f>
        <v>1</v>
      </c>
      <c r="AJ76" s="160">
        <f>IF(Dashboard!$F48="o.k.",IF(AJ$6&lt;=Dashboard!$D48,MIN(1-Dashboard!$E48*(1-(Dashboard!$D48-AJ$6)/Dashboard!$C48),1),1-Dashboard!$E48),1)</f>
        <v>1</v>
      </c>
      <c r="AK76" s="160">
        <f>IF(Dashboard!$F48="o.k.",IF(AK$6&lt;=Dashboard!$D48,MIN(1-Dashboard!$E48*(1-(Dashboard!$D48-AK$6)/Dashboard!$C48),1),1-Dashboard!$E48),1)</f>
        <v>1</v>
      </c>
      <c r="AL76" s="160">
        <f>IF(Dashboard!$F48="o.k.",IF(AL$6&lt;=Dashboard!$D48,MIN(1-Dashboard!$E48*(1-(Dashboard!$D48-AL$6)/Dashboard!$C48),1),1-Dashboard!$E48),1)</f>
        <v>1</v>
      </c>
    </row>
    <row r="77" spans="1:38" ht="3.95" customHeight="1">
      <c r="A77" s="54"/>
      <c r="B77" s="54"/>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row>
    <row r="78" spans="1:38" ht="14.25">
      <c r="A78" s="121" t="s">
        <v>1256</v>
      </c>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row>
    <row r="79" spans="1:38" ht="3.95" customHeight="1">
      <c r="A79" s="54"/>
      <c r="B79" s="54"/>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row>
    <row r="80" spans="1:38">
      <c r="A80" s="137" t="s">
        <v>492</v>
      </c>
      <c r="B80" s="54" t="s">
        <v>508</v>
      </c>
      <c r="C80" s="159"/>
      <c r="D80" s="159"/>
      <c r="E80" s="159"/>
      <c r="F80" s="159"/>
      <c r="G80" s="159"/>
      <c r="H80" s="159"/>
      <c r="I80" s="159"/>
      <c r="J80" s="159"/>
      <c r="K80" s="159"/>
      <c r="L80" s="160">
        <f>IF(Dashboard!$F53="o.k.",IF(L$6&lt;=Dashboard!$D53,MIN(1-Dashboard!$E53*(1-(Dashboard!$D53-L$6)/Dashboard!$C53),1),1-Dashboard!$E53),1)</f>
        <v>1</v>
      </c>
      <c r="M80" s="160">
        <f>IF(Dashboard!$F53="o.k.",IF(M$6&lt;=Dashboard!$D53,MIN(1-Dashboard!$E53*(1-(Dashboard!$D53-M$6)/Dashboard!$C53),1),1-Dashboard!$E53),1)</f>
        <v>1</v>
      </c>
      <c r="N80" s="160">
        <f>IF(Dashboard!$F53="o.k.",IF(N$6&lt;=Dashboard!$D53,MIN(1-Dashboard!$E53*(1-(Dashboard!$D53-N$6)/Dashboard!$C53),1),1-Dashboard!$E53),1)</f>
        <v>1</v>
      </c>
      <c r="O80" s="160">
        <f>IF(Dashboard!$F53="o.k.",IF(O$6&lt;=Dashboard!$D53,MIN(1-Dashboard!$E53*(1-(Dashboard!$D53-O$6)/Dashboard!$C53),1),1-Dashboard!$E53),1)</f>
        <v>1</v>
      </c>
      <c r="P80" s="160">
        <f>IF(Dashboard!$F53="o.k.",IF(P$6&lt;=Dashboard!$D53,MIN(1-Dashboard!$E53*(1-(Dashboard!$D53-P$6)/Dashboard!$C53),1),1-Dashboard!$E53),1)</f>
        <v>1</v>
      </c>
      <c r="Q80" s="160">
        <f>IF(Dashboard!$F53="o.k.",IF(Q$6&lt;=Dashboard!$D53,MIN(1-Dashboard!$E53*(1-(Dashboard!$D53-Q$6)/Dashboard!$C53),1),1-Dashboard!$E53),1)</f>
        <v>1</v>
      </c>
      <c r="R80" s="160">
        <f>IF(Dashboard!$F53="o.k.",IF(R$6&lt;=Dashboard!$D53,MIN(1-Dashboard!$E53*(1-(Dashboard!$D53-R$6)/Dashboard!$C53),1),1-Dashboard!$E53),1)</f>
        <v>1</v>
      </c>
      <c r="S80" s="160">
        <f>IF(Dashboard!$F53="o.k.",IF(S$6&lt;=Dashboard!$D53,MIN(1-Dashboard!$E53*(1-(Dashboard!$D53-S$6)/Dashboard!$C53),1),1-Dashboard!$E53),1)</f>
        <v>1</v>
      </c>
      <c r="T80" s="160">
        <f>IF(Dashboard!$F53="o.k.",IF(T$6&lt;=Dashboard!$D53,MIN(1-Dashboard!$E53*(1-(Dashboard!$D53-T$6)/Dashboard!$C53),1),1-Dashboard!$E53),1)</f>
        <v>1</v>
      </c>
      <c r="U80" s="160">
        <f>IF(Dashboard!$F53="o.k.",IF(U$6&lt;=Dashboard!$D53,MIN(1-Dashboard!$E53*(1-(Dashboard!$D53-U$6)/Dashboard!$C53),1),1-Dashboard!$E53),1)</f>
        <v>1</v>
      </c>
      <c r="V80" s="160">
        <f>IF(Dashboard!$F53="o.k.",IF(V$6&lt;=Dashboard!$D53,MIN(1-Dashboard!$E53*(1-(Dashboard!$D53-V$6)/Dashboard!$C53),1),1-Dashboard!$E53),1)</f>
        <v>1</v>
      </c>
      <c r="W80" s="160">
        <f>IF(Dashboard!$F53="o.k.",IF(W$6&lt;=Dashboard!$D53,MIN(1-Dashboard!$E53*(1-(Dashboard!$D53-W$6)/Dashboard!$C53),1),1-Dashboard!$E53),1)</f>
        <v>1</v>
      </c>
      <c r="X80" s="160">
        <f>IF(Dashboard!$F53="o.k.",IF(X$6&lt;=Dashboard!$D53,MIN(1-Dashboard!$E53*(1-(Dashboard!$D53-X$6)/Dashboard!$C53),1),1-Dashboard!$E53),1)</f>
        <v>1</v>
      </c>
      <c r="Y80" s="160">
        <f>IF(Dashboard!$F53="o.k.",IF(Y$6&lt;=Dashboard!$D53,MIN(1-Dashboard!$E53*(1-(Dashboard!$D53-Y$6)/Dashboard!$C53),1),1-Dashboard!$E53),1)</f>
        <v>1</v>
      </c>
      <c r="Z80" s="160">
        <f>IF(Dashboard!$F53="o.k.",IF(Z$6&lt;=Dashboard!$D53,MIN(1-Dashboard!$E53*(1-(Dashboard!$D53-Z$6)/Dashboard!$C53),1),1-Dashboard!$E53),1)</f>
        <v>1</v>
      </c>
      <c r="AA80" s="160">
        <f>IF(Dashboard!$F53="o.k.",IF(AA$6&lt;=Dashboard!$D53,MIN(1-Dashboard!$E53*(1-(Dashboard!$D53-AA$6)/Dashboard!$C53),1),1-Dashboard!$E53),1)</f>
        <v>1</v>
      </c>
      <c r="AB80" s="160">
        <f>IF(Dashboard!$F53="o.k.",IF(AB$6&lt;=Dashboard!$D53,MIN(1-Dashboard!$E53*(1-(Dashboard!$D53-AB$6)/Dashboard!$C53),1),1-Dashboard!$E53),1)</f>
        <v>1</v>
      </c>
      <c r="AC80" s="160">
        <f>IF(Dashboard!$F53="o.k.",IF(AC$6&lt;=Dashboard!$D53,MIN(1-Dashboard!$E53*(1-(Dashboard!$D53-AC$6)/Dashboard!$C53),1),1-Dashboard!$E53),1)</f>
        <v>1</v>
      </c>
      <c r="AD80" s="160">
        <f>IF(Dashboard!$F53="o.k.",IF(AD$6&lt;=Dashboard!$D53,MIN(1-Dashboard!$E53*(1-(Dashboard!$D53-AD$6)/Dashboard!$C53),1),1-Dashboard!$E53),1)</f>
        <v>1</v>
      </c>
      <c r="AE80" s="160">
        <f>IF(Dashboard!$F53="o.k.",IF(AE$6&lt;=Dashboard!$D53,MIN(1-Dashboard!$E53*(1-(Dashboard!$D53-AE$6)/Dashboard!$C53),1),1-Dashboard!$E53),1)</f>
        <v>1</v>
      </c>
      <c r="AF80" s="160">
        <f>IF(Dashboard!$F53="o.k.",IF(AF$6&lt;=Dashboard!$D53,MIN(1-Dashboard!$E53*(1-(Dashboard!$D53-AF$6)/Dashboard!$C53),1),1-Dashboard!$E53),1)</f>
        <v>1</v>
      </c>
      <c r="AG80" s="160">
        <f>IF(Dashboard!$F53="o.k.",IF(AG$6&lt;=Dashboard!$D53,MIN(1-Dashboard!$E53*(1-(Dashboard!$D53-AG$6)/Dashboard!$C53),1),1-Dashboard!$E53),1)</f>
        <v>1</v>
      </c>
      <c r="AH80" s="160">
        <f>IF(Dashboard!$F53="o.k.",IF(AH$6&lt;=Dashboard!$D53,MIN(1-Dashboard!$E53*(1-(Dashboard!$D53-AH$6)/Dashboard!$C53),1),1-Dashboard!$E53),1)</f>
        <v>1</v>
      </c>
      <c r="AI80" s="160">
        <f>IF(Dashboard!$F53="o.k.",IF(AI$6&lt;=Dashboard!$D53,MIN(1-Dashboard!$E53*(1-(Dashboard!$D53-AI$6)/Dashboard!$C53),1),1-Dashboard!$E53),1)</f>
        <v>1</v>
      </c>
      <c r="AJ80" s="160">
        <f>IF(Dashboard!$F53="o.k.",IF(AJ$6&lt;=Dashboard!$D53,MIN(1-Dashboard!$E53*(1-(Dashboard!$D53-AJ$6)/Dashboard!$C53),1),1-Dashboard!$E53),1)</f>
        <v>1</v>
      </c>
      <c r="AK80" s="160">
        <f>IF(Dashboard!$F53="o.k.",IF(AK$6&lt;=Dashboard!$D53,MIN(1-Dashboard!$E53*(1-(Dashboard!$D53-AK$6)/Dashboard!$C53),1),1-Dashboard!$E53),1)</f>
        <v>1</v>
      </c>
      <c r="AL80" s="160">
        <f>IF(Dashboard!$F53="o.k.",IF(AL$6&lt;=Dashboard!$D53,MIN(1-Dashboard!$E53*(1-(Dashboard!$D53-AL$6)/Dashboard!$C53),1),1-Dashboard!$E53),1)</f>
        <v>1</v>
      </c>
    </row>
    <row r="81" spans="1:38">
      <c r="A81" s="54" t="s">
        <v>493</v>
      </c>
      <c r="B81" s="54" t="s">
        <v>508</v>
      </c>
      <c r="C81" s="160"/>
      <c r="D81" s="160"/>
      <c r="E81" s="160"/>
      <c r="F81" s="160"/>
      <c r="G81" s="160"/>
      <c r="H81" s="160"/>
      <c r="I81" s="160"/>
      <c r="J81" s="160"/>
      <c r="K81" s="160"/>
      <c r="L81" s="160">
        <f>IF(Dashboard!$F54="o.k.",IF(L$6&lt;=Dashboard!$D54,MIN(1-Dashboard!$E54*(1-(Dashboard!$D54-L$6)/Dashboard!$C54),1),1-Dashboard!$E54),1)</f>
        <v>1</v>
      </c>
      <c r="M81" s="160">
        <f>IF(Dashboard!$F54="o.k.",IF(M$6&lt;=Dashboard!$D54,MIN(1-Dashboard!$E54*(1-(Dashboard!$D54-M$6)/Dashboard!$C54),1),1-Dashboard!$E54),1)</f>
        <v>1</v>
      </c>
      <c r="N81" s="160">
        <f>IF(Dashboard!$F54="o.k.",IF(N$6&lt;=Dashboard!$D54,MIN(1-Dashboard!$E54*(1-(Dashboard!$D54-N$6)/Dashboard!$C54),1),1-Dashboard!$E54),1)</f>
        <v>1</v>
      </c>
      <c r="O81" s="160">
        <f>IF(Dashboard!$F54="o.k.",IF(O$6&lt;=Dashboard!$D54,MIN(1-Dashboard!$E54*(1-(Dashboard!$D54-O$6)/Dashboard!$C54),1),1-Dashboard!$E54),1)</f>
        <v>1</v>
      </c>
      <c r="P81" s="160">
        <f>IF(Dashboard!$F54="o.k.",IF(P$6&lt;=Dashboard!$D54,MIN(1-Dashboard!$E54*(1-(Dashboard!$D54-P$6)/Dashboard!$C54),1),1-Dashboard!$E54),1)</f>
        <v>1</v>
      </c>
      <c r="Q81" s="160">
        <f>IF(Dashboard!$F54="o.k.",IF(Q$6&lt;=Dashboard!$D54,MIN(1-Dashboard!$E54*(1-(Dashboard!$D54-Q$6)/Dashboard!$C54),1),1-Dashboard!$E54),1)</f>
        <v>1</v>
      </c>
      <c r="R81" s="160">
        <f>IF(Dashboard!$F54="o.k.",IF(R$6&lt;=Dashboard!$D54,MIN(1-Dashboard!$E54*(1-(Dashboard!$D54-R$6)/Dashboard!$C54),1),1-Dashboard!$E54),1)</f>
        <v>1</v>
      </c>
      <c r="S81" s="160">
        <f>IF(Dashboard!$F54="o.k.",IF(S$6&lt;=Dashboard!$D54,MIN(1-Dashboard!$E54*(1-(Dashboard!$D54-S$6)/Dashboard!$C54),1),1-Dashboard!$E54),1)</f>
        <v>1</v>
      </c>
      <c r="T81" s="160">
        <f>IF(Dashboard!$F54="o.k.",IF(T$6&lt;=Dashboard!$D54,MIN(1-Dashboard!$E54*(1-(Dashboard!$D54-T$6)/Dashboard!$C54),1),1-Dashboard!$E54),1)</f>
        <v>1</v>
      </c>
      <c r="U81" s="160">
        <f>IF(Dashboard!$F54="o.k.",IF(U$6&lt;=Dashboard!$D54,MIN(1-Dashboard!$E54*(1-(Dashboard!$D54-U$6)/Dashboard!$C54),1),1-Dashboard!$E54),1)</f>
        <v>1</v>
      </c>
      <c r="V81" s="160">
        <f>IF(Dashboard!$F54="o.k.",IF(V$6&lt;=Dashboard!$D54,MIN(1-Dashboard!$E54*(1-(Dashboard!$D54-V$6)/Dashboard!$C54),1),1-Dashboard!$E54),1)</f>
        <v>1</v>
      </c>
      <c r="W81" s="160">
        <f>IF(Dashboard!$F54="o.k.",IF(W$6&lt;=Dashboard!$D54,MIN(1-Dashboard!$E54*(1-(Dashboard!$D54-W$6)/Dashboard!$C54),1),1-Dashboard!$E54),1)</f>
        <v>1</v>
      </c>
      <c r="X81" s="160">
        <f>IF(Dashboard!$F54="o.k.",IF(X$6&lt;=Dashboard!$D54,MIN(1-Dashboard!$E54*(1-(Dashboard!$D54-X$6)/Dashboard!$C54),1),1-Dashboard!$E54),1)</f>
        <v>1</v>
      </c>
      <c r="Y81" s="160">
        <f>IF(Dashboard!$F54="o.k.",IF(Y$6&lt;=Dashboard!$D54,MIN(1-Dashboard!$E54*(1-(Dashboard!$D54-Y$6)/Dashboard!$C54),1),1-Dashboard!$E54),1)</f>
        <v>1</v>
      </c>
      <c r="Z81" s="160">
        <f>IF(Dashboard!$F54="o.k.",IF(Z$6&lt;=Dashboard!$D54,MIN(1-Dashboard!$E54*(1-(Dashboard!$D54-Z$6)/Dashboard!$C54),1),1-Dashboard!$E54),1)</f>
        <v>1</v>
      </c>
      <c r="AA81" s="160">
        <f>IF(Dashboard!$F54="o.k.",IF(AA$6&lt;=Dashboard!$D54,MIN(1-Dashboard!$E54*(1-(Dashboard!$D54-AA$6)/Dashboard!$C54),1),1-Dashboard!$E54),1)</f>
        <v>1</v>
      </c>
      <c r="AB81" s="160">
        <f>IF(Dashboard!$F54="o.k.",IF(AB$6&lt;=Dashboard!$D54,MIN(1-Dashboard!$E54*(1-(Dashboard!$D54-AB$6)/Dashboard!$C54),1),1-Dashboard!$E54),1)</f>
        <v>1</v>
      </c>
      <c r="AC81" s="160">
        <f>IF(Dashboard!$F54="o.k.",IF(AC$6&lt;=Dashboard!$D54,MIN(1-Dashboard!$E54*(1-(Dashboard!$D54-AC$6)/Dashboard!$C54),1),1-Dashboard!$E54),1)</f>
        <v>1</v>
      </c>
      <c r="AD81" s="160">
        <f>IF(Dashboard!$F54="o.k.",IF(AD$6&lt;=Dashboard!$D54,MIN(1-Dashboard!$E54*(1-(Dashboard!$D54-AD$6)/Dashboard!$C54),1),1-Dashboard!$E54),1)</f>
        <v>1</v>
      </c>
      <c r="AE81" s="160">
        <f>IF(Dashboard!$F54="o.k.",IF(AE$6&lt;=Dashboard!$D54,MIN(1-Dashboard!$E54*(1-(Dashboard!$D54-AE$6)/Dashboard!$C54),1),1-Dashboard!$E54),1)</f>
        <v>1</v>
      </c>
      <c r="AF81" s="160">
        <f>IF(Dashboard!$F54="o.k.",IF(AF$6&lt;=Dashboard!$D54,MIN(1-Dashboard!$E54*(1-(Dashboard!$D54-AF$6)/Dashboard!$C54),1),1-Dashboard!$E54),1)</f>
        <v>1</v>
      </c>
      <c r="AG81" s="160">
        <f>IF(Dashboard!$F54="o.k.",IF(AG$6&lt;=Dashboard!$D54,MIN(1-Dashboard!$E54*(1-(Dashboard!$D54-AG$6)/Dashboard!$C54),1),1-Dashboard!$E54),1)</f>
        <v>1</v>
      </c>
      <c r="AH81" s="160">
        <f>IF(Dashboard!$F54="o.k.",IF(AH$6&lt;=Dashboard!$D54,MIN(1-Dashboard!$E54*(1-(Dashboard!$D54-AH$6)/Dashboard!$C54),1),1-Dashboard!$E54),1)</f>
        <v>1</v>
      </c>
      <c r="AI81" s="160">
        <f>IF(Dashboard!$F54="o.k.",IF(AI$6&lt;=Dashboard!$D54,MIN(1-Dashboard!$E54*(1-(Dashboard!$D54-AI$6)/Dashboard!$C54),1),1-Dashboard!$E54),1)</f>
        <v>1</v>
      </c>
      <c r="AJ81" s="160">
        <f>IF(Dashboard!$F54="o.k.",IF(AJ$6&lt;=Dashboard!$D54,MIN(1-Dashboard!$E54*(1-(Dashboard!$D54-AJ$6)/Dashboard!$C54),1),1-Dashboard!$E54),1)</f>
        <v>1</v>
      </c>
      <c r="AK81" s="160">
        <f>IF(Dashboard!$F54="o.k.",IF(AK$6&lt;=Dashboard!$D54,MIN(1-Dashboard!$E54*(1-(Dashboard!$D54-AK$6)/Dashboard!$C54),1),1-Dashboard!$E54),1)</f>
        <v>1</v>
      </c>
      <c r="AL81" s="160">
        <f>IF(Dashboard!$F54="o.k.",IF(AL$6&lt;=Dashboard!$D54,MIN(1-Dashboard!$E54*(1-(Dashboard!$D54-AL$6)/Dashboard!$C54),1),1-Dashboard!$E54),1)</f>
        <v>1</v>
      </c>
    </row>
    <row r="82" spans="1:38">
      <c r="A82" s="54" t="s">
        <v>494</v>
      </c>
      <c r="B82" s="54" t="s">
        <v>508</v>
      </c>
      <c r="C82" s="160"/>
      <c r="D82" s="160"/>
      <c r="E82" s="160"/>
      <c r="F82" s="160"/>
      <c r="G82" s="160"/>
      <c r="H82" s="160"/>
      <c r="I82" s="160"/>
      <c r="J82" s="160"/>
      <c r="K82" s="160"/>
      <c r="L82" s="160">
        <f>IF(Dashboard!$F55="o.k.",IF(L$6&lt;=Dashboard!$D55,MIN(1-Dashboard!$E55*(1-(Dashboard!$D55-L$6)/Dashboard!$C55),1),1-Dashboard!$E55),1)</f>
        <v>1</v>
      </c>
      <c r="M82" s="160">
        <f>IF(Dashboard!$F55="o.k.",IF(M$6&lt;=Dashboard!$D55,MIN(1-Dashboard!$E55*(1-(Dashboard!$D55-M$6)/Dashboard!$C55),1),1-Dashboard!$E55),1)</f>
        <v>1</v>
      </c>
      <c r="N82" s="160">
        <f>IF(Dashboard!$F55="o.k.",IF(N$6&lt;=Dashboard!$D55,MIN(1-Dashboard!$E55*(1-(Dashboard!$D55-N$6)/Dashboard!$C55),1),1-Dashboard!$E55),1)</f>
        <v>1</v>
      </c>
      <c r="O82" s="160">
        <f>IF(Dashboard!$F55="o.k.",IF(O$6&lt;=Dashboard!$D55,MIN(1-Dashboard!$E55*(1-(Dashboard!$D55-O$6)/Dashboard!$C55),1),1-Dashboard!$E55),1)</f>
        <v>1</v>
      </c>
      <c r="P82" s="160">
        <f>IF(Dashboard!$F55="o.k.",IF(P$6&lt;=Dashboard!$D55,MIN(1-Dashboard!$E55*(1-(Dashboard!$D55-P$6)/Dashboard!$C55),1),1-Dashboard!$E55),1)</f>
        <v>1</v>
      </c>
      <c r="Q82" s="160">
        <f>IF(Dashboard!$F55="o.k.",IF(Q$6&lt;=Dashboard!$D55,MIN(1-Dashboard!$E55*(1-(Dashboard!$D55-Q$6)/Dashboard!$C55),1),1-Dashboard!$E55),1)</f>
        <v>1</v>
      </c>
      <c r="R82" s="160">
        <f>IF(Dashboard!$F55="o.k.",IF(R$6&lt;=Dashboard!$D55,MIN(1-Dashboard!$E55*(1-(Dashboard!$D55-R$6)/Dashboard!$C55),1),1-Dashboard!$E55),1)</f>
        <v>1</v>
      </c>
      <c r="S82" s="160">
        <f>IF(Dashboard!$F55="o.k.",IF(S$6&lt;=Dashboard!$D55,MIN(1-Dashboard!$E55*(1-(Dashboard!$D55-S$6)/Dashboard!$C55),1),1-Dashboard!$E55),1)</f>
        <v>1</v>
      </c>
      <c r="T82" s="160">
        <f>IF(Dashboard!$F55="o.k.",IF(T$6&lt;=Dashboard!$D55,MIN(1-Dashboard!$E55*(1-(Dashboard!$D55-T$6)/Dashboard!$C55),1),1-Dashboard!$E55),1)</f>
        <v>1</v>
      </c>
      <c r="U82" s="160">
        <f>IF(Dashboard!$F55="o.k.",IF(U$6&lt;=Dashboard!$D55,MIN(1-Dashboard!$E55*(1-(Dashboard!$D55-U$6)/Dashboard!$C55),1),1-Dashboard!$E55),1)</f>
        <v>1</v>
      </c>
      <c r="V82" s="160">
        <f>IF(Dashboard!$F55="o.k.",IF(V$6&lt;=Dashboard!$D55,MIN(1-Dashboard!$E55*(1-(Dashboard!$D55-V$6)/Dashboard!$C55),1),1-Dashboard!$E55),1)</f>
        <v>1</v>
      </c>
      <c r="W82" s="160">
        <f>IF(Dashboard!$F55="o.k.",IF(W$6&lt;=Dashboard!$D55,MIN(1-Dashboard!$E55*(1-(Dashboard!$D55-W$6)/Dashboard!$C55),1),1-Dashboard!$E55),1)</f>
        <v>1</v>
      </c>
      <c r="X82" s="160">
        <f>IF(Dashboard!$F55="o.k.",IF(X$6&lt;=Dashboard!$D55,MIN(1-Dashboard!$E55*(1-(Dashboard!$D55-X$6)/Dashboard!$C55),1),1-Dashboard!$E55),1)</f>
        <v>1</v>
      </c>
      <c r="Y82" s="160">
        <f>IF(Dashboard!$F55="o.k.",IF(Y$6&lt;=Dashboard!$D55,MIN(1-Dashboard!$E55*(1-(Dashboard!$D55-Y$6)/Dashboard!$C55),1),1-Dashboard!$E55),1)</f>
        <v>1</v>
      </c>
      <c r="Z82" s="160">
        <f>IF(Dashboard!$F55="o.k.",IF(Z$6&lt;=Dashboard!$D55,MIN(1-Dashboard!$E55*(1-(Dashboard!$D55-Z$6)/Dashboard!$C55),1),1-Dashboard!$E55),1)</f>
        <v>1</v>
      </c>
      <c r="AA82" s="160">
        <f>IF(Dashboard!$F55="o.k.",IF(AA$6&lt;=Dashboard!$D55,MIN(1-Dashboard!$E55*(1-(Dashboard!$D55-AA$6)/Dashboard!$C55),1),1-Dashboard!$E55),1)</f>
        <v>1</v>
      </c>
      <c r="AB82" s="160">
        <f>IF(Dashboard!$F55="o.k.",IF(AB$6&lt;=Dashboard!$D55,MIN(1-Dashboard!$E55*(1-(Dashboard!$D55-AB$6)/Dashboard!$C55),1),1-Dashboard!$E55),1)</f>
        <v>1</v>
      </c>
      <c r="AC82" s="160">
        <f>IF(Dashboard!$F55="o.k.",IF(AC$6&lt;=Dashboard!$D55,MIN(1-Dashboard!$E55*(1-(Dashboard!$D55-AC$6)/Dashboard!$C55),1),1-Dashboard!$E55),1)</f>
        <v>1</v>
      </c>
      <c r="AD82" s="160">
        <f>IF(Dashboard!$F55="o.k.",IF(AD$6&lt;=Dashboard!$D55,MIN(1-Dashboard!$E55*(1-(Dashboard!$D55-AD$6)/Dashboard!$C55),1),1-Dashboard!$E55),1)</f>
        <v>1</v>
      </c>
      <c r="AE82" s="160">
        <f>IF(Dashboard!$F55="o.k.",IF(AE$6&lt;=Dashboard!$D55,MIN(1-Dashboard!$E55*(1-(Dashboard!$D55-AE$6)/Dashboard!$C55),1),1-Dashboard!$E55),1)</f>
        <v>1</v>
      </c>
      <c r="AF82" s="160">
        <f>IF(Dashboard!$F55="o.k.",IF(AF$6&lt;=Dashboard!$D55,MIN(1-Dashboard!$E55*(1-(Dashboard!$D55-AF$6)/Dashboard!$C55),1),1-Dashboard!$E55),1)</f>
        <v>1</v>
      </c>
      <c r="AG82" s="160">
        <f>IF(Dashboard!$F55="o.k.",IF(AG$6&lt;=Dashboard!$D55,MIN(1-Dashboard!$E55*(1-(Dashboard!$D55-AG$6)/Dashboard!$C55),1),1-Dashboard!$E55),1)</f>
        <v>1</v>
      </c>
      <c r="AH82" s="160">
        <f>IF(Dashboard!$F55="o.k.",IF(AH$6&lt;=Dashboard!$D55,MIN(1-Dashboard!$E55*(1-(Dashboard!$D55-AH$6)/Dashboard!$C55),1),1-Dashboard!$E55),1)</f>
        <v>1</v>
      </c>
      <c r="AI82" s="160">
        <f>IF(Dashboard!$F55="o.k.",IF(AI$6&lt;=Dashboard!$D55,MIN(1-Dashboard!$E55*(1-(Dashboard!$D55-AI$6)/Dashboard!$C55),1),1-Dashboard!$E55),1)</f>
        <v>1</v>
      </c>
      <c r="AJ82" s="160">
        <f>IF(Dashboard!$F55="o.k.",IF(AJ$6&lt;=Dashboard!$D55,MIN(1-Dashboard!$E55*(1-(Dashboard!$D55-AJ$6)/Dashboard!$C55),1),1-Dashboard!$E55),1)</f>
        <v>1</v>
      </c>
      <c r="AK82" s="160">
        <f>IF(Dashboard!$F55="o.k.",IF(AK$6&lt;=Dashboard!$D55,MIN(1-Dashboard!$E55*(1-(Dashboard!$D55-AK$6)/Dashboard!$C55),1),1-Dashboard!$E55),1)</f>
        <v>1</v>
      </c>
      <c r="AL82" s="160">
        <f>IF(Dashboard!$F55="o.k.",IF(AL$6&lt;=Dashboard!$D55,MIN(1-Dashboard!$E55*(1-(Dashboard!$D55-AL$6)/Dashboard!$C55),1),1-Dashboard!$E55),1)</f>
        <v>1</v>
      </c>
    </row>
    <row r="83" spans="1:38">
      <c r="A83" s="137" t="s">
        <v>495</v>
      </c>
      <c r="B83" s="54" t="s">
        <v>508</v>
      </c>
      <c r="C83" s="160"/>
      <c r="D83" s="160"/>
      <c r="E83" s="160"/>
      <c r="F83" s="160"/>
      <c r="G83" s="160"/>
      <c r="H83" s="160"/>
      <c r="I83" s="160"/>
      <c r="J83" s="160"/>
      <c r="K83" s="160"/>
      <c r="L83" s="160">
        <f>IF(Dashboard!$F56="o.k.",IF(L$6&lt;=Dashboard!$D56,MIN(1-Dashboard!$E56*(1-(Dashboard!$D56-L$6)/Dashboard!$C56),1),1-Dashboard!$E56),1)</f>
        <v>1</v>
      </c>
      <c r="M83" s="160">
        <f>IF(Dashboard!$F56="o.k.",IF(M$6&lt;=Dashboard!$D56,MIN(1-Dashboard!$E56*(1-(Dashboard!$D56-M$6)/Dashboard!$C56),1),1-Dashboard!$E56),1)</f>
        <v>1</v>
      </c>
      <c r="N83" s="160">
        <f>IF(Dashboard!$F56="o.k.",IF(N$6&lt;=Dashboard!$D56,MIN(1-Dashboard!$E56*(1-(Dashboard!$D56-N$6)/Dashboard!$C56),1),1-Dashboard!$E56),1)</f>
        <v>1</v>
      </c>
      <c r="O83" s="160">
        <f>IF(Dashboard!$F56="o.k.",IF(O$6&lt;=Dashboard!$D56,MIN(1-Dashboard!$E56*(1-(Dashboard!$D56-O$6)/Dashboard!$C56),1),1-Dashboard!$E56),1)</f>
        <v>1</v>
      </c>
      <c r="P83" s="160">
        <f>IF(Dashboard!$F56="o.k.",IF(P$6&lt;=Dashboard!$D56,MIN(1-Dashboard!$E56*(1-(Dashboard!$D56-P$6)/Dashboard!$C56),1),1-Dashboard!$E56),1)</f>
        <v>1</v>
      </c>
      <c r="Q83" s="160">
        <f>IF(Dashboard!$F56="o.k.",IF(Q$6&lt;=Dashboard!$D56,MIN(1-Dashboard!$E56*(1-(Dashboard!$D56-Q$6)/Dashboard!$C56),1),1-Dashboard!$E56),1)</f>
        <v>1</v>
      </c>
      <c r="R83" s="160">
        <f>IF(Dashboard!$F56="o.k.",IF(R$6&lt;=Dashboard!$D56,MIN(1-Dashboard!$E56*(1-(Dashboard!$D56-R$6)/Dashboard!$C56),1),1-Dashboard!$E56),1)</f>
        <v>1</v>
      </c>
      <c r="S83" s="160">
        <f>IF(Dashboard!$F56="o.k.",IF(S$6&lt;=Dashboard!$D56,MIN(1-Dashboard!$E56*(1-(Dashboard!$D56-S$6)/Dashboard!$C56),1),1-Dashboard!$E56),1)</f>
        <v>1</v>
      </c>
      <c r="T83" s="160">
        <f>IF(Dashboard!$F56="o.k.",IF(T$6&lt;=Dashboard!$D56,MIN(1-Dashboard!$E56*(1-(Dashboard!$D56-T$6)/Dashboard!$C56),1),1-Dashboard!$E56),1)</f>
        <v>1</v>
      </c>
      <c r="U83" s="160">
        <f>IF(Dashboard!$F56="o.k.",IF(U$6&lt;=Dashboard!$D56,MIN(1-Dashboard!$E56*(1-(Dashboard!$D56-U$6)/Dashboard!$C56),1),1-Dashboard!$E56),1)</f>
        <v>1</v>
      </c>
      <c r="V83" s="160">
        <f>IF(Dashboard!$F56="o.k.",IF(V$6&lt;=Dashboard!$D56,MIN(1-Dashboard!$E56*(1-(Dashboard!$D56-V$6)/Dashboard!$C56),1),1-Dashboard!$E56),1)</f>
        <v>1</v>
      </c>
      <c r="W83" s="160">
        <f>IF(Dashboard!$F56="o.k.",IF(W$6&lt;=Dashboard!$D56,MIN(1-Dashboard!$E56*(1-(Dashboard!$D56-W$6)/Dashboard!$C56),1),1-Dashboard!$E56),1)</f>
        <v>1</v>
      </c>
      <c r="X83" s="160">
        <f>IF(Dashboard!$F56="o.k.",IF(X$6&lt;=Dashboard!$D56,MIN(1-Dashboard!$E56*(1-(Dashboard!$D56-X$6)/Dashboard!$C56),1),1-Dashboard!$E56),1)</f>
        <v>1</v>
      </c>
      <c r="Y83" s="160">
        <f>IF(Dashboard!$F56="o.k.",IF(Y$6&lt;=Dashboard!$D56,MIN(1-Dashboard!$E56*(1-(Dashboard!$D56-Y$6)/Dashboard!$C56),1),1-Dashboard!$E56),1)</f>
        <v>1</v>
      </c>
      <c r="Z83" s="160">
        <f>IF(Dashboard!$F56="o.k.",IF(Z$6&lt;=Dashboard!$D56,MIN(1-Dashboard!$E56*(1-(Dashboard!$D56-Z$6)/Dashboard!$C56),1),1-Dashboard!$E56),1)</f>
        <v>1</v>
      </c>
      <c r="AA83" s="160">
        <f>IF(Dashboard!$F56="o.k.",IF(AA$6&lt;=Dashboard!$D56,MIN(1-Dashboard!$E56*(1-(Dashboard!$D56-AA$6)/Dashboard!$C56),1),1-Dashboard!$E56),1)</f>
        <v>1</v>
      </c>
      <c r="AB83" s="160">
        <f>IF(Dashboard!$F56="o.k.",IF(AB$6&lt;=Dashboard!$D56,MIN(1-Dashboard!$E56*(1-(Dashboard!$D56-AB$6)/Dashboard!$C56),1),1-Dashboard!$E56),1)</f>
        <v>1</v>
      </c>
      <c r="AC83" s="160">
        <f>IF(Dashboard!$F56="o.k.",IF(AC$6&lt;=Dashboard!$D56,MIN(1-Dashboard!$E56*(1-(Dashboard!$D56-AC$6)/Dashboard!$C56),1),1-Dashboard!$E56),1)</f>
        <v>1</v>
      </c>
      <c r="AD83" s="160">
        <f>IF(Dashboard!$F56="o.k.",IF(AD$6&lt;=Dashboard!$D56,MIN(1-Dashboard!$E56*(1-(Dashboard!$D56-AD$6)/Dashboard!$C56),1),1-Dashboard!$E56),1)</f>
        <v>1</v>
      </c>
      <c r="AE83" s="160">
        <f>IF(Dashboard!$F56="o.k.",IF(AE$6&lt;=Dashboard!$D56,MIN(1-Dashboard!$E56*(1-(Dashboard!$D56-AE$6)/Dashboard!$C56),1),1-Dashboard!$E56),1)</f>
        <v>1</v>
      </c>
      <c r="AF83" s="160">
        <f>IF(Dashboard!$F56="o.k.",IF(AF$6&lt;=Dashboard!$D56,MIN(1-Dashboard!$E56*(1-(Dashboard!$D56-AF$6)/Dashboard!$C56),1),1-Dashboard!$E56),1)</f>
        <v>1</v>
      </c>
      <c r="AG83" s="160">
        <f>IF(Dashboard!$F56="o.k.",IF(AG$6&lt;=Dashboard!$D56,MIN(1-Dashboard!$E56*(1-(Dashboard!$D56-AG$6)/Dashboard!$C56),1),1-Dashboard!$E56),1)</f>
        <v>1</v>
      </c>
      <c r="AH83" s="160">
        <f>IF(Dashboard!$F56="o.k.",IF(AH$6&lt;=Dashboard!$D56,MIN(1-Dashboard!$E56*(1-(Dashboard!$D56-AH$6)/Dashboard!$C56),1),1-Dashboard!$E56),1)</f>
        <v>1</v>
      </c>
      <c r="AI83" s="160">
        <f>IF(Dashboard!$F56="o.k.",IF(AI$6&lt;=Dashboard!$D56,MIN(1-Dashboard!$E56*(1-(Dashboard!$D56-AI$6)/Dashboard!$C56),1),1-Dashboard!$E56),1)</f>
        <v>1</v>
      </c>
      <c r="AJ83" s="160">
        <f>IF(Dashboard!$F56="o.k.",IF(AJ$6&lt;=Dashboard!$D56,MIN(1-Dashboard!$E56*(1-(Dashboard!$D56-AJ$6)/Dashboard!$C56),1),1-Dashboard!$E56),1)</f>
        <v>1</v>
      </c>
      <c r="AK83" s="160">
        <f>IF(Dashboard!$F56="o.k.",IF(AK$6&lt;=Dashboard!$D56,MIN(1-Dashboard!$E56*(1-(Dashboard!$D56-AK$6)/Dashboard!$C56),1),1-Dashboard!$E56),1)</f>
        <v>1</v>
      </c>
      <c r="AL83" s="160">
        <f>IF(Dashboard!$F56="o.k.",IF(AL$6&lt;=Dashboard!$D56,MIN(1-Dashboard!$E56*(1-(Dashboard!$D56-AL$6)/Dashboard!$C56),1),1-Dashboard!$E56),1)</f>
        <v>1</v>
      </c>
    </row>
    <row r="84" spans="1:38">
      <c r="A84" s="54" t="s">
        <v>496</v>
      </c>
      <c r="B84" s="54" t="s">
        <v>508</v>
      </c>
      <c r="C84" s="160"/>
      <c r="D84" s="160"/>
      <c r="E84" s="160"/>
      <c r="F84" s="160"/>
      <c r="G84" s="160"/>
      <c r="H84" s="160"/>
      <c r="I84" s="160"/>
      <c r="J84" s="160"/>
      <c r="K84" s="160"/>
      <c r="L84" s="160">
        <f>IF(Dashboard!$F57="o.k.",IF(L$6&lt;=Dashboard!$D57,MIN(1-Dashboard!$E57*(1-(Dashboard!$D57-L$6)/Dashboard!$C57),1),1-Dashboard!$E57),1)</f>
        <v>1</v>
      </c>
      <c r="M84" s="160">
        <f>IF(Dashboard!$F57="o.k.",IF(M$6&lt;=Dashboard!$D57,MIN(1-Dashboard!$E57*(1-(Dashboard!$D57-M$6)/Dashboard!$C57),1),1-Dashboard!$E57),1)</f>
        <v>1</v>
      </c>
      <c r="N84" s="160">
        <f>IF(Dashboard!$F57="o.k.",IF(N$6&lt;=Dashboard!$D57,MIN(1-Dashboard!$E57*(1-(Dashboard!$D57-N$6)/Dashboard!$C57),1),1-Dashboard!$E57),1)</f>
        <v>1</v>
      </c>
      <c r="O84" s="160">
        <f>IF(Dashboard!$F57="o.k.",IF(O$6&lt;=Dashboard!$D57,MIN(1-Dashboard!$E57*(1-(Dashboard!$D57-O$6)/Dashboard!$C57),1),1-Dashboard!$E57),1)</f>
        <v>1</v>
      </c>
      <c r="P84" s="160">
        <f>IF(Dashboard!$F57="o.k.",IF(P$6&lt;=Dashboard!$D57,MIN(1-Dashboard!$E57*(1-(Dashboard!$D57-P$6)/Dashboard!$C57),1),1-Dashboard!$E57),1)</f>
        <v>1</v>
      </c>
      <c r="Q84" s="160">
        <f>IF(Dashboard!$F57="o.k.",IF(Q$6&lt;=Dashboard!$D57,MIN(1-Dashboard!$E57*(1-(Dashboard!$D57-Q$6)/Dashboard!$C57),1),1-Dashboard!$E57),1)</f>
        <v>1</v>
      </c>
      <c r="R84" s="160">
        <f>IF(Dashboard!$F57="o.k.",IF(R$6&lt;=Dashboard!$D57,MIN(1-Dashboard!$E57*(1-(Dashboard!$D57-R$6)/Dashboard!$C57),1),1-Dashboard!$E57),1)</f>
        <v>1</v>
      </c>
      <c r="S84" s="160">
        <f>IF(Dashboard!$F57="o.k.",IF(S$6&lt;=Dashboard!$D57,MIN(1-Dashboard!$E57*(1-(Dashboard!$D57-S$6)/Dashboard!$C57),1),1-Dashboard!$E57),1)</f>
        <v>1</v>
      </c>
      <c r="T84" s="160">
        <f>IF(Dashboard!$F57="o.k.",IF(T$6&lt;=Dashboard!$D57,MIN(1-Dashboard!$E57*(1-(Dashboard!$D57-T$6)/Dashboard!$C57),1),1-Dashboard!$E57),1)</f>
        <v>1</v>
      </c>
      <c r="U84" s="160">
        <f>IF(Dashboard!$F57="o.k.",IF(U$6&lt;=Dashboard!$D57,MIN(1-Dashboard!$E57*(1-(Dashboard!$D57-U$6)/Dashboard!$C57),1),1-Dashboard!$E57),1)</f>
        <v>1</v>
      </c>
      <c r="V84" s="160">
        <f>IF(Dashboard!$F57="o.k.",IF(V$6&lt;=Dashboard!$D57,MIN(1-Dashboard!$E57*(1-(Dashboard!$D57-V$6)/Dashboard!$C57),1),1-Dashboard!$E57),1)</f>
        <v>1</v>
      </c>
      <c r="W84" s="160">
        <f>IF(Dashboard!$F57="o.k.",IF(W$6&lt;=Dashboard!$D57,MIN(1-Dashboard!$E57*(1-(Dashboard!$D57-W$6)/Dashboard!$C57),1),1-Dashboard!$E57),1)</f>
        <v>1</v>
      </c>
      <c r="X84" s="160">
        <f>IF(Dashboard!$F57="o.k.",IF(X$6&lt;=Dashboard!$D57,MIN(1-Dashboard!$E57*(1-(Dashboard!$D57-X$6)/Dashboard!$C57),1),1-Dashboard!$E57),1)</f>
        <v>1</v>
      </c>
      <c r="Y84" s="160">
        <f>IF(Dashboard!$F57="o.k.",IF(Y$6&lt;=Dashboard!$D57,MIN(1-Dashboard!$E57*(1-(Dashboard!$D57-Y$6)/Dashboard!$C57),1),1-Dashboard!$E57),1)</f>
        <v>1</v>
      </c>
      <c r="Z84" s="160">
        <f>IF(Dashboard!$F57="o.k.",IF(Z$6&lt;=Dashboard!$D57,MIN(1-Dashboard!$E57*(1-(Dashboard!$D57-Z$6)/Dashboard!$C57),1),1-Dashboard!$E57),1)</f>
        <v>1</v>
      </c>
      <c r="AA84" s="160">
        <f>IF(Dashboard!$F57="o.k.",IF(AA$6&lt;=Dashboard!$D57,MIN(1-Dashboard!$E57*(1-(Dashboard!$D57-AA$6)/Dashboard!$C57),1),1-Dashboard!$E57),1)</f>
        <v>1</v>
      </c>
      <c r="AB84" s="160">
        <f>IF(Dashboard!$F57="o.k.",IF(AB$6&lt;=Dashboard!$D57,MIN(1-Dashboard!$E57*(1-(Dashboard!$D57-AB$6)/Dashboard!$C57),1),1-Dashboard!$E57),1)</f>
        <v>1</v>
      </c>
      <c r="AC84" s="160">
        <f>IF(Dashboard!$F57="o.k.",IF(AC$6&lt;=Dashboard!$D57,MIN(1-Dashboard!$E57*(1-(Dashboard!$D57-AC$6)/Dashboard!$C57),1),1-Dashboard!$E57),1)</f>
        <v>1</v>
      </c>
      <c r="AD84" s="160">
        <f>IF(Dashboard!$F57="o.k.",IF(AD$6&lt;=Dashboard!$D57,MIN(1-Dashboard!$E57*(1-(Dashboard!$D57-AD$6)/Dashboard!$C57),1),1-Dashboard!$E57),1)</f>
        <v>1</v>
      </c>
      <c r="AE84" s="160">
        <f>IF(Dashboard!$F57="o.k.",IF(AE$6&lt;=Dashboard!$D57,MIN(1-Dashboard!$E57*(1-(Dashboard!$D57-AE$6)/Dashboard!$C57),1),1-Dashboard!$E57),1)</f>
        <v>1</v>
      </c>
      <c r="AF84" s="160">
        <f>IF(Dashboard!$F57="o.k.",IF(AF$6&lt;=Dashboard!$D57,MIN(1-Dashboard!$E57*(1-(Dashboard!$D57-AF$6)/Dashboard!$C57),1),1-Dashboard!$E57),1)</f>
        <v>1</v>
      </c>
      <c r="AG84" s="160">
        <f>IF(Dashboard!$F57="o.k.",IF(AG$6&lt;=Dashboard!$D57,MIN(1-Dashboard!$E57*(1-(Dashboard!$D57-AG$6)/Dashboard!$C57),1),1-Dashboard!$E57),1)</f>
        <v>1</v>
      </c>
      <c r="AH84" s="160">
        <f>IF(Dashboard!$F57="o.k.",IF(AH$6&lt;=Dashboard!$D57,MIN(1-Dashboard!$E57*(1-(Dashboard!$D57-AH$6)/Dashboard!$C57),1),1-Dashboard!$E57),1)</f>
        <v>1</v>
      </c>
      <c r="AI84" s="160">
        <f>IF(Dashboard!$F57="o.k.",IF(AI$6&lt;=Dashboard!$D57,MIN(1-Dashboard!$E57*(1-(Dashboard!$D57-AI$6)/Dashboard!$C57),1),1-Dashboard!$E57),1)</f>
        <v>1</v>
      </c>
      <c r="AJ84" s="160">
        <f>IF(Dashboard!$F57="o.k.",IF(AJ$6&lt;=Dashboard!$D57,MIN(1-Dashboard!$E57*(1-(Dashboard!$D57-AJ$6)/Dashboard!$C57),1),1-Dashboard!$E57),1)</f>
        <v>1</v>
      </c>
      <c r="AK84" s="160">
        <f>IF(Dashboard!$F57="o.k.",IF(AK$6&lt;=Dashboard!$D57,MIN(1-Dashboard!$E57*(1-(Dashboard!$D57-AK$6)/Dashboard!$C57),1),1-Dashboard!$E57),1)</f>
        <v>1</v>
      </c>
      <c r="AL84" s="160">
        <f>IF(Dashboard!$F57="o.k.",IF(AL$6&lt;=Dashboard!$D57,MIN(1-Dashboard!$E57*(1-(Dashboard!$D57-AL$6)/Dashboard!$C57),1),1-Dashboard!$E57),1)</f>
        <v>1</v>
      </c>
    </row>
    <row r="85" spans="1:38">
      <c r="A85" s="54" t="s">
        <v>497</v>
      </c>
      <c r="B85" s="54" t="s">
        <v>508</v>
      </c>
      <c r="C85" s="160"/>
      <c r="D85" s="160"/>
      <c r="E85" s="160"/>
      <c r="F85" s="160"/>
      <c r="G85" s="160"/>
      <c r="H85" s="160"/>
      <c r="I85" s="160"/>
      <c r="J85" s="160"/>
      <c r="K85" s="160"/>
      <c r="L85" s="160">
        <f>IF(Dashboard!$F58="o.k.",IF(L$6&lt;=Dashboard!$D58,MIN(1-Dashboard!$E58*(1-(Dashboard!$D58-L$6)/Dashboard!$C58),1),1-Dashboard!$E58),1)</f>
        <v>1</v>
      </c>
      <c r="M85" s="160">
        <f>IF(Dashboard!$F58="o.k.",IF(M$6&lt;=Dashboard!$D58,MIN(1-Dashboard!$E58*(1-(Dashboard!$D58-M$6)/Dashboard!$C58),1),1-Dashboard!$E58),1)</f>
        <v>1</v>
      </c>
      <c r="N85" s="160">
        <f>IF(Dashboard!$F58="o.k.",IF(N$6&lt;=Dashboard!$D58,MIN(1-Dashboard!$E58*(1-(Dashboard!$D58-N$6)/Dashboard!$C58),1),1-Dashboard!$E58),1)</f>
        <v>1</v>
      </c>
      <c r="O85" s="160">
        <f>IF(Dashboard!$F58="o.k.",IF(O$6&lt;=Dashboard!$D58,MIN(1-Dashboard!$E58*(1-(Dashboard!$D58-O$6)/Dashboard!$C58),1),1-Dashboard!$E58),1)</f>
        <v>1</v>
      </c>
      <c r="P85" s="160">
        <f>IF(Dashboard!$F58="o.k.",IF(P$6&lt;=Dashboard!$D58,MIN(1-Dashboard!$E58*(1-(Dashboard!$D58-P$6)/Dashboard!$C58),1),1-Dashboard!$E58),1)</f>
        <v>1</v>
      </c>
      <c r="Q85" s="160">
        <f>IF(Dashboard!$F58="o.k.",IF(Q$6&lt;=Dashboard!$D58,MIN(1-Dashboard!$E58*(1-(Dashboard!$D58-Q$6)/Dashboard!$C58),1),1-Dashboard!$E58),1)</f>
        <v>1</v>
      </c>
      <c r="R85" s="160">
        <f>IF(Dashboard!$F58="o.k.",IF(R$6&lt;=Dashboard!$D58,MIN(1-Dashboard!$E58*(1-(Dashboard!$D58-R$6)/Dashboard!$C58),1),1-Dashboard!$E58),1)</f>
        <v>1</v>
      </c>
      <c r="S85" s="160">
        <f>IF(Dashboard!$F58="o.k.",IF(S$6&lt;=Dashboard!$D58,MIN(1-Dashboard!$E58*(1-(Dashboard!$D58-S$6)/Dashboard!$C58),1),1-Dashboard!$E58),1)</f>
        <v>1</v>
      </c>
      <c r="T85" s="160">
        <f>IF(Dashboard!$F58="o.k.",IF(T$6&lt;=Dashboard!$D58,MIN(1-Dashboard!$E58*(1-(Dashboard!$D58-T$6)/Dashboard!$C58),1),1-Dashboard!$E58),1)</f>
        <v>1</v>
      </c>
      <c r="U85" s="160">
        <f>IF(Dashboard!$F58="o.k.",IF(U$6&lt;=Dashboard!$D58,MIN(1-Dashboard!$E58*(1-(Dashboard!$D58-U$6)/Dashboard!$C58),1),1-Dashboard!$E58),1)</f>
        <v>1</v>
      </c>
      <c r="V85" s="160">
        <f>IF(Dashboard!$F58="o.k.",IF(V$6&lt;=Dashboard!$D58,MIN(1-Dashboard!$E58*(1-(Dashboard!$D58-V$6)/Dashboard!$C58),1),1-Dashboard!$E58),1)</f>
        <v>1</v>
      </c>
      <c r="W85" s="160">
        <f>IF(Dashboard!$F58="o.k.",IF(W$6&lt;=Dashboard!$D58,MIN(1-Dashboard!$E58*(1-(Dashboard!$D58-W$6)/Dashboard!$C58),1),1-Dashboard!$E58),1)</f>
        <v>1</v>
      </c>
      <c r="X85" s="160">
        <f>IF(Dashboard!$F58="o.k.",IF(X$6&lt;=Dashboard!$D58,MIN(1-Dashboard!$E58*(1-(Dashboard!$D58-X$6)/Dashboard!$C58),1),1-Dashboard!$E58),1)</f>
        <v>1</v>
      </c>
      <c r="Y85" s="160">
        <f>IF(Dashboard!$F58="o.k.",IF(Y$6&lt;=Dashboard!$D58,MIN(1-Dashboard!$E58*(1-(Dashboard!$D58-Y$6)/Dashboard!$C58),1),1-Dashboard!$E58),1)</f>
        <v>1</v>
      </c>
      <c r="Z85" s="160">
        <f>IF(Dashboard!$F58="o.k.",IF(Z$6&lt;=Dashboard!$D58,MIN(1-Dashboard!$E58*(1-(Dashboard!$D58-Z$6)/Dashboard!$C58),1),1-Dashboard!$E58),1)</f>
        <v>1</v>
      </c>
      <c r="AA85" s="160">
        <f>IF(Dashboard!$F58="o.k.",IF(AA$6&lt;=Dashboard!$D58,MIN(1-Dashboard!$E58*(1-(Dashboard!$D58-AA$6)/Dashboard!$C58),1),1-Dashboard!$E58),1)</f>
        <v>1</v>
      </c>
      <c r="AB85" s="160">
        <f>IF(Dashboard!$F58="o.k.",IF(AB$6&lt;=Dashboard!$D58,MIN(1-Dashboard!$E58*(1-(Dashboard!$D58-AB$6)/Dashboard!$C58),1),1-Dashboard!$E58),1)</f>
        <v>1</v>
      </c>
      <c r="AC85" s="160">
        <f>IF(Dashboard!$F58="o.k.",IF(AC$6&lt;=Dashboard!$D58,MIN(1-Dashboard!$E58*(1-(Dashboard!$D58-AC$6)/Dashboard!$C58),1),1-Dashboard!$E58),1)</f>
        <v>1</v>
      </c>
      <c r="AD85" s="160">
        <f>IF(Dashboard!$F58="o.k.",IF(AD$6&lt;=Dashboard!$D58,MIN(1-Dashboard!$E58*(1-(Dashboard!$D58-AD$6)/Dashboard!$C58),1),1-Dashboard!$E58),1)</f>
        <v>1</v>
      </c>
      <c r="AE85" s="160">
        <f>IF(Dashboard!$F58="o.k.",IF(AE$6&lt;=Dashboard!$D58,MIN(1-Dashboard!$E58*(1-(Dashboard!$D58-AE$6)/Dashboard!$C58),1),1-Dashboard!$E58),1)</f>
        <v>1</v>
      </c>
      <c r="AF85" s="160">
        <f>IF(Dashboard!$F58="o.k.",IF(AF$6&lt;=Dashboard!$D58,MIN(1-Dashboard!$E58*(1-(Dashboard!$D58-AF$6)/Dashboard!$C58),1),1-Dashboard!$E58),1)</f>
        <v>1</v>
      </c>
      <c r="AG85" s="160">
        <f>IF(Dashboard!$F58="o.k.",IF(AG$6&lt;=Dashboard!$D58,MIN(1-Dashboard!$E58*(1-(Dashboard!$D58-AG$6)/Dashboard!$C58),1),1-Dashboard!$E58),1)</f>
        <v>1</v>
      </c>
      <c r="AH85" s="160">
        <f>IF(Dashboard!$F58="o.k.",IF(AH$6&lt;=Dashboard!$D58,MIN(1-Dashboard!$E58*(1-(Dashboard!$D58-AH$6)/Dashboard!$C58),1),1-Dashboard!$E58),1)</f>
        <v>1</v>
      </c>
      <c r="AI85" s="160">
        <f>IF(Dashboard!$F58="o.k.",IF(AI$6&lt;=Dashboard!$D58,MIN(1-Dashboard!$E58*(1-(Dashboard!$D58-AI$6)/Dashboard!$C58),1),1-Dashboard!$E58),1)</f>
        <v>1</v>
      </c>
      <c r="AJ85" s="160">
        <f>IF(Dashboard!$F58="o.k.",IF(AJ$6&lt;=Dashboard!$D58,MIN(1-Dashboard!$E58*(1-(Dashboard!$D58-AJ$6)/Dashboard!$C58),1),1-Dashboard!$E58),1)</f>
        <v>1</v>
      </c>
      <c r="AK85" s="160">
        <f>IF(Dashboard!$F58="o.k.",IF(AK$6&lt;=Dashboard!$D58,MIN(1-Dashboard!$E58*(1-(Dashboard!$D58-AK$6)/Dashboard!$C58),1),1-Dashboard!$E58),1)</f>
        <v>1</v>
      </c>
      <c r="AL85" s="160">
        <f>IF(Dashboard!$F58="o.k.",IF(AL$6&lt;=Dashboard!$D58,MIN(1-Dashboard!$E58*(1-(Dashboard!$D58-AL$6)/Dashboard!$C58),1),1-Dashboard!$E58),1)</f>
        <v>1</v>
      </c>
    </row>
    <row r="86" spans="1:38">
      <c r="A86" s="137" t="s">
        <v>498</v>
      </c>
      <c r="B86" s="54" t="s">
        <v>508</v>
      </c>
      <c r="C86" s="160"/>
      <c r="D86" s="160"/>
      <c r="E86" s="160"/>
      <c r="F86" s="160"/>
      <c r="G86" s="160"/>
      <c r="H86" s="160"/>
      <c r="I86" s="160"/>
      <c r="J86" s="160"/>
      <c r="K86" s="160"/>
      <c r="L86" s="160">
        <f>IF(Dashboard!$F59="o.k.",IF(L$6&lt;=Dashboard!$D59,MIN(1-Dashboard!$E59*(1-(Dashboard!$D59-L$6)/Dashboard!$C59),1),1-Dashboard!$E59),1)</f>
        <v>1</v>
      </c>
      <c r="M86" s="160">
        <f>IF(Dashboard!$F59="o.k.",IF(M$6&lt;=Dashboard!$D59,MIN(1-Dashboard!$E59*(1-(Dashboard!$D59-M$6)/Dashboard!$C59),1),1-Dashboard!$E59),1)</f>
        <v>1</v>
      </c>
      <c r="N86" s="160">
        <f>IF(Dashboard!$F59="o.k.",IF(N$6&lt;=Dashboard!$D59,MIN(1-Dashboard!$E59*(1-(Dashboard!$D59-N$6)/Dashboard!$C59),1),1-Dashboard!$E59),1)</f>
        <v>1</v>
      </c>
      <c r="O86" s="160">
        <f>IF(Dashboard!$F59="o.k.",IF(O$6&lt;=Dashboard!$D59,MIN(1-Dashboard!$E59*(1-(Dashboard!$D59-O$6)/Dashboard!$C59),1),1-Dashboard!$E59),1)</f>
        <v>1</v>
      </c>
      <c r="P86" s="160">
        <f>IF(Dashboard!$F59="o.k.",IF(P$6&lt;=Dashboard!$D59,MIN(1-Dashboard!$E59*(1-(Dashboard!$D59-P$6)/Dashboard!$C59),1),1-Dashboard!$E59),1)</f>
        <v>1</v>
      </c>
      <c r="Q86" s="160">
        <f>IF(Dashboard!$F59="o.k.",IF(Q$6&lt;=Dashboard!$D59,MIN(1-Dashboard!$E59*(1-(Dashboard!$D59-Q$6)/Dashboard!$C59),1),1-Dashboard!$E59),1)</f>
        <v>1</v>
      </c>
      <c r="R86" s="160">
        <f>IF(Dashboard!$F59="o.k.",IF(R$6&lt;=Dashboard!$D59,MIN(1-Dashboard!$E59*(1-(Dashboard!$D59-R$6)/Dashboard!$C59),1),1-Dashboard!$E59),1)</f>
        <v>1</v>
      </c>
      <c r="S86" s="160">
        <f>IF(Dashboard!$F59="o.k.",IF(S$6&lt;=Dashboard!$D59,MIN(1-Dashboard!$E59*(1-(Dashboard!$D59-S$6)/Dashboard!$C59),1),1-Dashboard!$E59),1)</f>
        <v>1</v>
      </c>
      <c r="T86" s="160">
        <f>IF(Dashboard!$F59="o.k.",IF(T$6&lt;=Dashboard!$D59,MIN(1-Dashboard!$E59*(1-(Dashboard!$D59-T$6)/Dashboard!$C59),1),1-Dashboard!$E59),1)</f>
        <v>1</v>
      </c>
      <c r="U86" s="160">
        <f>IF(Dashboard!$F59="o.k.",IF(U$6&lt;=Dashboard!$D59,MIN(1-Dashboard!$E59*(1-(Dashboard!$D59-U$6)/Dashboard!$C59),1),1-Dashboard!$E59),1)</f>
        <v>1</v>
      </c>
      <c r="V86" s="160">
        <f>IF(Dashboard!$F59="o.k.",IF(V$6&lt;=Dashboard!$D59,MIN(1-Dashboard!$E59*(1-(Dashboard!$D59-V$6)/Dashboard!$C59),1),1-Dashboard!$E59),1)</f>
        <v>1</v>
      </c>
      <c r="W86" s="160">
        <f>IF(Dashboard!$F59="o.k.",IF(W$6&lt;=Dashboard!$D59,MIN(1-Dashboard!$E59*(1-(Dashboard!$D59-W$6)/Dashboard!$C59),1),1-Dashboard!$E59),1)</f>
        <v>1</v>
      </c>
      <c r="X86" s="160">
        <f>IF(Dashboard!$F59="o.k.",IF(X$6&lt;=Dashboard!$D59,MIN(1-Dashboard!$E59*(1-(Dashboard!$D59-X$6)/Dashboard!$C59),1),1-Dashboard!$E59),1)</f>
        <v>1</v>
      </c>
      <c r="Y86" s="160">
        <f>IF(Dashboard!$F59="o.k.",IF(Y$6&lt;=Dashboard!$D59,MIN(1-Dashboard!$E59*(1-(Dashboard!$D59-Y$6)/Dashboard!$C59),1),1-Dashboard!$E59),1)</f>
        <v>1</v>
      </c>
      <c r="Z86" s="160">
        <f>IF(Dashboard!$F59="o.k.",IF(Z$6&lt;=Dashboard!$D59,MIN(1-Dashboard!$E59*(1-(Dashboard!$D59-Z$6)/Dashboard!$C59),1),1-Dashboard!$E59),1)</f>
        <v>1</v>
      </c>
      <c r="AA86" s="160">
        <f>IF(Dashboard!$F59="o.k.",IF(AA$6&lt;=Dashboard!$D59,MIN(1-Dashboard!$E59*(1-(Dashboard!$D59-AA$6)/Dashboard!$C59),1),1-Dashboard!$E59),1)</f>
        <v>1</v>
      </c>
      <c r="AB86" s="160">
        <f>IF(Dashboard!$F59="o.k.",IF(AB$6&lt;=Dashboard!$D59,MIN(1-Dashboard!$E59*(1-(Dashboard!$D59-AB$6)/Dashboard!$C59),1),1-Dashboard!$E59),1)</f>
        <v>1</v>
      </c>
      <c r="AC86" s="160">
        <f>IF(Dashboard!$F59="o.k.",IF(AC$6&lt;=Dashboard!$D59,MIN(1-Dashboard!$E59*(1-(Dashboard!$D59-AC$6)/Dashboard!$C59),1),1-Dashboard!$E59),1)</f>
        <v>1</v>
      </c>
      <c r="AD86" s="160">
        <f>IF(Dashboard!$F59="o.k.",IF(AD$6&lt;=Dashboard!$D59,MIN(1-Dashboard!$E59*(1-(Dashboard!$D59-AD$6)/Dashboard!$C59),1),1-Dashboard!$E59),1)</f>
        <v>1</v>
      </c>
      <c r="AE86" s="160">
        <f>IF(Dashboard!$F59="o.k.",IF(AE$6&lt;=Dashboard!$D59,MIN(1-Dashboard!$E59*(1-(Dashboard!$D59-AE$6)/Dashboard!$C59),1),1-Dashboard!$E59),1)</f>
        <v>1</v>
      </c>
      <c r="AF86" s="160">
        <f>IF(Dashboard!$F59="o.k.",IF(AF$6&lt;=Dashboard!$D59,MIN(1-Dashboard!$E59*(1-(Dashboard!$D59-AF$6)/Dashboard!$C59),1),1-Dashboard!$E59),1)</f>
        <v>1</v>
      </c>
      <c r="AG86" s="160">
        <f>IF(Dashboard!$F59="o.k.",IF(AG$6&lt;=Dashboard!$D59,MIN(1-Dashboard!$E59*(1-(Dashboard!$D59-AG$6)/Dashboard!$C59),1),1-Dashboard!$E59),1)</f>
        <v>1</v>
      </c>
      <c r="AH86" s="160">
        <f>IF(Dashboard!$F59="o.k.",IF(AH$6&lt;=Dashboard!$D59,MIN(1-Dashboard!$E59*(1-(Dashboard!$D59-AH$6)/Dashboard!$C59),1),1-Dashboard!$E59),1)</f>
        <v>1</v>
      </c>
      <c r="AI86" s="160">
        <f>IF(Dashboard!$F59="o.k.",IF(AI$6&lt;=Dashboard!$D59,MIN(1-Dashboard!$E59*(1-(Dashboard!$D59-AI$6)/Dashboard!$C59),1),1-Dashboard!$E59),1)</f>
        <v>1</v>
      </c>
      <c r="AJ86" s="160">
        <f>IF(Dashboard!$F59="o.k.",IF(AJ$6&lt;=Dashboard!$D59,MIN(1-Dashboard!$E59*(1-(Dashboard!$D59-AJ$6)/Dashboard!$C59),1),1-Dashboard!$E59),1)</f>
        <v>1</v>
      </c>
      <c r="AK86" s="160">
        <f>IF(Dashboard!$F59="o.k.",IF(AK$6&lt;=Dashboard!$D59,MIN(1-Dashboard!$E59*(1-(Dashboard!$D59-AK$6)/Dashboard!$C59),1),1-Dashboard!$E59),1)</f>
        <v>1</v>
      </c>
      <c r="AL86" s="160">
        <f>IF(Dashboard!$F59="o.k.",IF(AL$6&lt;=Dashboard!$D59,MIN(1-Dashboard!$E59*(1-(Dashboard!$D59-AL$6)/Dashboard!$C59),1),1-Dashboard!$E59),1)</f>
        <v>1</v>
      </c>
    </row>
    <row r="87" spans="1:38" ht="16.7" customHeight="1">
      <c r="A87" s="54"/>
      <c r="B87" s="54"/>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row>
    <row r="88" spans="1:38" ht="14.25">
      <c r="A88" s="121" t="s">
        <v>972</v>
      </c>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row>
    <row r="89" spans="1:38" ht="12" customHeight="1">
      <c r="A89" s="54"/>
      <c r="B89" s="54"/>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row>
    <row r="90" spans="1:38">
      <c r="A90" s="54" t="s">
        <v>975</v>
      </c>
      <c r="B90" s="54"/>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row>
    <row r="91" spans="1:38">
      <c r="A91" s="125" t="s">
        <v>976</v>
      </c>
      <c r="B91" s="54" t="s">
        <v>508</v>
      </c>
      <c r="C91" s="160"/>
      <c r="D91" s="160"/>
      <c r="E91" s="160"/>
      <c r="F91" s="160"/>
      <c r="G91" s="160"/>
      <c r="H91" s="160"/>
      <c r="I91" s="160"/>
      <c r="J91" s="160"/>
      <c r="K91" s="160"/>
      <c r="L91" s="160">
        <f>IF(Dashboard!$F70="o.k.",IF(L$6&lt;=Dashboard!$D70,MIN(1-Dashboard!$E70*(1-(Dashboard!$D70-L$6)/Dashboard!$C70),1),1-Dashboard!$E70),1)</f>
        <v>1</v>
      </c>
      <c r="M91" s="160">
        <f>IF(Dashboard!$F70="o.k.",IF(M$6&lt;=Dashboard!$D70,MIN(1-Dashboard!$E70*(1-(Dashboard!$D70-M$6)/Dashboard!$C70),1),1-Dashboard!$E70),1)</f>
        <v>1</v>
      </c>
      <c r="N91" s="160">
        <f>IF(Dashboard!$F70="o.k.",IF(N$6&lt;=Dashboard!$D70,MIN(1-Dashboard!$E70*(1-(Dashboard!$D70-N$6)/Dashboard!$C70),1),1-Dashboard!$E70),1)</f>
        <v>1</v>
      </c>
      <c r="O91" s="160">
        <f>IF(Dashboard!$F70="o.k.",IF(O$6&lt;=Dashboard!$D70,MIN(1-Dashboard!$E70*(1-(Dashboard!$D70-O$6)/Dashboard!$C70),1),1-Dashboard!$E70),1)</f>
        <v>1</v>
      </c>
      <c r="P91" s="160">
        <f>IF(Dashboard!$F70="o.k.",IF(P$6&lt;=Dashboard!$D70,MIN(1-Dashboard!$E70*(1-(Dashboard!$D70-P$6)/Dashboard!$C70),1),1-Dashboard!$E70),1)</f>
        <v>1</v>
      </c>
      <c r="Q91" s="160">
        <f>IF(Dashboard!$F70="o.k.",IF(Q$6&lt;=Dashboard!$D70,MIN(1-Dashboard!$E70*(1-(Dashboard!$D70-Q$6)/Dashboard!$C70),1),1-Dashboard!$E70),1)</f>
        <v>1</v>
      </c>
      <c r="R91" s="160">
        <f>IF(Dashboard!$F70="o.k.",IF(R$6&lt;=Dashboard!$D70,MIN(1-Dashboard!$E70*(1-(Dashboard!$D70-R$6)/Dashboard!$C70),1),1-Dashboard!$E70),1)</f>
        <v>1</v>
      </c>
      <c r="S91" s="160">
        <f>IF(Dashboard!$F70="o.k.",IF(S$6&lt;=Dashboard!$D70,MIN(1-Dashboard!$E70*(1-(Dashboard!$D70-S$6)/Dashboard!$C70),1),1-Dashboard!$E70),1)</f>
        <v>1</v>
      </c>
      <c r="T91" s="160">
        <f>IF(Dashboard!$F70="o.k.",IF(T$6&lt;=Dashboard!$D70,MIN(1-Dashboard!$E70*(1-(Dashboard!$D70-T$6)/Dashboard!$C70),1),1-Dashboard!$E70),1)</f>
        <v>1</v>
      </c>
      <c r="U91" s="160">
        <f>IF(Dashboard!$F70="o.k.",IF(U$6&lt;=Dashboard!$D70,MIN(1-Dashboard!$E70*(1-(Dashboard!$D70-U$6)/Dashboard!$C70),1),1-Dashboard!$E70),1)</f>
        <v>1</v>
      </c>
      <c r="V91" s="160">
        <f>IF(Dashboard!$F70="o.k.",IF(V$6&lt;=Dashboard!$D70,MIN(1-Dashboard!$E70*(1-(Dashboard!$D70-V$6)/Dashboard!$C70),1),1-Dashboard!$E70),1)</f>
        <v>1</v>
      </c>
      <c r="W91" s="160">
        <f>IF(Dashboard!$F70="o.k.",IF(W$6&lt;=Dashboard!$D70,MIN(1-Dashboard!$E70*(1-(Dashboard!$D70-W$6)/Dashboard!$C70),1),1-Dashboard!$E70),1)</f>
        <v>1</v>
      </c>
      <c r="X91" s="160">
        <f>IF(Dashboard!$F70="o.k.",IF(X$6&lt;=Dashboard!$D70,MIN(1-Dashboard!$E70*(1-(Dashboard!$D70-X$6)/Dashboard!$C70),1),1-Dashboard!$E70),1)</f>
        <v>1</v>
      </c>
      <c r="Y91" s="160">
        <f>IF(Dashboard!$F70="o.k.",IF(Y$6&lt;=Dashboard!$D70,MIN(1-Dashboard!$E70*(1-(Dashboard!$D70-Y$6)/Dashboard!$C70),1),1-Dashboard!$E70),1)</f>
        <v>1</v>
      </c>
      <c r="Z91" s="160">
        <f>IF(Dashboard!$F70="o.k.",IF(Z$6&lt;=Dashboard!$D70,MIN(1-Dashboard!$E70*(1-(Dashboard!$D70-Z$6)/Dashboard!$C70),1),1-Dashboard!$E70),1)</f>
        <v>1</v>
      </c>
      <c r="AA91" s="160">
        <f>IF(Dashboard!$F70="o.k.",IF(AA$6&lt;=Dashboard!$D70,MIN(1-Dashboard!$E70*(1-(Dashboard!$D70-AA$6)/Dashboard!$C70),1),1-Dashboard!$E70),1)</f>
        <v>1</v>
      </c>
      <c r="AB91" s="160">
        <f>IF(Dashboard!$F70="o.k.",IF(AB$6&lt;=Dashboard!$D70,MIN(1-Dashboard!$E70*(1-(Dashboard!$D70-AB$6)/Dashboard!$C70),1),1-Dashboard!$E70),1)</f>
        <v>1</v>
      </c>
      <c r="AC91" s="160">
        <f>IF(Dashboard!$F70="o.k.",IF(AC$6&lt;=Dashboard!$D70,MIN(1-Dashboard!$E70*(1-(Dashboard!$D70-AC$6)/Dashboard!$C70),1),1-Dashboard!$E70),1)</f>
        <v>1</v>
      </c>
      <c r="AD91" s="160">
        <f>IF(Dashboard!$F70="o.k.",IF(AD$6&lt;=Dashboard!$D70,MIN(1-Dashboard!$E70*(1-(Dashboard!$D70-AD$6)/Dashboard!$C70),1),1-Dashboard!$E70),1)</f>
        <v>1</v>
      </c>
      <c r="AE91" s="160">
        <f>IF(Dashboard!$F70="o.k.",IF(AE$6&lt;=Dashboard!$D70,MIN(1-Dashboard!$E70*(1-(Dashboard!$D70-AE$6)/Dashboard!$C70),1),1-Dashboard!$E70),1)</f>
        <v>1</v>
      </c>
      <c r="AF91" s="160">
        <f>IF(Dashboard!$F70="o.k.",IF(AF$6&lt;=Dashboard!$D70,MIN(1-Dashboard!$E70*(1-(Dashboard!$D70-AF$6)/Dashboard!$C70),1),1-Dashboard!$E70),1)</f>
        <v>1</v>
      </c>
      <c r="AG91" s="160">
        <f>IF(Dashboard!$F70="o.k.",IF(AG$6&lt;=Dashboard!$D70,MIN(1-Dashboard!$E70*(1-(Dashboard!$D70-AG$6)/Dashboard!$C70),1),1-Dashboard!$E70),1)</f>
        <v>1</v>
      </c>
      <c r="AH91" s="160">
        <f>IF(Dashboard!$F70="o.k.",IF(AH$6&lt;=Dashboard!$D70,MIN(1-Dashboard!$E70*(1-(Dashboard!$D70-AH$6)/Dashboard!$C70),1),1-Dashboard!$E70),1)</f>
        <v>1</v>
      </c>
      <c r="AI91" s="160">
        <f>IF(Dashboard!$F70="o.k.",IF(AI$6&lt;=Dashboard!$D70,MIN(1-Dashboard!$E70*(1-(Dashboard!$D70-AI$6)/Dashboard!$C70),1),1-Dashboard!$E70),1)</f>
        <v>1</v>
      </c>
      <c r="AJ91" s="160">
        <f>IF(Dashboard!$F70="o.k.",IF(AJ$6&lt;=Dashboard!$D70,MIN(1-Dashboard!$E70*(1-(Dashboard!$D70-AJ$6)/Dashboard!$C70),1),1-Dashboard!$E70),1)</f>
        <v>1</v>
      </c>
      <c r="AK91" s="160">
        <f>IF(Dashboard!$F70="o.k.",IF(AK$6&lt;=Dashboard!$D70,MIN(1-Dashboard!$E70*(1-(Dashboard!$D70-AK$6)/Dashboard!$C70),1),1-Dashboard!$E70),1)</f>
        <v>1</v>
      </c>
      <c r="AL91" s="160">
        <f>IF(Dashboard!$F70="o.k.",IF(AL$6&lt;=Dashboard!$D70,MIN(1-Dashboard!$E70*(1-(Dashboard!$D70-AL$6)/Dashboard!$C70),1),1-Dashboard!$E70),1)</f>
        <v>1</v>
      </c>
    </row>
    <row r="92" spans="1:38">
      <c r="A92" s="125" t="s">
        <v>977</v>
      </c>
      <c r="B92" s="54" t="s">
        <v>508</v>
      </c>
      <c r="C92" s="160"/>
      <c r="D92" s="160"/>
      <c r="E92" s="160"/>
      <c r="F92" s="160"/>
      <c r="G92" s="160"/>
      <c r="H92" s="160"/>
      <c r="I92" s="160"/>
      <c r="J92" s="160"/>
      <c r="K92" s="160"/>
      <c r="L92" s="160">
        <f>IF(Dashboard!$F71="o.k.",IF(L$6&lt;=Dashboard!$D71,MIN(1-Dashboard!$E71*(1-(Dashboard!$D71-L$6)/Dashboard!$C71),1),1-Dashboard!$E71),1)</f>
        <v>1</v>
      </c>
      <c r="M92" s="160">
        <f>IF(Dashboard!$F71="o.k.",IF(M$6&lt;=Dashboard!$D71,MIN(1-Dashboard!$E71*(1-(Dashboard!$D71-M$6)/Dashboard!$C71),1),1-Dashboard!$E71),1)</f>
        <v>1</v>
      </c>
      <c r="N92" s="160">
        <f>IF(Dashboard!$F71="o.k.",IF(N$6&lt;=Dashboard!$D71,MIN(1-Dashboard!$E71*(1-(Dashboard!$D71-N$6)/Dashboard!$C71),1),1-Dashboard!$E71),1)</f>
        <v>1</v>
      </c>
      <c r="O92" s="160">
        <f>IF(Dashboard!$F71="o.k.",IF(O$6&lt;=Dashboard!$D71,MIN(1-Dashboard!$E71*(1-(Dashboard!$D71-O$6)/Dashboard!$C71),1),1-Dashboard!$E71),1)</f>
        <v>1</v>
      </c>
      <c r="P92" s="160">
        <f>IF(Dashboard!$F71="o.k.",IF(P$6&lt;=Dashboard!$D71,MIN(1-Dashboard!$E71*(1-(Dashboard!$D71-P$6)/Dashboard!$C71),1),1-Dashboard!$E71),1)</f>
        <v>1</v>
      </c>
      <c r="Q92" s="160">
        <f>IF(Dashboard!$F71="o.k.",IF(Q$6&lt;=Dashboard!$D71,MIN(1-Dashboard!$E71*(1-(Dashboard!$D71-Q$6)/Dashboard!$C71),1),1-Dashboard!$E71),1)</f>
        <v>1</v>
      </c>
      <c r="R92" s="160">
        <f>IF(Dashboard!$F71="o.k.",IF(R$6&lt;=Dashboard!$D71,MIN(1-Dashboard!$E71*(1-(Dashboard!$D71-R$6)/Dashboard!$C71),1),1-Dashboard!$E71),1)</f>
        <v>1</v>
      </c>
      <c r="S92" s="160">
        <f>IF(Dashboard!$F71="o.k.",IF(S$6&lt;=Dashboard!$D71,MIN(1-Dashboard!$E71*(1-(Dashboard!$D71-S$6)/Dashboard!$C71),1),1-Dashboard!$E71),1)</f>
        <v>1</v>
      </c>
      <c r="T92" s="160">
        <f>IF(Dashboard!$F71="o.k.",IF(T$6&lt;=Dashboard!$D71,MIN(1-Dashboard!$E71*(1-(Dashboard!$D71-T$6)/Dashboard!$C71),1),1-Dashboard!$E71),1)</f>
        <v>1</v>
      </c>
      <c r="U92" s="160">
        <f>IF(Dashboard!$F71="o.k.",IF(U$6&lt;=Dashboard!$D71,MIN(1-Dashboard!$E71*(1-(Dashboard!$D71-U$6)/Dashboard!$C71),1),1-Dashboard!$E71),1)</f>
        <v>1</v>
      </c>
      <c r="V92" s="160">
        <f>IF(Dashboard!$F71="o.k.",IF(V$6&lt;=Dashboard!$D71,MIN(1-Dashboard!$E71*(1-(Dashboard!$D71-V$6)/Dashboard!$C71),1),1-Dashboard!$E71),1)</f>
        <v>1</v>
      </c>
      <c r="W92" s="160">
        <f>IF(Dashboard!$F71="o.k.",IF(W$6&lt;=Dashboard!$D71,MIN(1-Dashboard!$E71*(1-(Dashboard!$D71-W$6)/Dashboard!$C71),1),1-Dashboard!$E71),1)</f>
        <v>1</v>
      </c>
      <c r="X92" s="160">
        <f>IF(Dashboard!$F71="o.k.",IF(X$6&lt;=Dashboard!$D71,MIN(1-Dashboard!$E71*(1-(Dashboard!$D71-X$6)/Dashboard!$C71),1),1-Dashboard!$E71),1)</f>
        <v>1</v>
      </c>
      <c r="Y92" s="160">
        <f>IF(Dashboard!$F71="o.k.",IF(Y$6&lt;=Dashboard!$D71,MIN(1-Dashboard!$E71*(1-(Dashboard!$D71-Y$6)/Dashboard!$C71),1),1-Dashboard!$E71),1)</f>
        <v>1</v>
      </c>
      <c r="Z92" s="160">
        <f>IF(Dashboard!$F71="o.k.",IF(Z$6&lt;=Dashboard!$D71,MIN(1-Dashboard!$E71*(1-(Dashboard!$D71-Z$6)/Dashboard!$C71),1),1-Dashboard!$E71),1)</f>
        <v>1</v>
      </c>
      <c r="AA92" s="160">
        <f>IF(Dashboard!$F71="o.k.",IF(AA$6&lt;=Dashboard!$D71,MIN(1-Dashboard!$E71*(1-(Dashboard!$D71-AA$6)/Dashboard!$C71),1),1-Dashboard!$E71),1)</f>
        <v>1</v>
      </c>
      <c r="AB92" s="160">
        <f>IF(Dashboard!$F71="o.k.",IF(AB$6&lt;=Dashboard!$D71,MIN(1-Dashboard!$E71*(1-(Dashboard!$D71-AB$6)/Dashboard!$C71),1),1-Dashboard!$E71),1)</f>
        <v>1</v>
      </c>
      <c r="AC92" s="160">
        <f>IF(Dashboard!$F71="o.k.",IF(AC$6&lt;=Dashboard!$D71,MIN(1-Dashboard!$E71*(1-(Dashboard!$D71-AC$6)/Dashboard!$C71),1),1-Dashboard!$E71),1)</f>
        <v>1</v>
      </c>
      <c r="AD92" s="160">
        <f>IF(Dashboard!$F71="o.k.",IF(AD$6&lt;=Dashboard!$D71,MIN(1-Dashboard!$E71*(1-(Dashboard!$D71-AD$6)/Dashboard!$C71),1),1-Dashboard!$E71),1)</f>
        <v>1</v>
      </c>
      <c r="AE92" s="160">
        <f>IF(Dashboard!$F71="o.k.",IF(AE$6&lt;=Dashboard!$D71,MIN(1-Dashboard!$E71*(1-(Dashboard!$D71-AE$6)/Dashboard!$C71),1),1-Dashboard!$E71),1)</f>
        <v>1</v>
      </c>
      <c r="AF92" s="160">
        <f>IF(Dashboard!$F71="o.k.",IF(AF$6&lt;=Dashboard!$D71,MIN(1-Dashboard!$E71*(1-(Dashboard!$D71-AF$6)/Dashboard!$C71),1),1-Dashboard!$E71),1)</f>
        <v>1</v>
      </c>
      <c r="AG92" s="160">
        <f>IF(Dashboard!$F71="o.k.",IF(AG$6&lt;=Dashboard!$D71,MIN(1-Dashboard!$E71*(1-(Dashboard!$D71-AG$6)/Dashboard!$C71),1),1-Dashboard!$E71),1)</f>
        <v>1</v>
      </c>
      <c r="AH92" s="160">
        <f>IF(Dashboard!$F71="o.k.",IF(AH$6&lt;=Dashboard!$D71,MIN(1-Dashboard!$E71*(1-(Dashboard!$D71-AH$6)/Dashboard!$C71),1),1-Dashboard!$E71),1)</f>
        <v>1</v>
      </c>
      <c r="AI92" s="160">
        <f>IF(Dashboard!$F71="o.k.",IF(AI$6&lt;=Dashboard!$D71,MIN(1-Dashboard!$E71*(1-(Dashboard!$D71-AI$6)/Dashboard!$C71),1),1-Dashboard!$E71),1)</f>
        <v>1</v>
      </c>
      <c r="AJ92" s="160">
        <f>IF(Dashboard!$F71="o.k.",IF(AJ$6&lt;=Dashboard!$D71,MIN(1-Dashboard!$E71*(1-(Dashboard!$D71-AJ$6)/Dashboard!$C71),1),1-Dashboard!$E71),1)</f>
        <v>1</v>
      </c>
      <c r="AK92" s="160">
        <f>IF(Dashboard!$F71="o.k.",IF(AK$6&lt;=Dashboard!$D71,MIN(1-Dashboard!$E71*(1-(Dashboard!$D71-AK$6)/Dashboard!$C71),1),1-Dashboard!$E71),1)</f>
        <v>1</v>
      </c>
      <c r="AL92" s="160">
        <f>IF(Dashboard!$F71="o.k.",IF(AL$6&lt;=Dashboard!$D71,MIN(1-Dashboard!$E71*(1-(Dashboard!$D71-AL$6)/Dashboard!$C71),1),1-Dashboard!$E71),1)</f>
        <v>1</v>
      </c>
    </row>
    <row r="93" spans="1:38">
      <c r="A93" s="54" t="s">
        <v>974</v>
      </c>
      <c r="B93" s="54"/>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row>
    <row r="94" spans="1:38" ht="14.25">
      <c r="A94" s="125" t="s">
        <v>976</v>
      </c>
      <c r="B94" s="54" t="s">
        <v>973</v>
      </c>
      <c r="C94" s="160"/>
      <c r="D94" s="160"/>
      <c r="E94" s="160"/>
      <c r="F94" s="160"/>
      <c r="G94" s="160"/>
      <c r="H94" s="160"/>
      <c r="I94" s="160"/>
      <c r="J94" s="160"/>
      <c r="K94" s="160"/>
      <c r="L94" s="280">
        <f>L91*parameters!$C$31</f>
        <v>70.876666666666651</v>
      </c>
      <c r="M94" s="280">
        <f>M91*parameters!$C$31</f>
        <v>70.876666666666651</v>
      </c>
      <c r="N94" s="280">
        <f>N91*parameters!$C$31</f>
        <v>70.876666666666651</v>
      </c>
      <c r="O94" s="280">
        <f>O91*parameters!$C$31</f>
        <v>70.876666666666651</v>
      </c>
      <c r="P94" s="280">
        <f>P91*parameters!$C$31</f>
        <v>70.876666666666651</v>
      </c>
      <c r="Q94" s="280">
        <f>Q91*parameters!$C$31</f>
        <v>70.876666666666651</v>
      </c>
      <c r="R94" s="280">
        <f>R91*parameters!$C$31</f>
        <v>70.876666666666651</v>
      </c>
      <c r="S94" s="280">
        <f>S91*parameters!$C$31</f>
        <v>70.876666666666651</v>
      </c>
      <c r="T94" s="280">
        <f>T91*parameters!$C$31</f>
        <v>70.876666666666651</v>
      </c>
      <c r="U94" s="280">
        <f>U91*parameters!$C$31</f>
        <v>70.876666666666651</v>
      </c>
      <c r="V94" s="280">
        <f>V91*parameters!$C$31</f>
        <v>70.876666666666651</v>
      </c>
      <c r="W94" s="280">
        <f>W91*parameters!$C$31</f>
        <v>70.876666666666651</v>
      </c>
      <c r="X94" s="280">
        <f>X91*parameters!$C$31</f>
        <v>70.876666666666651</v>
      </c>
      <c r="Y94" s="280">
        <f>Y91*parameters!$C$31</f>
        <v>70.876666666666651</v>
      </c>
      <c r="Z94" s="280">
        <f>Z91*parameters!$C$31</f>
        <v>70.876666666666651</v>
      </c>
      <c r="AA94" s="280">
        <f>AA91*parameters!$C$31</f>
        <v>70.876666666666651</v>
      </c>
      <c r="AB94" s="280">
        <f>AB91*parameters!$C$31</f>
        <v>70.876666666666651</v>
      </c>
      <c r="AC94" s="280">
        <f>AC91*parameters!$C$31</f>
        <v>70.876666666666651</v>
      </c>
      <c r="AD94" s="280">
        <f>AD91*parameters!$C$31</f>
        <v>70.876666666666651</v>
      </c>
      <c r="AE94" s="280">
        <f>AE91*parameters!$C$31</f>
        <v>70.876666666666651</v>
      </c>
      <c r="AF94" s="280">
        <f>AF91*parameters!$C$31</f>
        <v>70.876666666666651</v>
      </c>
      <c r="AG94" s="280">
        <f>AG91*parameters!$C$31</f>
        <v>70.876666666666651</v>
      </c>
      <c r="AH94" s="280">
        <f>AH91*parameters!$C$31</f>
        <v>70.876666666666651</v>
      </c>
      <c r="AI94" s="280">
        <f>AI91*parameters!$C$31</f>
        <v>70.876666666666651</v>
      </c>
      <c r="AJ94" s="280">
        <f>AJ91*parameters!$C$31</f>
        <v>70.876666666666651</v>
      </c>
      <c r="AK94" s="280">
        <f>AK91*parameters!$C$31</f>
        <v>70.876666666666651</v>
      </c>
      <c r="AL94" s="280">
        <f>AL91*parameters!$C$31</f>
        <v>70.876666666666651</v>
      </c>
    </row>
    <row r="95" spans="1:38" ht="14.25">
      <c r="A95" s="125" t="s">
        <v>977</v>
      </c>
      <c r="B95" s="54" t="s">
        <v>973</v>
      </c>
      <c r="C95" s="160"/>
      <c r="D95" s="160"/>
      <c r="E95" s="160"/>
      <c r="F95" s="160"/>
      <c r="G95" s="160"/>
      <c r="H95" s="160"/>
      <c r="I95" s="160"/>
      <c r="J95" s="160"/>
      <c r="K95" s="160"/>
      <c r="L95" s="280">
        <f>L92*parameters!$C$37</f>
        <v>73.150000000000006</v>
      </c>
      <c r="M95" s="280">
        <f>M92*parameters!$C$37</f>
        <v>73.150000000000006</v>
      </c>
      <c r="N95" s="280">
        <f>N92*parameters!$C$37</f>
        <v>73.150000000000006</v>
      </c>
      <c r="O95" s="280">
        <f>O92*parameters!$C$37</f>
        <v>73.150000000000006</v>
      </c>
      <c r="P95" s="280">
        <f>P92*parameters!$C$37</f>
        <v>73.150000000000006</v>
      </c>
      <c r="Q95" s="280">
        <f>Q92*parameters!$C$37</f>
        <v>73.150000000000006</v>
      </c>
      <c r="R95" s="280">
        <f>R92*parameters!$C$37</f>
        <v>73.150000000000006</v>
      </c>
      <c r="S95" s="280">
        <f>S92*parameters!$C$37</f>
        <v>73.150000000000006</v>
      </c>
      <c r="T95" s="280">
        <f>T92*parameters!$C$37</f>
        <v>73.150000000000006</v>
      </c>
      <c r="U95" s="280">
        <f>U92*parameters!$C$37</f>
        <v>73.150000000000006</v>
      </c>
      <c r="V95" s="280">
        <f>V92*parameters!$C$37</f>
        <v>73.150000000000006</v>
      </c>
      <c r="W95" s="280">
        <f>W92*parameters!$C$37</f>
        <v>73.150000000000006</v>
      </c>
      <c r="X95" s="280">
        <f>X92*parameters!$C$37</f>
        <v>73.150000000000006</v>
      </c>
      <c r="Y95" s="280">
        <f>Y92*parameters!$C$37</f>
        <v>73.150000000000006</v>
      </c>
      <c r="Z95" s="280">
        <f>Z92*parameters!$C$37</f>
        <v>73.150000000000006</v>
      </c>
      <c r="AA95" s="280">
        <f>AA92*parameters!$C$37</f>
        <v>73.150000000000006</v>
      </c>
      <c r="AB95" s="280">
        <f>AB92*parameters!$C$37</f>
        <v>73.150000000000006</v>
      </c>
      <c r="AC95" s="280">
        <f>AC92*parameters!$C$37</f>
        <v>73.150000000000006</v>
      </c>
      <c r="AD95" s="280">
        <f>AD92*parameters!$C$37</f>
        <v>73.150000000000006</v>
      </c>
      <c r="AE95" s="280">
        <f>AE92*parameters!$C$37</f>
        <v>73.150000000000006</v>
      </c>
      <c r="AF95" s="280">
        <f>AF92*parameters!$C$37</f>
        <v>73.150000000000006</v>
      </c>
      <c r="AG95" s="280">
        <f>AG92*parameters!$C$37</f>
        <v>73.150000000000006</v>
      </c>
      <c r="AH95" s="280">
        <f>AH92*parameters!$C$37</f>
        <v>73.150000000000006</v>
      </c>
      <c r="AI95" s="280">
        <f>AI92*parameters!$C$37</f>
        <v>73.150000000000006</v>
      </c>
      <c r="AJ95" s="280">
        <f>AJ92*parameters!$C$37</f>
        <v>73.150000000000006</v>
      </c>
      <c r="AK95" s="280">
        <f>AK92*parameters!$C$37</f>
        <v>73.150000000000006</v>
      </c>
      <c r="AL95" s="280">
        <f>AL92*parameters!$C$37</f>
        <v>73.150000000000006</v>
      </c>
    </row>
    <row r="96" spans="1:38" s="301" customFormat="1" ht="3.95" customHeight="1">
      <c r="A96" s="54"/>
      <c r="B96" s="54"/>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row>
    <row r="97" spans="1:42" s="301" customFormat="1" ht="14.25">
      <c r="A97" s="302" t="s">
        <v>1054</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row>
    <row r="98" spans="1:42" s="301" customFormat="1" ht="3.95" customHeight="1">
      <c r="A98" s="54"/>
      <c r="B98" s="54"/>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row>
    <row r="99" spans="1:42" s="301" customFormat="1">
      <c r="A99" s="54" t="s">
        <v>1059</v>
      </c>
      <c r="B99" s="54" t="s">
        <v>508</v>
      </c>
      <c r="C99" s="160"/>
      <c r="D99" s="160"/>
      <c r="E99" s="160"/>
      <c r="F99" s="160"/>
      <c r="G99" s="160"/>
      <c r="H99" s="160"/>
      <c r="I99" s="160"/>
      <c r="J99" s="160"/>
      <c r="K99" s="160"/>
      <c r="L99" s="160">
        <f>IF(Dashboard!$F82="o.k.",IF(L$6&lt;=Dashboard!$D82,MIN(1-Dashboard!$E82*(1-(Dashboard!$D82-L$6)/Dashboard!$C82),1),1-Dashboard!$E82),1)</f>
        <v>1</v>
      </c>
      <c r="M99" s="160">
        <f>IF(Dashboard!$F82="o.k.",IF(M$6&lt;=Dashboard!$D82,MIN(1-Dashboard!$E82*(1-(Dashboard!$D82-M$6)/Dashboard!$C82),1),1-Dashboard!$E82),1)</f>
        <v>1</v>
      </c>
      <c r="N99" s="160">
        <f>IF(Dashboard!$F82="o.k.",IF(N$6&lt;=Dashboard!$D82,MIN(1-Dashboard!$E82*(1-(Dashboard!$D82-N$6)/Dashboard!$C82),1),1-Dashboard!$E82),1)</f>
        <v>1</v>
      </c>
      <c r="O99" s="160">
        <f>IF(Dashboard!$F82="o.k.",IF(O$6&lt;=Dashboard!$D82,MIN(1-Dashboard!$E82*(1-(Dashboard!$D82-O$6)/Dashboard!$C82),1),1-Dashboard!$E82),1)</f>
        <v>1</v>
      </c>
      <c r="P99" s="160">
        <f>IF(Dashboard!$F82="o.k.",IF(P$6&lt;=Dashboard!$D82,MIN(1-Dashboard!$E82*(1-(Dashboard!$D82-P$6)/Dashboard!$C82),1),1-Dashboard!$E82),1)</f>
        <v>1</v>
      </c>
      <c r="Q99" s="160">
        <f>IF(Dashboard!$F82="o.k.",IF(Q$6&lt;=Dashboard!$D82,MIN(1-Dashboard!$E82*(1-(Dashboard!$D82-Q$6)/Dashboard!$C82),1),1-Dashboard!$E82),1)</f>
        <v>1</v>
      </c>
      <c r="R99" s="160">
        <f>IF(Dashboard!$F82="o.k.",IF(R$6&lt;=Dashboard!$D82,MIN(1-Dashboard!$E82*(1-(Dashboard!$D82-R$6)/Dashboard!$C82),1),1-Dashboard!$E82),1)</f>
        <v>1</v>
      </c>
      <c r="S99" s="160">
        <f>IF(Dashboard!$F82="o.k.",IF(S$6&lt;=Dashboard!$D82,MIN(1-Dashboard!$E82*(1-(Dashboard!$D82-S$6)/Dashboard!$C82),1),1-Dashboard!$E82),1)</f>
        <v>1</v>
      </c>
      <c r="T99" s="160">
        <f>IF(Dashboard!$F82="o.k.",IF(T$6&lt;=Dashboard!$D82,MIN(1-Dashboard!$E82*(1-(Dashboard!$D82-T$6)/Dashboard!$C82),1),1-Dashboard!$E82),1)</f>
        <v>1</v>
      </c>
      <c r="U99" s="160">
        <f>IF(Dashboard!$F82="o.k.",IF(U$6&lt;=Dashboard!$D82,MIN(1-Dashboard!$E82*(1-(Dashboard!$D82-U$6)/Dashboard!$C82),1),1-Dashboard!$E82),1)</f>
        <v>1</v>
      </c>
      <c r="V99" s="160">
        <f>IF(Dashboard!$F82="o.k.",IF(V$6&lt;=Dashboard!$D82,MIN(1-Dashboard!$E82*(1-(Dashboard!$D82-V$6)/Dashboard!$C82),1),1-Dashboard!$E82),1)</f>
        <v>1</v>
      </c>
      <c r="W99" s="160">
        <f>IF(Dashboard!$F82="o.k.",IF(W$6&lt;=Dashboard!$D82,MIN(1-Dashboard!$E82*(1-(Dashboard!$D82-W$6)/Dashboard!$C82),1),1-Dashboard!$E82),1)</f>
        <v>1</v>
      </c>
      <c r="X99" s="160">
        <f>IF(Dashboard!$F82="o.k.",IF(X$6&lt;=Dashboard!$D82,MIN(1-Dashboard!$E82*(1-(Dashboard!$D82-X$6)/Dashboard!$C82),1),1-Dashboard!$E82),1)</f>
        <v>1</v>
      </c>
      <c r="Y99" s="160">
        <f>IF(Dashboard!$F82="o.k.",IF(Y$6&lt;=Dashboard!$D82,MIN(1-Dashboard!$E82*(1-(Dashboard!$D82-Y$6)/Dashboard!$C82),1),1-Dashboard!$E82),1)</f>
        <v>1</v>
      </c>
      <c r="Z99" s="160">
        <f>IF(Dashboard!$F82="o.k.",IF(Z$6&lt;=Dashboard!$D82,MIN(1-Dashboard!$E82*(1-(Dashboard!$D82-Z$6)/Dashboard!$C82),1),1-Dashboard!$E82),1)</f>
        <v>1</v>
      </c>
      <c r="AA99" s="160">
        <f>IF(Dashboard!$F82="o.k.",IF(AA$6&lt;=Dashboard!$D82,MIN(1-Dashboard!$E82*(1-(Dashboard!$D82-AA$6)/Dashboard!$C82),1),1-Dashboard!$E82),1)</f>
        <v>1</v>
      </c>
      <c r="AB99" s="160">
        <f>IF(Dashboard!$F82="o.k.",IF(AB$6&lt;=Dashboard!$D82,MIN(1-Dashboard!$E82*(1-(Dashboard!$D82-AB$6)/Dashboard!$C82),1),1-Dashboard!$E82),1)</f>
        <v>1</v>
      </c>
      <c r="AC99" s="160">
        <f>IF(Dashboard!$F82="o.k.",IF(AC$6&lt;=Dashboard!$D82,MIN(1-Dashboard!$E82*(1-(Dashboard!$D82-AC$6)/Dashboard!$C82),1),1-Dashboard!$E82),1)</f>
        <v>1</v>
      </c>
      <c r="AD99" s="160">
        <f>IF(Dashboard!$F82="o.k.",IF(AD$6&lt;=Dashboard!$D82,MIN(1-Dashboard!$E82*(1-(Dashboard!$D82-AD$6)/Dashboard!$C82),1),1-Dashboard!$E82),1)</f>
        <v>1</v>
      </c>
      <c r="AE99" s="160">
        <f>IF(Dashboard!$F82="o.k.",IF(AE$6&lt;=Dashboard!$D82,MIN(1-Dashboard!$E82*(1-(Dashboard!$D82-AE$6)/Dashboard!$C82),1),1-Dashboard!$E82),1)</f>
        <v>1</v>
      </c>
      <c r="AF99" s="160">
        <f>IF(Dashboard!$F82="o.k.",IF(AF$6&lt;=Dashboard!$D82,MIN(1-Dashboard!$E82*(1-(Dashboard!$D82-AF$6)/Dashboard!$C82),1),1-Dashboard!$E82),1)</f>
        <v>1</v>
      </c>
      <c r="AG99" s="160">
        <f>IF(Dashboard!$F82="o.k.",IF(AG$6&lt;=Dashboard!$D82,MIN(1-Dashboard!$E82*(1-(Dashboard!$D82-AG$6)/Dashboard!$C82),1),1-Dashboard!$E82),1)</f>
        <v>1</v>
      </c>
      <c r="AH99" s="160">
        <f>IF(Dashboard!$F82="o.k.",IF(AH$6&lt;=Dashboard!$D82,MIN(1-Dashboard!$E82*(1-(Dashboard!$D82-AH$6)/Dashboard!$C82),1),1-Dashboard!$E82),1)</f>
        <v>1</v>
      </c>
      <c r="AI99" s="160">
        <f>IF(Dashboard!$F82="o.k.",IF(AI$6&lt;=Dashboard!$D82,MIN(1-Dashboard!$E82*(1-(Dashboard!$D82-AI$6)/Dashboard!$C82),1),1-Dashboard!$E82),1)</f>
        <v>1</v>
      </c>
      <c r="AJ99" s="160">
        <f>IF(Dashboard!$F82="o.k.",IF(AJ$6&lt;=Dashboard!$D82,MIN(1-Dashboard!$E82*(1-(Dashboard!$D82-AJ$6)/Dashboard!$C82),1),1-Dashboard!$E82),1)</f>
        <v>1</v>
      </c>
      <c r="AK99" s="160">
        <f>IF(Dashboard!$F82="o.k.",IF(AK$6&lt;=Dashboard!$D82,MIN(1-Dashboard!$E82*(1-(Dashboard!$D82-AK$6)/Dashboard!$C82),1),1-Dashboard!$E82),1)</f>
        <v>1</v>
      </c>
      <c r="AL99" s="160">
        <f>IF(Dashboard!$F82="o.k.",IF(AL$6&lt;=Dashboard!$D82,MIN(1-Dashboard!$E82*(1-(Dashboard!$D82-AL$6)/Dashboard!$C82),1),1-Dashboard!$E82),1)</f>
        <v>1</v>
      </c>
    </row>
    <row r="100" spans="1:42" s="301" customFormat="1">
      <c r="A100" s="54" t="s">
        <v>1058</v>
      </c>
      <c r="B100" s="54" t="s">
        <v>508</v>
      </c>
      <c r="C100" s="160"/>
      <c r="D100" s="160"/>
      <c r="E100" s="160"/>
      <c r="F100" s="160"/>
      <c r="G100" s="160"/>
      <c r="H100" s="160"/>
      <c r="I100" s="160"/>
      <c r="J100" s="160"/>
      <c r="K100" s="160"/>
      <c r="L100" s="160">
        <f>1-L99</f>
        <v>0</v>
      </c>
      <c r="M100" s="160">
        <f t="shared" ref="M100:AL100" si="0">1-M99</f>
        <v>0</v>
      </c>
      <c r="N100" s="160">
        <f t="shared" si="0"/>
        <v>0</v>
      </c>
      <c r="O100" s="160">
        <f t="shared" si="0"/>
        <v>0</v>
      </c>
      <c r="P100" s="160">
        <f t="shared" si="0"/>
        <v>0</v>
      </c>
      <c r="Q100" s="160">
        <f t="shared" si="0"/>
        <v>0</v>
      </c>
      <c r="R100" s="160">
        <f t="shared" si="0"/>
        <v>0</v>
      </c>
      <c r="S100" s="160">
        <f t="shared" si="0"/>
        <v>0</v>
      </c>
      <c r="T100" s="160">
        <f t="shared" si="0"/>
        <v>0</v>
      </c>
      <c r="U100" s="160">
        <f t="shared" si="0"/>
        <v>0</v>
      </c>
      <c r="V100" s="160">
        <f t="shared" si="0"/>
        <v>0</v>
      </c>
      <c r="W100" s="160">
        <f t="shared" si="0"/>
        <v>0</v>
      </c>
      <c r="X100" s="160">
        <f t="shared" si="0"/>
        <v>0</v>
      </c>
      <c r="Y100" s="160">
        <f t="shared" si="0"/>
        <v>0</v>
      </c>
      <c r="Z100" s="160">
        <f t="shared" si="0"/>
        <v>0</v>
      </c>
      <c r="AA100" s="160">
        <f t="shared" si="0"/>
        <v>0</v>
      </c>
      <c r="AB100" s="160">
        <f t="shared" si="0"/>
        <v>0</v>
      </c>
      <c r="AC100" s="160">
        <f t="shared" si="0"/>
        <v>0</v>
      </c>
      <c r="AD100" s="160">
        <f t="shared" si="0"/>
        <v>0</v>
      </c>
      <c r="AE100" s="160">
        <f t="shared" si="0"/>
        <v>0</v>
      </c>
      <c r="AF100" s="160">
        <f t="shared" si="0"/>
        <v>0</v>
      </c>
      <c r="AG100" s="160">
        <f t="shared" si="0"/>
        <v>0</v>
      </c>
      <c r="AH100" s="160">
        <f t="shared" si="0"/>
        <v>0</v>
      </c>
      <c r="AI100" s="160">
        <f t="shared" si="0"/>
        <v>0</v>
      </c>
      <c r="AJ100" s="160">
        <f t="shared" si="0"/>
        <v>0</v>
      </c>
      <c r="AK100" s="160">
        <f t="shared" si="0"/>
        <v>0</v>
      </c>
      <c r="AL100" s="160">
        <f t="shared" si="0"/>
        <v>0</v>
      </c>
    </row>
    <row r="101" spans="1:42" s="301" customFormat="1">
      <c r="A101" s="54" t="s">
        <v>1060</v>
      </c>
      <c r="B101" s="54" t="s">
        <v>918</v>
      </c>
      <c r="C101" s="160"/>
      <c r="D101" s="160"/>
      <c r="E101" s="160"/>
      <c r="F101" s="160"/>
      <c r="G101" s="160"/>
      <c r="H101" s="160"/>
      <c r="I101" s="160"/>
      <c r="J101" s="160"/>
      <c r="K101" s="160"/>
      <c r="L101" s="304">
        <v>22.257747999999999</v>
      </c>
      <c r="M101" s="304">
        <v>22.651036999999999</v>
      </c>
      <c r="N101" s="304">
        <v>23.053502999999999</v>
      </c>
      <c r="O101" s="304">
        <v>23.492107000000001</v>
      </c>
      <c r="P101" s="304">
        <v>23.947164999999998</v>
      </c>
      <c r="Q101" s="304">
        <v>24.502507999999999</v>
      </c>
      <c r="R101" s="304">
        <v>25.091042999999999</v>
      </c>
      <c r="S101" s="304">
        <v>25.723037999999999</v>
      </c>
      <c r="T101" s="304">
        <v>26.393353999999999</v>
      </c>
      <c r="U101" s="304">
        <v>27.108803000000002</v>
      </c>
      <c r="V101" s="304">
        <v>27.873106</v>
      </c>
      <c r="W101" s="304">
        <v>28.715675000000001</v>
      </c>
      <c r="X101" s="304">
        <v>29.546312</v>
      </c>
      <c r="Y101" s="304">
        <v>30.358505000000001</v>
      </c>
      <c r="Z101" s="304">
        <v>31.135795999999999</v>
      </c>
      <c r="AA101" s="304">
        <v>31.877635999999999</v>
      </c>
      <c r="AB101" s="304">
        <v>32.582058000000004</v>
      </c>
      <c r="AC101" s="304">
        <v>33.244349999999997</v>
      </c>
      <c r="AD101" s="304">
        <v>33.862743000000002</v>
      </c>
      <c r="AE101" s="304">
        <v>34.433959999999999</v>
      </c>
      <c r="AF101" s="304">
        <v>34.960864999999998</v>
      </c>
      <c r="AG101" s="304">
        <v>35.441986</v>
      </c>
      <c r="AH101" s="304">
        <v>35.878056000000001</v>
      </c>
      <c r="AI101" s="304">
        <v>36.270409000000001</v>
      </c>
      <c r="AJ101" s="304">
        <v>36.620308000000001</v>
      </c>
      <c r="AK101" s="304">
        <v>36.930908000000002</v>
      </c>
      <c r="AL101" s="304">
        <v>37.205460000000002</v>
      </c>
      <c r="AN101" s="301" t="s">
        <v>1067</v>
      </c>
    </row>
    <row r="102" spans="1:42" s="301" customFormat="1">
      <c r="A102" s="54" t="s">
        <v>1061</v>
      </c>
      <c r="B102" s="54" t="s">
        <v>1063</v>
      </c>
      <c r="C102" s="160"/>
      <c r="D102" s="160"/>
      <c r="E102" s="160"/>
      <c r="F102" s="160"/>
      <c r="G102" s="160"/>
      <c r="H102" s="160"/>
      <c r="I102" s="160"/>
      <c r="J102" s="160"/>
      <c r="K102" s="160"/>
      <c r="L102" s="305">
        <v>93</v>
      </c>
      <c r="M102" s="305">
        <v>94</v>
      </c>
      <c r="N102" s="305">
        <v>95</v>
      </c>
      <c r="O102" s="305">
        <f>N102*(1+$AO102)</f>
        <v>95.664999999999992</v>
      </c>
      <c r="P102" s="305">
        <f t="shared" ref="P102:AL102" si="1">O102*(1+$AO102)</f>
        <v>96.334654999999984</v>
      </c>
      <c r="Q102" s="305">
        <f t="shared" si="1"/>
        <v>97.008997584999975</v>
      </c>
      <c r="R102" s="305">
        <f t="shared" si="1"/>
        <v>97.688060568094969</v>
      </c>
      <c r="S102" s="305">
        <f t="shared" si="1"/>
        <v>98.37187699207162</v>
      </c>
      <c r="T102" s="305">
        <f t="shared" si="1"/>
        <v>99.060480131016106</v>
      </c>
      <c r="U102" s="305">
        <f t="shared" si="1"/>
        <v>99.753903491933215</v>
      </c>
      <c r="V102" s="305">
        <f t="shared" si="1"/>
        <v>100.45218081637674</v>
      </c>
      <c r="W102" s="305">
        <f t="shared" si="1"/>
        <v>101.15534608209137</v>
      </c>
      <c r="X102" s="305">
        <f t="shared" si="1"/>
        <v>101.86343350466601</v>
      </c>
      <c r="Y102" s="305">
        <f t="shared" si="1"/>
        <v>102.57647753919866</v>
      </c>
      <c r="Z102" s="305">
        <f t="shared" si="1"/>
        <v>103.29451288197305</v>
      </c>
      <c r="AA102" s="305">
        <f t="shared" si="1"/>
        <v>104.01757447214685</v>
      </c>
      <c r="AB102" s="305">
        <f t="shared" si="1"/>
        <v>104.74569749345187</v>
      </c>
      <c r="AC102" s="305">
        <f t="shared" si="1"/>
        <v>105.47891737590602</v>
      </c>
      <c r="AD102" s="305">
        <f t="shared" si="1"/>
        <v>106.21726979753736</v>
      </c>
      <c r="AE102" s="305">
        <f t="shared" si="1"/>
        <v>106.96079068612011</v>
      </c>
      <c r="AF102" s="305">
        <f t="shared" si="1"/>
        <v>107.70951622092294</v>
      </c>
      <c r="AG102" s="305">
        <f t="shared" si="1"/>
        <v>108.46348283446939</v>
      </c>
      <c r="AH102" s="305">
        <f t="shared" si="1"/>
        <v>109.22272721431067</v>
      </c>
      <c r="AI102" s="305">
        <f t="shared" si="1"/>
        <v>109.98728630481082</v>
      </c>
      <c r="AJ102" s="305">
        <f t="shared" si="1"/>
        <v>110.75719730894448</v>
      </c>
      <c r="AK102" s="305">
        <f t="shared" si="1"/>
        <v>111.53249769010708</v>
      </c>
      <c r="AL102" s="305">
        <f t="shared" si="1"/>
        <v>112.31322517393781</v>
      </c>
      <c r="AN102" s="301" t="s">
        <v>1190</v>
      </c>
      <c r="AO102" s="529">
        <v>7.0000000000000001E-3</v>
      </c>
      <c r="AP102" s="301" t="s">
        <v>1257</v>
      </c>
    </row>
    <row r="103" spans="1:42" s="301" customFormat="1">
      <c r="A103" s="54" t="s">
        <v>1062</v>
      </c>
      <c r="B103" s="54" t="s">
        <v>508</v>
      </c>
      <c r="C103" s="160"/>
      <c r="D103" s="160"/>
      <c r="E103" s="160"/>
      <c r="F103" s="160"/>
      <c r="G103" s="160"/>
      <c r="H103" s="160"/>
      <c r="I103" s="160"/>
      <c r="J103" s="160"/>
      <c r="K103" s="160"/>
      <c r="L103" s="160">
        <f>L101/L102</f>
        <v>0.23933062365591398</v>
      </c>
      <c r="M103" s="160">
        <f t="shared" ref="M103:AL103" si="2">M101/M102</f>
        <v>0.24096847872340424</v>
      </c>
      <c r="N103" s="160">
        <f>N101/N102</f>
        <v>0.24266845263157893</v>
      </c>
      <c r="O103" s="160">
        <f t="shared" si="2"/>
        <v>0.24556637223645014</v>
      </c>
      <c r="P103" s="160">
        <f t="shared" si="2"/>
        <v>0.24858307739826341</v>
      </c>
      <c r="Q103" s="160">
        <f t="shared" si="2"/>
        <v>0.25257974631199265</v>
      </c>
      <c r="R103" s="160">
        <f t="shared" si="2"/>
        <v>0.25684861439653517</v>
      </c>
      <c r="S103" s="160">
        <f t="shared" si="2"/>
        <v>0.26148772176089691</v>
      </c>
      <c r="T103" s="160">
        <f t="shared" si="2"/>
        <v>0.26643676635821362</v>
      </c>
      <c r="U103" s="160">
        <f t="shared" si="2"/>
        <v>0.27175681402976082</v>
      </c>
      <c r="V103" s="160">
        <f t="shared" si="2"/>
        <v>0.27747636510700663</v>
      </c>
      <c r="W103" s="160">
        <f t="shared" si="2"/>
        <v>0.2838769883372862</v>
      </c>
      <c r="X103" s="160">
        <f t="shared" si="2"/>
        <v>0.29005808054414922</v>
      </c>
      <c r="Y103" s="160">
        <f t="shared" si="2"/>
        <v>0.29595971443256835</v>
      </c>
      <c r="Z103" s="160">
        <f t="shared" si="2"/>
        <v>0.30142739562145526</v>
      </c>
      <c r="AA103" s="160">
        <f t="shared" si="2"/>
        <v>0.30646394286511636</v>
      </c>
      <c r="AB103" s="160">
        <f t="shared" si="2"/>
        <v>0.3110586762003934</v>
      </c>
      <c r="AC103" s="160">
        <f t="shared" si="2"/>
        <v>0.31517530542642663</v>
      </c>
      <c r="AD103" s="160">
        <f t="shared" si="2"/>
        <v>0.31880637738614809</v>
      </c>
      <c r="AE103" s="160">
        <f t="shared" si="2"/>
        <v>0.32193067926215663</v>
      </c>
      <c r="AF103" s="160">
        <f t="shared" si="2"/>
        <v>0.3245847370467414</v>
      </c>
      <c r="AG103" s="160">
        <f t="shared" si="2"/>
        <v>0.32676422583709103</v>
      </c>
      <c r="AH103" s="160">
        <f t="shared" si="2"/>
        <v>0.32848526048614501</v>
      </c>
      <c r="AI103" s="160">
        <f t="shared" si="2"/>
        <v>0.32976910530806997</v>
      </c>
      <c r="AJ103" s="160">
        <f t="shared" si="2"/>
        <v>0.33063592154514221</v>
      </c>
      <c r="AK103" s="160">
        <f t="shared" si="2"/>
        <v>0.33112239719236353</v>
      </c>
      <c r="AL103" s="160">
        <f t="shared" si="2"/>
        <v>0.33126517328997063</v>
      </c>
    </row>
    <row r="104" spans="1:42" s="720" customFormat="1">
      <c r="A104" s="54"/>
      <c r="B104" s="54"/>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row>
    <row r="105" spans="1:42" s="720" customFormat="1" ht="14.25">
      <c r="A105" s="725" t="s">
        <v>1367</v>
      </c>
      <c r="B105" s="723"/>
      <c r="C105" s="724"/>
      <c r="D105" s="724"/>
      <c r="E105" s="724"/>
      <c r="F105" s="724"/>
      <c r="G105" s="724"/>
      <c r="H105" s="724"/>
      <c r="I105" s="724"/>
      <c r="J105" s="724"/>
      <c r="K105" s="724"/>
      <c r="L105" s="724"/>
      <c r="M105" s="724"/>
      <c r="N105" s="724"/>
      <c r="O105" s="724"/>
      <c r="P105" s="724"/>
      <c r="Q105" s="724"/>
      <c r="R105" s="724"/>
      <c r="S105" s="724"/>
      <c r="T105" s="724"/>
      <c r="U105" s="724"/>
      <c r="V105" s="724"/>
      <c r="W105" s="724"/>
      <c r="X105" s="724"/>
      <c r="Y105" s="724"/>
      <c r="Z105" s="724"/>
      <c r="AA105" s="724"/>
      <c r="AB105" s="724"/>
      <c r="AC105" s="724"/>
      <c r="AD105" s="724"/>
      <c r="AE105" s="724"/>
      <c r="AF105" s="724"/>
      <c r="AG105" s="724"/>
      <c r="AH105" s="724"/>
      <c r="AI105" s="724"/>
      <c r="AJ105" s="724"/>
      <c r="AK105" s="724"/>
      <c r="AL105" s="724"/>
    </row>
    <row r="106" spans="1:42" s="720" customFormat="1">
      <c r="A106" s="54" t="s">
        <v>1358</v>
      </c>
      <c r="B106" s="54" t="s">
        <v>1359</v>
      </c>
      <c r="C106" s="160"/>
      <c r="D106" s="160"/>
      <c r="E106" s="160"/>
      <c r="F106" s="160"/>
      <c r="G106" s="160"/>
      <c r="H106" s="160"/>
      <c r="I106" s="160"/>
      <c r="J106" s="160"/>
      <c r="K106" s="160"/>
      <c r="L106" s="746">
        <v>0.8</v>
      </c>
      <c r="M106" s="746">
        <v>0.8</v>
      </c>
      <c r="N106" s="746">
        <v>0.8</v>
      </c>
      <c r="O106" s="746">
        <v>0.8</v>
      </c>
      <c r="P106" s="746">
        <v>0.8</v>
      </c>
      <c r="Q106" s="746">
        <v>0.81</v>
      </c>
      <c r="R106" s="746">
        <v>0.81</v>
      </c>
      <c r="S106" s="746">
        <v>0.81</v>
      </c>
      <c r="T106" s="746">
        <v>0.81</v>
      </c>
      <c r="U106" s="746">
        <v>0.81</v>
      </c>
      <c r="V106" s="746">
        <v>0.82</v>
      </c>
      <c r="W106" s="746">
        <v>0.82</v>
      </c>
      <c r="X106" s="746">
        <v>0.82</v>
      </c>
      <c r="Y106" s="746">
        <v>0.82</v>
      </c>
      <c r="Z106" s="746">
        <v>0.82</v>
      </c>
      <c r="AA106" s="746">
        <v>0.83</v>
      </c>
      <c r="AB106" s="746">
        <v>0.83</v>
      </c>
      <c r="AC106" s="746">
        <v>0.83</v>
      </c>
      <c r="AD106" s="746">
        <v>0.83</v>
      </c>
      <c r="AE106" s="746">
        <v>0.83</v>
      </c>
      <c r="AF106" s="746">
        <v>0.84</v>
      </c>
      <c r="AG106" s="746">
        <v>0.84</v>
      </c>
      <c r="AH106" s="746">
        <v>0.84</v>
      </c>
      <c r="AI106" s="746">
        <v>0.84</v>
      </c>
      <c r="AJ106" s="746">
        <v>0.84</v>
      </c>
      <c r="AK106" s="746">
        <v>0.84</v>
      </c>
      <c r="AL106" s="746">
        <v>0.84</v>
      </c>
    </row>
    <row r="107" spans="1:42" s="720" customFormat="1">
      <c r="A107" s="54" t="s">
        <v>1360</v>
      </c>
      <c r="B107" s="54" t="s">
        <v>1359</v>
      </c>
      <c r="C107" s="160"/>
      <c r="D107" s="160"/>
      <c r="E107" s="160"/>
      <c r="F107" s="160"/>
      <c r="G107" s="160"/>
      <c r="H107" s="160"/>
      <c r="I107" s="160"/>
      <c r="J107" s="160"/>
      <c r="K107" s="160"/>
      <c r="L107" s="746">
        <v>2.4</v>
      </c>
      <c r="M107" s="746">
        <v>2.4</v>
      </c>
      <c r="N107" s="746">
        <v>2.4</v>
      </c>
      <c r="O107" s="746">
        <v>2.4</v>
      </c>
      <c r="P107" s="746">
        <v>2.4</v>
      </c>
      <c r="Q107" s="746">
        <v>2.4</v>
      </c>
      <c r="R107" s="746">
        <v>2.4</v>
      </c>
      <c r="S107" s="746">
        <v>2.4</v>
      </c>
      <c r="T107" s="746">
        <v>2.4</v>
      </c>
      <c r="U107" s="746">
        <v>2.4</v>
      </c>
      <c r="V107" s="746">
        <v>2.4</v>
      </c>
      <c r="W107" s="746">
        <v>2.4</v>
      </c>
      <c r="X107" s="746">
        <v>2.4</v>
      </c>
      <c r="Y107" s="746">
        <v>2.4</v>
      </c>
      <c r="Z107" s="746">
        <v>2.4</v>
      </c>
      <c r="AA107" s="746">
        <v>2.4</v>
      </c>
      <c r="AB107" s="746">
        <v>2.4</v>
      </c>
      <c r="AC107" s="746">
        <v>2.4</v>
      </c>
      <c r="AD107" s="746">
        <v>2.4</v>
      </c>
      <c r="AE107" s="746">
        <v>2.4</v>
      </c>
      <c r="AF107" s="746">
        <v>2.4</v>
      </c>
      <c r="AG107" s="746">
        <v>2.4</v>
      </c>
      <c r="AH107" s="746">
        <v>2.4</v>
      </c>
      <c r="AI107" s="746">
        <v>2.4</v>
      </c>
      <c r="AJ107" s="746">
        <v>2.4</v>
      </c>
      <c r="AK107" s="746">
        <v>2.4</v>
      </c>
      <c r="AL107" s="746">
        <v>2.4</v>
      </c>
    </row>
    <row r="108" spans="1:42" s="301" customFormat="1" ht="12.4" customHeight="1">
      <c r="A108" s="54" t="s">
        <v>1062</v>
      </c>
      <c r="B108" s="54" t="s">
        <v>508</v>
      </c>
      <c r="C108" s="148"/>
      <c r="D108" s="148"/>
      <c r="E108" s="148"/>
      <c r="F108" s="148"/>
      <c r="G108" s="148"/>
      <c r="H108" s="148"/>
      <c r="I108" s="148"/>
      <c r="J108" s="148"/>
      <c r="K108" s="148"/>
      <c r="L108" s="532">
        <f t="shared" ref="L108:AL108" si="3">L107/L106</f>
        <v>2.9999999999999996</v>
      </c>
      <c r="M108" s="532">
        <f t="shared" si="3"/>
        <v>2.9999999999999996</v>
      </c>
      <c r="N108" s="532">
        <f t="shared" si="3"/>
        <v>2.9999999999999996</v>
      </c>
      <c r="O108" s="532">
        <f t="shared" si="3"/>
        <v>2.9999999999999996</v>
      </c>
      <c r="P108" s="532">
        <f t="shared" si="3"/>
        <v>2.9999999999999996</v>
      </c>
      <c r="Q108" s="532">
        <f t="shared" si="3"/>
        <v>2.9629629629629628</v>
      </c>
      <c r="R108" s="532">
        <f t="shared" si="3"/>
        <v>2.9629629629629628</v>
      </c>
      <c r="S108" s="532">
        <f t="shared" si="3"/>
        <v>2.9629629629629628</v>
      </c>
      <c r="T108" s="532">
        <f t="shared" si="3"/>
        <v>2.9629629629629628</v>
      </c>
      <c r="U108" s="532">
        <f t="shared" si="3"/>
        <v>2.9629629629629628</v>
      </c>
      <c r="V108" s="532">
        <f t="shared" si="3"/>
        <v>2.9268292682926829</v>
      </c>
      <c r="W108" s="532">
        <f t="shared" si="3"/>
        <v>2.9268292682926829</v>
      </c>
      <c r="X108" s="532">
        <f t="shared" si="3"/>
        <v>2.9268292682926829</v>
      </c>
      <c r="Y108" s="532">
        <f t="shared" si="3"/>
        <v>2.9268292682926829</v>
      </c>
      <c r="Z108" s="532">
        <f t="shared" si="3"/>
        <v>2.9268292682926829</v>
      </c>
      <c r="AA108" s="532">
        <f t="shared" si="3"/>
        <v>2.8915662650602409</v>
      </c>
      <c r="AB108" s="532">
        <f t="shared" si="3"/>
        <v>2.8915662650602409</v>
      </c>
      <c r="AC108" s="532">
        <f t="shared" si="3"/>
        <v>2.8915662650602409</v>
      </c>
      <c r="AD108" s="532">
        <f t="shared" si="3"/>
        <v>2.8915662650602409</v>
      </c>
      <c r="AE108" s="532">
        <f t="shared" si="3"/>
        <v>2.8915662650602409</v>
      </c>
      <c r="AF108" s="532">
        <f t="shared" si="3"/>
        <v>2.8571428571428572</v>
      </c>
      <c r="AG108" s="532">
        <f t="shared" si="3"/>
        <v>2.8571428571428572</v>
      </c>
      <c r="AH108" s="532">
        <f t="shared" si="3"/>
        <v>2.8571428571428572</v>
      </c>
      <c r="AI108" s="532">
        <f t="shared" si="3"/>
        <v>2.8571428571428572</v>
      </c>
      <c r="AJ108" s="532">
        <f t="shared" si="3"/>
        <v>2.8571428571428572</v>
      </c>
      <c r="AK108" s="532">
        <f t="shared" si="3"/>
        <v>2.8571428571428572</v>
      </c>
      <c r="AL108" s="532">
        <f t="shared" si="3"/>
        <v>2.8571428571428572</v>
      </c>
    </row>
    <row r="109" spans="1:42" s="720" customFormat="1" ht="12.4" customHeight="1">
      <c r="A109" s="54"/>
      <c r="B109" s="54"/>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row>
    <row r="110" spans="1:42" ht="14.25">
      <c r="A110" s="121" t="s">
        <v>510</v>
      </c>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row>
    <row r="111" spans="1:42">
      <c r="A111" s="57" t="s">
        <v>507</v>
      </c>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t="s">
        <v>214</v>
      </c>
      <c r="AC111" s="76"/>
      <c r="AD111" s="76"/>
      <c r="AE111" s="76"/>
      <c r="AF111" s="76"/>
      <c r="AG111" s="76"/>
      <c r="AH111" s="76"/>
      <c r="AI111" s="76"/>
      <c r="AJ111" s="76"/>
      <c r="AK111" s="76"/>
      <c r="AL111" s="76"/>
    </row>
    <row r="112" spans="1:42">
      <c r="A112" s="125" t="s">
        <v>294</v>
      </c>
      <c r="B112" s="54" t="s">
        <v>1329</v>
      </c>
      <c r="C112" s="153" t="s">
        <v>505</v>
      </c>
      <c r="D112" s="153"/>
      <c r="E112" s="153"/>
      <c r="F112" s="153"/>
      <c r="G112" s="153"/>
      <c r="H112" s="153"/>
      <c r="I112" s="153"/>
      <c r="J112" s="154">
        <v>0</v>
      </c>
      <c r="K112" s="154">
        <v>1</v>
      </c>
      <c r="L112" s="154">
        <v>2</v>
      </c>
      <c r="M112" s="154">
        <v>3</v>
      </c>
      <c r="N112" s="154">
        <v>4</v>
      </c>
      <c r="O112" s="154">
        <v>5</v>
      </c>
      <c r="P112" s="154">
        <v>6</v>
      </c>
      <c r="Q112" s="154">
        <v>7</v>
      </c>
      <c r="R112" s="154">
        <v>8</v>
      </c>
      <c r="S112" s="154">
        <v>9</v>
      </c>
      <c r="T112" s="154">
        <v>10</v>
      </c>
      <c r="U112" s="154">
        <v>11</v>
      </c>
      <c r="V112" s="154">
        <v>12</v>
      </c>
      <c r="W112" s="154">
        <v>13</v>
      </c>
      <c r="X112" s="154">
        <v>14</v>
      </c>
      <c r="Y112" s="154">
        <v>15</v>
      </c>
      <c r="Z112" s="154">
        <v>16</v>
      </c>
      <c r="AA112" s="154">
        <v>17</v>
      </c>
      <c r="AB112" s="154">
        <v>18</v>
      </c>
      <c r="AC112" s="154">
        <v>19</v>
      </c>
      <c r="AD112" s="154">
        <v>20</v>
      </c>
      <c r="AE112" s="154">
        <v>21</v>
      </c>
      <c r="AF112" s="154">
        <v>22</v>
      </c>
      <c r="AG112" s="154">
        <v>23</v>
      </c>
      <c r="AH112" s="154">
        <v>24</v>
      </c>
      <c r="AI112" s="154">
        <v>25</v>
      </c>
      <c r="AJ112" s="154">
        <v>26</v>
      </c>
      <c r="AK112" s="154">
        <v>27</v>
      </c>
      <c r="AL112" s="154">
        <v>28</v>
      </c>
    </row>
    <row r="113" spans="1:40">
      <c r="A113" s="57" t="s">
        <v>133</v>
      </c>
      <c r="B113" s="54" t="s">
        <v>506</v>
      </c>
      <c r="C113" s="150"/>
      <c r="D113" s="150"/>
      <c r="E113" s="150"/>
      <c r="F113" s="150"/>
      <c r="G113" s="150"/>
      <c r="H113" s="150"/>
      <c r="I113" s="150"/>
      <c r="J113" s="452">
        <f>parameters!C82</f>
        <v>1939.9</v>
      </c>
      <c r="K113" s="452">
        <f>parameters!$C$82*(1+parameters!$C$90)^(K112)</f>
        <v>1994.0232100000001</v>
      </c>
      <c r="L113" s="452">
        <f>parameters!$C$82*(1+parameters!$C$90)^(L112-1)</f>
        <v>1994.0232100000001</v>
      </c>
      <c r="M113" s="452">
        <f>parameters!$C$82*(1+parameters!$C$90)^(M112-1)</f>
        <v>2049.656457559</v>
      </c>
      <c r="N113" s="452">
        <f>parameters!$C$82*(1+parameters!$C$90)^(N112-1)</f>
        <v>2106.8418727248963</v>
      </c>
      <c r="O113" s="452">
        <f>parameters!$C$82*(1+parameters!$C$90)^(O112-1)</f>
        <v>2165.6227609739208</v>
      </c>
      <c r="P113" s="452">
        <f>parameters!$C$82*(1+parameters!$C$90)^(P112-1)</f>
        <v>2226.0436360050926</v>
      </c>
      <c r="Q113" s="452">
        <f>parameters!$C$82*(1+parameters!$C$90)^(Q112-1)</f>
        <v>2288.1502534496349</v>
      </c>
      <c r="R113" s="452">
        <f>parameters!$C$82*(1+parameters!$C$90)^(R112-1)</f>
        <v>2351.98964552088</v>
      </c>
      <c r="S113" s="452">
        <f>parameters!$C$82*(1+parameters!$C$90)^(S112-1)</f>
        <v>2417.6101566309121</v>
      </c>
      <c r="T113" s="452">
        <f>parameters!$C$82*(1+parameters!$C$90)^(T112-1)</f>
        <v>2485.0614800009148</v>
      </c>
      <c r="U113" s="452">
        <f>parameters!$C$82*(1+parameters!$C$90)^(U112-1)</f>
        <v>2554.3946952929405</v>
      </c>
      <c r="V113" s="452">
        <f>parameters!$C$82*(1+parameters!$C$90)^(V112-1)</f>
        <v>2625.6623072916136</v>
      </c>
      <c r="W113" s="452">
        <f>parameters!$C$82*(1+parameters!$C$90)^(W112-1)</f>
        <v>2698.9182856650491</v>
      </c>
      <c r="X113" s="452">
        <f>parameters!$C$82*(1+parameters!$C$90)^(X112-1)</f>
        <v>2774.2181058351034</v>
      </c>
      <c r="Y113" s="452">
        <f>parameters!$C$82*(1+parameters!$C$90)^(Y112-1)</f>
        <v>2851.6187909879031</v>
      </c>
      <c r="Z113" s="452">
        <f>parameters!$C$82*(1+parameters!$C$90)^(Z112-1)</f>
        <v>2931.178955256466</v>
      </c>
      <c r="AA113" s="452">
        <f>parameters!$C$82*(1+parameters!$C$90)^(AA112-1)</f>
        <v>3012.9588481081209</v>
      </c>
      <c r="AB113" s="452">
        <f>parameters!$C$82*(1+parameters!$C$90)^(AB112-1)</f>
        <v>3097.0203999703376</v>
      </c>
      <c r="AC113" s="452">
        <f>parameters!$C$82*(1+parameters!$C$90)^(AC112-1)</f>
        <v>3183.42726912951</v>
      </c>
      <c r="AD113" s="452">
        <f>parameters!$C$82*(1+parameters!$C$90)^(AD112-1)</f>
        <v>3272.2448899382234</v>
      </c>
      <c r="AE113" s="452">
        <f>parameters!$C$82*(1+parameters!$C$90)^(AE112-1)</f>
        <v>3363.5405223674998</v>
      </c>
      <c r="AF113" s="452">
        <f>parameters!$C$82*(1+parameters!$C$90)^(AF112-1)</f>
        <v>3457.3833029415528</v>
      </c>
      <c r="AG113" s="452">
        <f>parameters!$C$82*(1+parameters!$C$90)^(AG112-1)</f>
        <v>3553.8442970936221</v>
      </c>
      <c r="AH113" s="452">
        <f>parameters!$C$82*(1+parameters!$C$90)^(AH112-1)</f>
        <v>3652.9965529825345</v>
      </c>
      <c r="AI113" s="452">
        <f>parameters!$C$82*(1+parameters!$C$90)^(AI112-1)</f>
        <v>3754.9151568107463</v>
      </c>
      <c r="AJ113" s="452">
        <f>parameters!$C$82*(1+parameters!$C$90)^(AJ112-1)</f>
        <v>3859.6772896857665</v>
      </c>
      <c r="AK113" s="452">
        <f>parameters!$C$82*(1+parameters!$C$90)^(AK112-1)</f>
        <v>3967.3622860679993</v>
      </c>
      <c r="AL113" s="452">
        <f>parameters!$C$82*(1+parameters!$C$90)^(AL112-1)</f>
        <v>4078.0516938492965</v>
      </c>
    </row>
    <row r="114" spans="1:40">
      <c r="A114" s="57" t="s">
        <v>134</v>
      </c>
      <c r="B114" s="54" t="s">
        <v>506</v>
      </c>
      <c r="C114" s="150"/>
      <c r="D114" s="150"/>
      <c r="E114" s="150"/>
      <c r="F114" s="150"/>
      <c r="G114" s="150"/>
      <c r="H114" s="150"/>
      <c r="I114" s="150"/>
      <c r="J114" s="452">
        <f>parameters!C83</f>
        <v>14647.2</v>
      </c>
      <c r="K114" s="452">
        <f>parameters!$C$83*(1+parameters!$C$90)^(K112)</f>
        <v>15055.856880000001</v>
      </c>
      <c r="L114" s="452">
        <f>parameters!$C$83*(1+parameters!$C$90)^(L112-1)</f>
        <v>15055.856880000001</v>
      </c>
      <c r="M114" s="452">
        <f>parameters!$C$83*(1+parameters!$C$90)^(M112-1)</f>
        <v>15475.915286952</v>
      </c>
      <c r="N114" s="452">
        <f>parameters!$C$83*(1+parameters!$C$90)^(N112-1)</f>
        <v>15907.693323457963</v>
      </c>
      <c r="O114" s="452">
        <f>parameters!$C$83*(1+parameters!$C$90)^(O112-1)</f>
        <v>16351.517967182437</v>
      </c>
      <c r="P114" s="452">
        <f>parameters!$C$83*(1+parameters!$C$90)^(P112-1)</f>
        <v>16807.725318466826</v>
      </c>
      <c r="Q114" s="452">
        <f>parameters!$C$83*(1+parameters!$C$90)^(Q112-1)</f>
        <v>17276.660854852053</v>
      </c>
      <c r="R114" s="452">
        <f>parameters!$C$83*(1+parameters!$C$90)^(R112-1)</f>
        <v>17758.679692702426</v>
      </c>
      <c r="S114" s="452">
        <f>parameters!$C$83*(1+parameters!$C$90)^(S112-1)</f>
        <v>18254.14685612882</v>
      </c>
      <c r="T114" s="452">
        <f>parameters!$C$83*(1+parameters!$C$90)^(T112-1)</f>
        <v>18763.437553414813</v>
      </c>
      <c r="U114" s="452">
        <f>parameters!$C$83*(1+parameters!$C$90)^(U112-1)</f>
        <v>19286.937461155088</v>
      </c>
      <c r="V114" s="452">
        <f>parameters!$C$83*(1+parameters!$C$90)^(V112-1)</f>
        <v>19825.043016321317</v>
      </c>
      <c r="W114" s="452">
        <f>parameters!$C$83*(1+parameters!$C$90)^(W112-1)</f>
        <v>20378.161716476679</v>
      </c>
      <c r="X114" s="452">
        <f>parameters!$C$83*(1+parameters!$C$90)^(X112-1)</f>
        <v>20946.712428366372</v>
      </c>
      <c r="Y114" s="452">
        <f>parameters!$C$83*(1+parameters!$C$90)^(Y112-1)</f>
        <v>21531.1257051178</v>
      </c>
      <c r="Z114" s="452">
        <f>parameters!$C$83*(1+parameters!$C$90)^(Z112-1)</f>
        <v>22131.844112290586</v>
      </c>
      <c r="AA114" s="452">
        <f>parameters!$C$83*(1+parameters!$C$90)^(AA112-1)</f>
        <v>22749.322563023492</v>
      </c>
      <c r="AB114" s="452">
        <f>parameters!$C$83*(1+parameters!$C$90)^(AB112-1)</f>
        <v>23384.028662531848</v>
      </c>
      <c r="AC114" s="452">
        <f>parameters!$C$83*(1+parameters!$C$90)^(AC112-1)</f>
        <v>24036.443062216484</v>
      </c>
      <c r="AD114" s="452">
        <f>parameters!$C$83*(1+parameters!$C$90)^(AD112-1)</f>
        <v>24707.059823652326</v>
      </c>
      <c r="AE114" s="452">
        <f>parameters!$C$83*(1+parameters!$C$90)^(AE112-1)</f>
        <v>25396.386792732224</v>
      </c>
      <c r="AF114" s="452">
        <f>parameters!$C$83*(1+parameters!$C$90)^(AF112-1)</f>
        <v>26104.945984249451</v>
      </c>
      <c r="AG114" s="452">
        <f>parameters!$C$83*(1+parameters!$C$90)^(AG112-1)</f>
        <v>26833.27397721001</v>
      </c>
      <c r="AH114" s="452">
        <f>parameters!$C$83*(1+parameters!$C$90)^(AH112-1)</f>
        <v>27581.922321174174</v>
      </c>
      <c r="AI114" s="452">
        <f>parameters!$C$83*(1+parameters!$C$90)^(AI112-1)</f>
        <v>28351.457953934929</v>
      </c>
      <c r="AJ114" s="452">
        <f>parameters!$C$83*(1+parameters!$C$90)^(AJ112-1)</f>
        <v>29142.463630849714</v>
      </c>
      <c r="AK114" s="452">
        <f>parameters!$C$83*(1+parameters!$C$90)^(AK112-1)</f>
        <v>29955.53836615042</v>
      </c>
      <c r="AL114" s="452">
        <f>parameters!$C$83*(1+parameters!$C$90)^(AL112-1)</f>
        <v>30791.297886566019</v>
      </c>
    </row>
    <row r="115" spans="1:40">
      <c r="A115" s="57" t="s">
        <v>135</v>
      </c>
      <c r="B115" s="54" t="s">
        <v>506</v>
      </c>
      <c r="C115" s="150"/>
      <c r="D115" s="150"/>
      <c r="E115" s="150"/>
      <c r="F115" s="150"/>
      <c r="G115" s="150"/>
      <c r="H115" s="150"/>
      <c r="I115" s="150"/>
      <c r="J115" s="452">
        <f>parameters!C84</f>
        <v>2573</v>
      </c>
      <c r="K115" s="452">
        <f>parameters!$C$84*(1+parameters!$C$90)^(K112)</f>
        <v>2644.7867000000001</v>
      </c>
      <c r="L115" s="452">
        <f>parameters!$C$84*(1+parameters!$C$90)^(L112-1)</f>
        <v>2644.7867000000001</v>
      </c>
      <c r="M115" s="452">
        <f>parameters!$C$84*(1+parameters!$C$90)^(M112-1)</f>
        <v>2718.57624893</v>
      </c>
      <c r="N115" s="452">
        <f>parameters!$C$84*(1+parameters!$C$90)^(N112-1)</f>
        <v>2794.4245262751474</v>
      </c>
      <c r="O115" s="452">
        <f>parameters!$C$84*(1+parameters!$C$90)^(O112-1)</f>
        <v>2872.3889705582233</v>
      </c>
      <c r="P115" s="452">
        <f>parameters!$C$84*(1+parameters!$C$90)^(P112-1)</f>
        <v>2952.5286228367977</v>
      </c>
      <c r="Q115" s="452">
        <f>parameters!$C$84*(1+parameters!$C$90)^(Q112-1)</f>
        <v>3034.9041714139444</v>
      </c>
      <c r="R115" s="452">
        <f>parameters!$C$84*(1+parameters!$C$90)^(R112-1)</f>
        <v>3119.5779977963939</v>
      </c>
      <c r="S115" s="452">
        <f>parameters!$C$84*(1+parameters!$C$90)^(S112-1)</f>
        <v>3206.6142239349128</v>
      </c>
      <c r="T115" s="452">
        <f>parameters!$C$84*(1+parameters!$C$90)^(T112-1)</f>
        <v>3296.0787607826969</v>
      </c>
      <c r="U115" s="452">
        <f>parameters!$C$84*(1+parameters!$C$90)^(U112-1)</f>
        <v>3388.0393582085339</v>
      </c>
      <c r="V115" s="452">
        <f>parameters!$C$84*(1+parameters!$C$90)^(V112-1)</f>
        <v>3482.5656563025523</v>
      </c>
      <c r="W115" s="452">
        <f>parameters!$C$84*(1+parameters!$C$90)^(W112-1)</f>
        <v>3579.729238113393</v>
      </c>
      <c r="X115" s="452">
        <f>parameters!$C$84*(1+parameters!$C$90)^(X112-1)</f>
        <v>3679.6036838567561</v>
      </c>
      <c r="Y115" s="452">
        <f>parameters!$C$84*(1+parameters!$C$90)^(Y112-1)</f>
        <v>3782.2646266363599</v>
      </c>
      <c r="Z115" s="452">
        <f>parameters!$C$84*(1+parameters!$C$90)^(Z112-1)</f>
        <v>3887.7898097195148</v>
      </c>
      <c r="AA115" s="452">
        <f>parameters!$C$84*(1+parameters!$C$90)^(AA112-1)</f>
        <v>3996.2591454106887</v>
      </c>
      <c r="AB115" s="452">
        <f>parameters!$C$84*(1+parameters!$C$90)^(AB112-1)</f>
        <v>4107.7547755676469</v>
      </c>
      <c r="AC115" s="452">
        <f>parameters!$C$84*(1+parameters!$C$90)^(AC112-1)</f>
        <v>4222.3611338059845</v>
      </c>
      <c r="AD115" s="452">
        <f>parameters!$C$84*(1+parameters!$C$90)^(AD112-1)</f>
        <v>4340.1650094391716</v>
      </c>
      <c r="AE115" s="452">
        <f>parameters!$C$84*(1+parameters!$C$90)^(AE112-1)</f>
        <v>4461.2556132025238</v>
      </c>
      <c r="AF115" s="452">
        <f>parameters!$C$84*(1+parameters!$C$90)^(AF112-1)</f>
        <v>4585.7246448108745</v>
      </c>
      <c r="AG115" s="452">
        <f>parameters!$C$84*(1+parameters!$C$90)^(AG112-1)</f>
        <v>4713.666362401098</v>
      </c>
      <c r="AH115" s="452">
        <f>parameters!$C$84*(1+parameters!$C$90)^(AH112-1)</f>
        <v>4845.1776539120883</v>
      </c>
      <c r="AI115" s="452">
        <f>parameters!$C$84*(1+parameters!$C$90)^(AI112-1)</f>
        <v>4980.3581104562354</v>
      </c>
      <c r="AJ115" s="452">
        <f>parameters!$C$84*(1+parameters!$C$90)^(AJ112-1)</f>
        <v>5119.310101737964</v>
      </c>
      <c r="AK115" s="452">
        <f>parameters!$C$84*(1+parameters!$C$90)^(AK112-1)</f>
        <v>5262.1388535764536</v>
      </c>
      <c r="AL115" s="452">
        <f>parameters!$C$84*(1+parameters!$C$90)^(AL112-1)</f>
        <v>5408.9525275912365</v>
      </c>
    </row>
    <row r="116" spans="1:40">
      <c r="A116" s="57" t="s">
        <v>92</v>
      </c>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row>
    <row r="117" spans="1:40" s="123" customFormat="1">
      <c r="A117" s="145" t="s">
        <v>206</v>
      </c>
      <c r="B117" s="145"/>
      <c r="C117" s="155">
        <v>2401025</v>
      </c>
      <c r="D117" s="155">
        <v>2437936</v>
      </c>
      <c r="E117" s="155">
        <v>2487409</v>
      </c>
      <c r="F117" s="155">
        <v>2530801</v>
      </c>
      <c r="G117" s="155">
        <v>2567605</v>
      </c>
      <c r="H117" s="155">
        <v>2595770</v>
      </c>
      <c r="I117" s="155">
        <v>2620787</v>
      </c>
      <c r="J117" s="155">
        <v>2632621</v>
      </c>
      <c r="K117" s="151">
        <f>parameters!$C$88*(1+parameters!$C$91)^(K112)</f>
        <v>2656533.0965430001</v>
      </c>
      <c r="L117" s="151">
        <f>parameters!$C$88*(1+parameters!$C$91)^(L112)</f>
        <v>2680662.3866589</v>
      </c>
      <c r="M117" s="151">
        <f>parameters!$C$88*(1+parameters!$C$91)^(M112)</f>
        <v>2705010.8431169228</v>
      </c>
      <c r="N117" s="151">
        <f>parameters!$C$88*(1+parameters!$C$91)^(N112)</f>
        <v>2729580.4566049534</v>
      </c>
      <c r="O117" s="151">
        <f>parameters!$C$88*(1+parameters!$C$91)^(O112)</f>
        <v>2754373.2358922963</v>
      </c>
      <c r="P117" s="151">
        <f>parameters!$C$88*(1+parameters!$C$91)^(P112)</f>
        <v>2779391.2079939055</v>
      </c>
      <c r="Q117" s="151">
        <f>parameters!$C$88*(1+parameters!$C$91)^(Q112)</f>
        <v>2804636.4183361144</v>
      </c>
      <c r="R117" s="151">
        <f>parameters!$C$88*(1+parameters!$C$91)^(R112)</f>
        <v>2830110.930923861</v>
      </c>
      <c r="S117" s="151">
        <f>parameters!$C$88*(1+parameters!$C$91)^(S112)</f>
        <v>2855816.8285094425</v>
      </c>
      <c r="T117" s="151">
        <f>parameters!$C$88*(1+parameters!$C$91)^(T112)</f>
        <v>2881756.212762794</v>
      </c>
      <c r="U117" s="151">
        <f>parameters!$C$88*(1+parameters!$C$91)^(U112)</f>
        <v>2907931.2044433183</v>
      </c>
      <c r="V117" s="151">
        <f>parameters!$C$88*(1+parameters!$C$91)^(V112)</f>
        <v>2934343.9435732765</v>
      </c>
      <c r="W117" s="151">
        <f>parameters!$C$88*(1+parameters!$C$91)^(W112)</f>
        <v>2960996.5896127527</v>
      </c>
      <c r="X117" s="151">
        <f>parameters!$C$88*(1+parameters!$C$91)^(X112)</f>
        <v>2987891.3216362051</v>
      </c>
      <c r="Y117" s="151">
        <f>parameters!$C$88*(1+parameters!$C$91)^(Y112)</f>
        <v>3015030.3385106269</v>
      </c>
      <c r="Z117" s="151">
        <f>parameters!$C$88*(1+parameters!$C$91)^(Z112)</f>
        <v>3042415.8590753186</v>
      </c>
      <c r="AA117" s="151">
        <f>parameters!$C$88*(1+parameters!$C$91)^(AA112)</f>
        <v>3070050.1223232993</v>
      </c>
      <c r="AB117" s="151">
        <f>parameters!$C$88*(1+parameters!$C$91)^(AB112)</f>
        <v>3097935.3875843622</v>
      </c>
      <c r="AC117" s="151">
        <f>parameters!$C$88*(1+parameters!$C$91)^(AC112)</f>
        <v>3126073.9347097911</v>
      </c>
      <c r="AD117" s="151">
        <f>parameters!$C$88*(1+parameters!$C$91)^(AD112)</f>
        <v>3154468.0642587598</v>
      </c>
      <c r="AE117" s="151">
        <f>parameters!$C$88*(1+parameters!$C$91)^(AE112)</f>
        <v>3183120.0976864216</v>
      </c>
      <c r="AF117" s="151">
        <f>parameters!$C$88*(1+parameters!$C$91)^(AF112)</f>
        <v>3212032.3775337073</v>
      </c>
      <c r="AG117" s="151">
        <f>parameters!$C$88*(1+parameters!$C$91)^(AG112)</f>
        <v>3241207.2676188461</v>
      </c>
      <c r="AH117" s="151">
        <f>parameters!$C$88*(1+parameters!$C$91)^(AH112)</f>
        <v>3270647.1532306275</v>
      </c>
      <c r="AI117" s="151">
        <f>parameters!$C$88*(1+parameters!$C$91)^(AI112)</f>
        <v>3300354.4413234214</v>
      </c>
      <c r="AJ117" s="151">
        <f>parameters!$C$88*(1+parameters!$C$91)^(AJ112)</f>
        <v>3330331.5607139622</v>
      </c>
      <c r="AK117" s="151">
        <f>parameters!$C$88*(1+parameters!$C$91)^(AK112)</f>
        <v>3360580.9622799275</v>
      </c>
      <c r="AL117" s="151">
        <f>parameters!$C$88*(1+parameters!$C$91)^(AL112)</f>
        <v>3391105.1191603155</v>
      </c>
    </row>
    <row r="118" spans="1:40">
      <c r="C118" s="57" t="s">
        <v>301</v>
      </c>
    </row>
    <row r="119" spans="1:40" ht="15">
      <c r="A119" s="57" t="s">
        <v>1191</v>
      </c>
      <c r="J119" s="530">
        <v>6860260.5</v>
      </c>
      <c r="K119" s="530">
        <v>6935286.5</v>
      </c>
      <c r="L119" s="530">
        <v>7018223.5</v>
      </c>
      <c r="M119" s="530">
        <v>7116758.5</v>
      </c>
      <c r="N119" s="531">
        <v>7210699.7122000009</v>
      </c>
      <c r="O119" s="531">
        <v>7302996.66851616</v>
      </c>
      <c r="P119" s="531">
        <v>7389902.3288715025</v>
      </c>
      <c r="Q119" s="531">
        <v>7473408.2251877515</v>
      </c>
      <c r="R119" s="531">
        <v>7554121.0340197785</v>
      </c>
      <c r="S119" s="531">
        <v>7632683.8927735835</v>
      </c>
      <c r="T119" s="531">
        <v>7712063.8052584287</v>
      </c>
      <c r="U119" s="531">
        <v>7791498.0624525901</v>
      </c>
      <c r="V119" s="531">
        <v>7870971.3426896064</v>
      </c>
      <c r="W119" s="531">
        <v>7949681.0561165027</v>
      </c>
      <c r="X119" s="531">
        <v>8027587.9304664452</v>
      </c>
      <c r="Y119" s="531">
        <v>8105455.5333919702</v>
      </c>
      <c r="Z119" s="531">
        <v>8182457.3609591946</v>
      </c>
      <c r="AA119" s="531">
        <v>8258554.2144161155</v>
      </c>
      <c r="AB119" s="531">
        <v>8334532.9131887443</v>
      </c>
      <c r="AC119" s="531">
        <v>8408710.2561161239</v>
      </c>
      <c r="AD119" s="531">
        <v>8481866.0353443343</v>
      </c>
      <c r="AE119" s="531">
        <v>8553961.8966447599</v>
      </c>
      <c r="AF119" s="531">
        <v>8624959.7803869117</v>
      </c>
      <c r="AG119" s="531">
        <v>8694821.9546080455</v>
      </c>
      <c r="AH119" s="531">
        <v>8763511.0480494499</v>
      </c>
      <c r="AI119" s="531">
        <v>8830990.0831194315</v>
      </c>
      <c r="AJ119" s="531">
        <v>8898105.6077511404</v>
      </c>
      <c r="AK119" s="531">
        <v>8964841.3998092748</v>
      </c>
      <c r="AL119" s="531">
        <v>9030284.7420278825</v>
      </c>
      <c r="AN119" s="57" t="s">
        <v>1246</v>
      </c>
    </row>
    <row r="121" spans="1:40">
      <c r="C121" s="124"/>
    </row>
    <row r="122" spans="1:40">
      <c r="C122" s="124"/>
    </row>
    <row r="123" spans="1:40">
      <c r="C123" s="124"/>
    </row>
    <row r="124" spans="1:40">
      <c r="C124" s="124"/>
    </row>
    <row r="125" spans="1:40">
      <c r="C125" s="124"/>
    </row>
    <row r="126" spans="1:40">
      <c r="C126" s="124"/>
    </row>
    <row r="127" spans="1:40">
      <c r="C127" s="124"/>
    </row>
    <row r="128" spans="1:40">
      <c r="C128" s="124"/>
    </row>
  </sheetData>
  <phoneticPr fontId="22"/>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AV48"/>
  <sheetViews>
    <sheetView showGridLines="0" workbookViewId="0">
      <pane xSplit="1" topLeftCell="B1" activePane="topRight" state="frozen"/>
      <selection pane="topRight" activeCell="E2" sqref="E2"/>
    </sheetView>
  </sheetViews>
  <sheetFormatPr defaultColWidth="9.140625" defaultRowHeight="12.75"/>
  <cols>
    <col min="1" max="1" width="33.28515625" style="57" customWidth="1"/>
    <col min="2" max="37" width="8.7109375" style="57" customWidth="1"/>
    <col min="38" max="16384" width="9.140625" style="57"/>
  </cols>
  <sheetData>
    <row r="1" spans="1:48" ht="27">
      <c r="A1" s="110" t="s">
        <v>453</v>
      </c>
    </row>
    <row r="2" spans="1:48" ht="15.75">
      <c r="A2" s="101" t="s">
        <v>454</v>
      </c>
      <c r="B2" s="58" t="str">
        <f>'consumption scenario A'!C2</f>
        <v>reference case: AEO 2018</v>
      </c>
      <c r="E2" s="57" t="s">
        <v>1391</v>
      </c>
    </row>
    <row r="3" spans="1:48" ht="15.75">
      <c r="A3" s="101" t="s">
        <v>380</v>
      </c>
      <c r="B3" s="58" t="s">
        <v>1370</v>
      </c>
      <c r="H3" s="2"/>
      <c r="K3" s="2"/>
      <c r="M3" s="315" t="s">
        <v>1368</v>
      </c>
    </row>
    <row r="4" spans="1:48">
      <c r="D4" s="57" t="s">
        <v>21</v>
      </c>
      <c r="E4" s="57" t="s">
        <v>21</v>
      </c>
      <c r="F4" s="57" t="s">
        <v>21</v>
      </c>
      <c r="G4" s="57" t="s">
        <v>21</v>
      </c>
      <c r="M4" s="2" t="s">
        <v>363</v>
      </c>
      <c r="N4" s="471" t="s">
        <v>364</v>
      </c>
      <c r="O4" s="57" t="s">
        <v>21</v>
      </c>
      <c r="P4" s="57" t="s">
        <v>21</v>
      </c>
      <c r="Q4" s="57" t="s">
        <v>21</v>
      </c>
      <c r="R4" s="57" t="s">
        <v>21</v>
      </c>
      <c r="S4" s="57" t="s">
        <v>21</v>
      </c>
      <c r="T4" s="57" t="s">
        <v>21</v>
      </c>
      <c r="U4" s="57" t="s">
        <v>21</v>
      </c>
      <c r="V4" s="57" t="s">
        <v>21</v>
      </c>
      <c r="W4" s="57" t="s">
        <v>21</v>
      </c>
      <c r="X4" s="57" t="s">
        <v>21</v>
      </c>
      <c r="Y4" s="57" t="s">
        <v>21</v>
      </c>
      <c r="Z4" s="57" t="s">
        <v>21</v>
      </c>
      <c r="AA4" s="57" t="s">
        <v>21</v>
      </c>
      <c r="AB4" s="57" t="s">
        <v>21</v>
      </c>
      <c r="AC4" s="57" t="s">
        <v>21</v>
      </c>
      <c r="AD4" s="57" t="s">
        <v>21</v>
      </c>
      <c r="AE4" s="57" t="s">
        <v>21</v>
      </c>
      <c r="AF4" s="57" t="s">
        <v>21</v>
      </c>
    </row>
    <row r="5" spans="1:48" ht="13.5">
      <c r="A5" s="57" t="s">
        <v>22</v>
      </c>
      <c r="B5" s="59">
        <v>2005</v>
      </c>
      <c r="C5" s="59">
        <v>2006</v>
      </c>
      <c r="D5" s="59">
        <v>2007</v>
      </c>
      <c r="E5" s="59">
        <v>2008</v>
      </c>
      <c r="F5" s="59">
        <v>2009</v>
      </c>
      <c r="G5" s="59">
        <v>2010</v>
      </c>
      <c r="H5" s="59">
        <v>2011</v>
      </c>
      <c r="I5" s="59">
        <v>2012</v>
      </c>
      <c r="J5" s="466">
        <v>2013</v>
      </c>
      <c r="K5" s="467">
        <v>2014</v>
      </c>
      <c r="L5" s="168">
        <v>2015</v>
      </c>
      <c r="M5" s="732">
        <v>2016</v>
      </c>
      <c r="N5" s="59">
        <v>2017</v>
      </c>
      <c r="O5" s="59">
        <v>2018</v>
      </c>
      <c r="P5" s="59">
        <v>2019</v>
      </c>
      <c r="Q5" s="59">
        <v>2020</v>
      </c>
      <c r="R5" s="59">
        <v>2021</v>
      </c>
      <c r="S5" s="59">
        <v>2022</v>
      </c>
      <c r="T5" s="59">
        <v>2023</v>
      </c>
      <c r="U5" s="59">
        <v>2024</v>
      </c>
      <c r="V5" s="59">
        <v>2025</v>
      </c>
      <c r="W5" s="59">
        <v>2026</v>
      </c>
      <c r="X5" s="59">
        <v>2027</v>
      </c>
      <c r="Y5" s="59">
        <v>2028</v>
      </c>
      <c r="Z5" s="59">
        <v>2029</v>
      </c>
      <c r="AA5" s="59">
        <v>2030</v>
      </c>
      <c r="AB5" s="59">
        <v>2031</v>
      </c>
      <c r="AC5" s="59">
        <v>2032</v>
      </c>
      <c r="AD5" s="59">
        <v>2033</v>
      </c>
      <c r="AE5" s="59">
        <v>2034</v>
      </c>
      <c r="AF5" s="59">
        <v>2035</v>
      </c>
      <c r="AG5" s="59">
        <v>2036</v>
      </c>
      <c r="AH5" s="59">
        <v>2037</v>
      </c>
      <c r="AI5" s="59">
        <v>2038</v>
      </c>
      <c r="AJ5" s="59">
        <v>2039</v>
      </c>
      <c r="AK5" s="59">
        <v>2040</v>
      </c>
      <c r="AL5" s="59">
        <v>2041</v>
      </c>
      <c r="AM5" s="59">
        <v>2042</v>
      </c>
      <c r="AN5" s="59">
        <v>2043</v>
      </c>
      <c r="AO5" s="59">
        <v>2044</v>
      </c>
      <c r="AP5" s="59">
        <v>2045</v>
      </c>
      <c r="AQ5" s="59">
        <v>2046</v>
      </c>
      <c r="AR5" s="59">
        <v>2047</v>
      </c>
      <c r="AS5" s="59">
        <v>2048</v>
      </c>
      <c r="AT5" s="59">
        <v>2049</v>
      </c>
      <c r="AU5" s="59">
        <v>2050</v>
      </c>
    </row>
    <row r="6" spans="1:48">
      <c r="A6" s="57" t="s">
        <v>23</v>
      </c>
      <c r="H6" s="2"/>
      <c r="I6" s="420"/>
      <c r="K6" s="468"/>
      <c r="M6" s="18"/>
    </row>
    <row r="7" spans="1:48">
      <c r="A7" s="57" t="s">
        <v>24</v>
      </c>
      <c r="B7" s="332">
        <v>26.051241846129606</v>
      </c>
      <c r="C7" s="332">
        <v>30.66863980999922</v>
      </c>
      <c r="D7" s="332">
        <v>33.494805329687082</v>
      </c>
      <c r="E7" s="332">
        <v>39.750843853397861</v>
      </c>
      <c r="F7" s="332">
        <v>33.68748039407636</v>
      </c>
      <c r="G7" s="332">
        <v>32.896204367100005</v>
      </c>
      <c r="H7" s="332">
        <v>26.402289025800002</v>
      </c>
      <c r="I7" s="332">
        <v>27.849444200000001</v>
      </c>
      <c r="J7" s="332">
        <v>26.999056000000003</v>
      </c>
      <c r="K7" s="469">
        <v>26.273474</v>
      </c>
      <c r="L7" s="464">
        <v>19.169197</v>
      </c>
      <c r="M7" s="603">
        <v>18.989611</v>
      </c>
      <c r="N7" s="464">
        <v>19.823017</v>
      </c>
      <c r="O7" s="464">
        <v>18.845822999999999</v>
      </c>
      <c r="P7" s="464">
        <v>19.013500000000001</v>
      </c>
      <c r="Q7" s="464">
        <v>19.95269</v>
      </c>
      <c r="R7" s="464">
        <v>20.288197</v>
      </c>
      <c r="S7" s="464">
        <v>20.589096000000001</v>
      </c>
      <c r="T7" s="464">
        <v>20.837983999999999</v>
      </c>
      <c r="U7" s="464">
        <v>23.365297000000002</v>
      </c>
      <c r="V7" s="464">
        <v>23.429541</v>
      </c>
      <c r="W7" s="464">
        <v>23.485056</v>
      </c>
      <c r="X7" s="464">
        <v>23.522801999999999</v>
      </c>
      <c r="Y7" s="464">
        <v>23.612303000000001</v>
      </c>
      <c r="Z7" s="464">
        <v>24.205912000000001</v>
      </c>
      <c r="AA7" s="464">
        <v>24.303826999999998</v>
      </c>
      <c r="AB7" s="464">
        <v>24.514396999999999</v>
      </c>
      <c r="AC7" s="464">
        <v>24.790319</v>
      </c>
      <c r="AD7" s="464">
        <v>25.033773</v>
      </c>
      <c r="AE7" s="464">
        <v>25.218855000000001</v>
      </c>
      <c r="AF7" s="464">
        <v>25.453479999999999</v>
      </c>
      <c r="AG7" s="464">
        <v>25.70064</v>
      </c>
      <c r="AH7" s="464">
        <v>25.7957</v>
      </c>
      <c r="AI7" s="464">
        <v>26.167466999999998</v>
      </c>
      <c r="AJ7" s="464">
        <v>26.321366999999999</v>
      </c>
      <c r="AK7" s="464">
        <v>26.442492999999999</v>
      </c>
      <c r="AL7" s="50">
        <v>26.630845999999998</v>
      </c>
      <c r="AM7" s="50">
        <v>26.778659999999999</v>
      </c>
      <c r="AN7" s="50">
        <v>26.973683999999999</v>
      </c>
      <c r="AO7" s="50">
        <v>27.116833</v>
      </c>
      <c r="AP7" s="50">
        <v>27.329032999999999</v>
      </c>
      <c r="AQ7" s="50">
        <v>27.461773000000001</v>
      </c>
      <c r="AR7" s="50">
        <v>27.629292</v>
      </c>
      <c r="AS7" s="50">
        <v>27.852530999999999</v>
      </c>
      <c r="AT7" s="50">
        <v>28.059457999999999</v>
      </c>
      <c r="AU7" s="50">
        <v>28.188538000000001</v>
      </c>
      <c r="AV7" s="731">
        <v>1.0999999999999999E-2</v>
      </c>
    </row>
    <row r="8" spans="1:48">
      <c r="A8" s="57" t="s">
        <v>25</v>
      </c>
      <c r="B8" s="332">
        <v>20.654778534439036</v>
      </c>
      <c r="C8" s="332">
        <v>21.813877535660978</v>
      </c>
      <c r="D8" s="332">
        <v>26.118203975052712</v>
      </c>
      <c r="E8" s="332">
        <v>28.360250296964857</v>
      </c>
      <c r="F8" s="332">
        <v>20.84400916446355</v>
      </c>
      <c r="G8" s="332">
        <v>23.640661560000002</v>
      </c>
      <c r="H8" s="332">
        <v>28.773628173599999</v>
      </c>
      <c r="I8" s="332">
        <v>28.642387600000003</v>
      </c>
      <c r="J8" s="332">
        <v>28.5695558</v>
      </c>
      <c r="K8" s="469">
        <v>27.557736999999999</v>
      </c>
      <c r="L8" s="464">
        <v>19.262710999999999</v>
      </c>
      <c r="M8" s="603">
        <v>15.350858000000001</v>
      </c>
      <c r="N8" s="464">
        <v>17.886963000000002</v>
      </c>
      <c r="O8" s="464">
        <v>18.569464</v>
      </c>
      <c r="P8" s="464">
        <v>19.599571000000001</v>
      </c>
      <c r="Q8" s="464">
        <v>22.971277000000001</v>
      </c>
      <c r="R8" s="464">
        <v>24.607828000000001</v>
      </c>
      <c r="S8" s="464">
        <v>25.316462999999999</v>
      </c>
      <c r="T8" s="464">
        <v>25.86842</v>
      </c>
      <c r="U8" s="464">
        <v>26.191959000000001</v>
      </c>
      <c r="V8" s="464">
        <v>26.303926000000001</v>
      </c>
      <c r="W8" s="464">
        <v>26.461908000000001</v>
      </c>
      <c r="X8" s="464">
        <v>26.677890999999999</v>
      </c>
      <c r="Y8" s="464">
        <v>26.950324999999999</v>
      </c>
      <c r="Z8" s="464">
        <v>27.244976000000001</v>
      </c>
      <c r="AA8" s="464">
        <v>27.435493000000001</v>
      </c>
      <c r="AB8" s="464">
        <v>27.820596999999999</v>
      </c>
      <c r="AC8" s="464">
        <v>28.01539</v>
      </c>
      <c r="AD8" s="464">
        <v>28.320105000000002</v>
      </c>
      <c r="AE8" s="464">
        <v>28.570540999999999</v>
      </c>
      <c r="AF8" s="464">
        <v>28.694842999999999</v>
      </c>
      <c r="AG8" s="464">
        <v>28.827456000000002</v>
      </c>
      <c r="AH8" s="464">
        <v>29.335131000000001</v>
      </c>
      <c r="AI8" s="464">
        <v>29.484455000000001</v>
      </c>
      <c r="AJ8" s="464">
        <v>29.714451</v>
      </c>
      <c r="AK8" s="464">
        <v>29.926468</v>
      </c>
      <c r="AL8" s="50">
        <v>30.161176999999999</v>
      </c>
      <c r="AM8" s="50">
        <v>30.216833000000001</v>
      </c>
      <c r="AN8" s="50">
        <v>30.26689</v>
      </c>
      <c r="AO8" s="50">
        <v>30.357994000000001</v>
      </c>
      <c r="AP8" s="50">
        <v>30.478110999999998</v>
      </c>
      <c r="AQ8" s="50">
        <v>30.409288</v>
      </c>
      <c r="AR8" s="50">
        <v>30.527103</v>
      </c>
      <c r="AS8" s="50">
        <v>30.761935999999999</v>
      </c>
      <c r="AT8" s="50">
        <v>30.751712999999999</v>
      </c>
      <c r="AU8" s="50">
        <v>30.859112</v>
      </c>
      <c r="AV8" s="731">
        <v>1.7000000000000001E-2</v>
      </c>
    </row>
    <row r="9" spans="1:48">
      <c r="A9" s="57" t="s">
        <v>26</v>
      </c>
      <c r="B9" s="332">
        <v>14.064256366483393</v>
      </c>
      <c r="C9" s="332">
        <v>13.948068335222674</v>
      </c>
      <c r="D9" s="332">
        <v>13.786249584779203</v>
      </c>
      <c r="E9" s="332">
        <v>14.349725806705393</v>
      </c>
      <c r="F9" s="332">
        <v>13.021244137356957</v>
      </c>
      <c r="G9" s="332">
        <v>10.983029568600001</v>
      </c>
      <c r="H9" s="332">
        <v>10.777743023399999</v>
      </c>
      <c r="I9" s="332">
        <v>9.7963900000000006</v>
      </c>
      <c r="J9" s="332">
        <v>10.129775</v>
      </c>
      <c r="K9" s="469">
        <v>11.110224000000001</v>
      </c>
      <c r="L9" s="464">
        <v>11.529643</v>
      </c>
      <c r="M9" s="603">
        <v>11.94908</v>
      </c>
      <c r="N9" s="464">
        <v>12.088861</v>
      </c>
      <c r="O9" s="464">
        <v>11.919873000000001</v>
      </c>
      <c r="P9" s="464">
        <v>12.074678</v>
      </c>
      <c r="Q9" s="464">
        <v>12.078685</v>
      </c>
      <c r="R9" s="464">
        <v>11.841048000000001</v>
      </c>
      <c r="S9" s="464">
        <v>11.587343000000001</v>
      </c>
      <c r="T9" s="464">
        <v>11.451414</v>
      </c>
      <c r="U9" s="464">
        <v>13.682429000000001</v>
      </c>
      <c r="V9" s="464">
        <v>13.857764</v>
      </c>
      <c r="W9" s="464">
        <v>13.916679</v>
      </c>
      <c r="X9" s="464">
        <v>13.985175999999999</v>
      </c>
      <c r="Y9" s="464">
        <v>13.998554</v>
      </c>
      <c r="Z9" s="464">
        <v>14.386626</v>
      </c>
      <c r="AA9" s="464">
        <v>14.390219999999999</v>
      </c>
      <c r="AB9" s="464">
        <v>14.412317</v>
      </c>
      <c r="AC9" s="464">
        <v>14.449577</v>
      </c>
      <c r="AD9" s="464">
        <v>14.482034000000001</v>
      </c>
      <c r="AE9" s="464">
        <v>14.528327000000001</v>
      </c>
      <c r="AF9" s="464">
        <v>14.560515000000001</v>
      </c>
      <c r="AG9" s="464">
        <v>14.666527</v>
      </c>
      <c r="AH9" s="464">
        <v>14.721496999999999</v>
      </c>
      <c r="AI9" s="464">
        <v>14.783452</v>
      </c>
      <c r="AJ9" s="464">
        <v>14.839560000000001</v>
      </c>
      <c r="AK9" s="464">
        <v>14.885216</v>
      </c>
      <c r="AL9" s="50">
        <v>14.955647000000001</v>
      </c>
      <c r="AM9" s="50">
        <v>15.04359</v>
      </c>
      <c r="AN9" s="50">
        <v>15.085748000000001</v>
      </c>
      <c r="AO9" s="50">
        <v>15.140542</v>
      </c>
      <c r="AP9" s="50">
        <v>15.219925</v>
      </c>
      <c r="AQ9" s="50">
        <v>15.290971000000001</v>
      </c>
      <c r="AR9" s="50">
        <v>15.352911000000001</v>
      </c>
      <c r="AS9" s="50">
        <v>15.43563</v>
      </c>
      <c r="AT9" s="50">
        <v>15.521330000000001</v>
      </c>
      <c r="AU9" s="50">
        <v>15.613474999999999</v>
      </c>
      <c r="AV9" s="731">
        <v>8.0000000000000002E-3</v>
      </c>
    </row>
    <row r="10" spans="1:48">
      <c r="A10" s="77" t="s">
        <v>8</v>
      </c>
      <c r="B10" s="332">
        <v>24.437607720489037</v>
      </c>
      <c r="C10" s="332">
        <v>26.748142607449822</v>
      </c>
      <c r="D10" s="332">
        <v>26.864904992864833</v>
      </c>
      <c r="E10" s="332">
        <v>25.673123481965842</v>
      </c>
      <c r="F10" s="332">
        <v>24.417329661592778</v>
      </c>
      <c r="G10" s="332">
        <v>24.222396268240214</v>
      </c>
      <c r="H10" s="332">
        <v>24.41365919630044</v>
      </c>
      <c r="I10" s="332">
        <v>26.010139828997268</v>
      </c>
      <c r="J10" s="332">
        <v>26.863339111502501</v>
      </c>
      <c r="K10" s="469">
        <v>26.574448608041504</v>
      </c>
      <c r="L10" s="464">
        <v>27.888403746879302</v>
      </c>
      <c r="M10" s="603">
        <v>27.323781191734788</v>
      </c>
      <c r="N10" s="464">
        <v>27.898605514959847</v>
      </c>
      <c r="O10" s="464">
        <v>28.707376023982224</v>
      </c>
      <c r="P10" s="464">
        <v>28.487337439129082</v>
      </c>
      <c r="Q10" s="464">
        <v>27.961147426868976</v>
      </c>
      <c r="R10" s="464">
        <v>28.343278452243986</v>
      </c>
      <c r="S10" s="464">
        <v>29.089300913360898</v>
      </c>
      <c r="T10" s="464">
        <v>30.347527466646191</v>
      </c>
      <c r="U10" s="464">
        <v>30.906234962413166</v>
      </c>
      <c r="V10" s="464">
        <v>31.768036932620177</v>
      </c>
      <c r="W10" s="464">
        <v>32.863931075515538</v>
      </c>
      <c r="X10" s="464">
        <v>33.223850790647219</v>
      </c>
      <c r="Y10" s="464">
        <v>33.559235936342844</v>
      </c>
      <c r="Z10" s="464">
        <v>33.897649213559085</v>
      </c>
      <c r="AA10" s="464">
        <v>34.361118119700478</v>
      </c>
      <c r="AB10" s="464">
        <v>34.95749399266996</v>
      </c>
      <c r="AC10" s="464">
        <v>35.345853583210797</v>
      </c>
      <c r="AD10" s="464">
        <v>35.68371486707516</v>
      </c>
      <c r="AE10" s="464">
        <v>35.992153840143565</v>
      </c>
      <c r="AF10" s="464">
        <v>36.260494036222902</v>
      </c>
      <c r="AG10" s="464">
        <v>36.481213057829898</v>
      </c>
      <c r="AH10" s="464">
        <v>36.7197988699277</v>
      </c>
      <c r="AI10" s="464">
        <v>36.936811202919763</v>
      </c>
      <c r="AJ10" s="464">
        <v>37.100010762911303</v>
      </c>
      <c r="AK10" s="464">
        <v>37.317811926357422</v>
      </c>
      <c r="AL10" s="50">
        <v>37.592782308191197</v>
      </c>
      <c r="AM10" s="50">
        <v>37.901699341336212</v>
      </c>
      <c r="AN10" s="50">
        <v>38.206545658468507</v>
      </c>
      <c r="AO10" s="50">
        <v>38.456307299644173</v>
      </c>
      <c r="AP10" s="50">
        <v>38.795394748082465</v>
      </c>
      <c r="AQ10" s="50">
        <v>39.128975420618687</v>
      </c>
      <c r="AR10" s="50">
        <v>39.428793648478695</v>
      </c>
      <c r="AS10" s="50">
        <v>39.67786670770915</v>
      </c>
      <c r="AT10" s="50">
        <v>39.962283005289848</v>
      </c>
      <c r="AU10" s="50">
        <v>40.195773060371877</v>
      </c>
      <c r="AV10" s="731">
        <v>0</v>
      </c>
    </row>
    <row r="11" spans="1:48">
      <c r="B11" s="396"/>
      <c r="C11" s="396"/>
      <c r="D11" s="396"/>
      <c r="E11" s="396"/>
      <c r="F11" s="396"/>
      <c r="G11" s="396"/>
      <c r="H11" s="396"/>
      <c r="I11" s="396"/>
      <c r="J11" s="396"/>
      <c r="K11" s="397"/>
      <c r="L11" s="396"/>
      <c r="M11" s="733"/>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K11" s="396"/>
      <c r="AL11" s="722"/>
      <c r="AM11" s="722"/>
      <c r="AN11" s="722"/>
      <c r="AO11" s="722"/>
      <c r="AP11" s="722"/>
      <c r="AQ11" s="722"/>
      <c r="AR11" s="722"/>
      <c r="AS11" s="722"/>
      <c r="AT11" s="722"/>
      <c r="AU11" s="722"/>
      <c r="AV11" s="731"/>
    </row>
    <row r="12" spans="1:48">
      <c r="A12" s="57" t="s">
        <v>79</v>
      </c>
      <c r="B12" s="397"/>
      <c r="C12" s="396"/>
      <c r="D12" s="396"/>
      <c r="E12" s="396"/>
      <c r="F12" s="396"/>
      <c r="G12" s="396"/>
      <c r="H12" s="396"/>
      <c r="I12" s="396"/>
      <c r="J12" s="396"/>
      <c r="K12" s="397"/>
      <c r="L12" s="396"/>
      <c r="M12" s="733"/>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K12" s="396"/>
      <c r="AL12" s="722"/>
      <c r="AM12" s="722"/>
      <c r="AN12" s="722"/>
      <c r="AO12" s="722"/>
      <c r="AP12" s="722"/>
      <c r="AQ12" s="722"/>
      <c r="AR12" s="722"/>
      <c r="AS12" s="722"/>
      <c r="AT12" s="722"/>
      <c r="AU12" s="722"/>
      <c r="AV12" s="731"/>
    </row>
    <row r="13" spans="1:48">
      <c r="A13" s="57" t="s">
        <v>24</v>
      </c>
      <c r="B13" s="332">
        <v>22.273055432643208</v>
      </c>
      <c r="C13" s="332">
        <v>27.821644812554112</v>
      </c>
      <c r="D13" s="332">
        <v>27.880069095901991</v>
      </c>
      <c r="E13" s="332">
        <v>31.033551188957645</v>
      </c>
      <c r="F13" s="332">
        <v>23.517310056456335</v>
      </c>
      <c r="G13" s="332">
        <v>26.521402959300005</v>
      </c>
      <c r="H13" s="332">
        <v>23.188544743200001</v>
      </c>
      <c r="I13" s="332">
        <v>22.487587600000001</v>
      </c>
      <c r="J13" s="332">
        <v>21.482303600000002</v>
      </c>
      <c r="K13" s="469">
        <v>21.674036000000001</v>
      </c>
      <c r="L13" s="464">
        <v>16.138397000000001</v>
      </c>
      <c r="M13" s="603">
        <v>15.897491</v>
      </c>
      <c r="N13" s="464">
        <v>16.561796000000001</v>
      </c>
      <c r="O13" s="464">
        <v>15.730867</v>
      </c>
      <c r="P13" s="464">
        <v>15.873435000000001</v>
      </c>
      <c r="Q13" s="464">
        <v>16.638746000000001</v>
      </c>
      <c r="R13" s="464">
        <v>16.92399</v>
      </c>
      <c r="S13" s="464">
        <v>17.182444</v>
      </c>
      <c r="T13" s="464">
        <v>17.390711</v>
      </c>
      <c r="U13" s="464">
        <v>19.297087000000001</v>
      </c>
      <c r="V13" s="464">
        <v>19.355951000000001</v>
      </c>
      <c r="W13" s="464">
        <v>19.408010000000001</v>
      </c>
      <c r="X13" s="464">
        <v>19.445191999999999</v>
      </c>
      <c r="Y13" s="464">
        <v>19.524135999999999</v>
      </c>
      <c r="Z13" s="464">
        <v>19.989287999999998</v>
      </c>
      <c r="AA13" s="464">
        <v>20.075593999999999</v>
      </c>
      <c r="AB13" s="464">
        <v>20.251328999999998</v>
      </c>
      <c r="AC13" s="464">
        <v>20.480599999999999</v>
      </c>
      <c r="AD13" s="464">
        <v>20.683347999999999</v>
      </c>
      <c r="AE13" s="464">
        <v>20.839226</v>
      </c>
      <c r="AF13" s="464">
        <v>21.034998000000002</v>
      </c>
      <c r="AG13" s="464">
        <v>21.241484</v>
      </c>
      <c r="AH13" s="464">
        <v>21.324856</v>
      </c>
      <c r="AI13" s="464">
        <v>21.631920000000001</v>
      </c>
      <c r="AJ13" s="464">
        <v>21.763601000000001</v>
      </c>
      <c r="AK13" s="464">
        <v>21.869049</v>
      </c>
      <c r="AL13" s="50">
        <v>22.028728000000001</v>
      </c>
      <c r="AM13" s="50">
        <v>22.155965999999999</v>
      </c>
      <c r="AN13" s="50">
        <v>22.321383999999998</v>
      </c>
      <c r="AO13" s="50">
        <v>22.445360000000001</v>
      </c>
      <c r="AP13" s="50">
        <v>22.625240000000002</v>
      </c>
      <c r="AQ13" s="50">
        <v>22.741420999999999</v>
      </c>
      <c r="AR13" s="50">
        <v>22.885086000000001</v>
      </c>
      <c r="AS13" s="50">
        <v>23.074902999999999</v>
      </c>
      <c r="AT13" s="50">
        <v>23.250548999999999</v>
      </c>
      <c r="AU13" s="50">
        <v>23.363596000000001</v>
      </c>
      <c r="AV13" s="731">
        <v>0.01</v>
      </c>
    </row>
    <row r="14" spans="1:48">
      <c r="A14" s="57" t="s">
        <v>25</v>
      </c>
      <c r="B14" s="332">
        <v>18.336578255962607</v>
      </c>
      <c r="C14" s="332">
        <v>19.362665933700775</v>
      </c>
      <c r="D14" s="332">
        <v>21.16174832675086</v>
      </c>
      <c r="E14" s="332">
        <v>25.764433837219542</v>
      </c>
      <c r="F14" s="332">
        <v>18.926205218183977</v>
      </c>
      <c r="G14" s="332">
        <v>23.231780717700001</v>
      </c>
      <c r="H14" s="332">
        <v>28.271112897599998</v>
      </c>
      <c r="I14" s="332">
        <v>28.130513399999998</v>
      </c>
      <c r="J14" s="332">
        <v>28.057681600000002</v>
      </c>
      <c r="K14" s="469">
        <v>27.081340999999998</v>
      </c>
      <c r="L14" s="464">
        <v>17.792418000000001</v>
      </c>
      <c r="M14" s="603">
        <v>14.611165</v>
      </c>
      <c r="N14" s="464">
        <v>16.979787999999999</v>
      </c>
      <c r="O14" s="464">
        <v>17.628277000000001</v>
      </c>
      <c r="P14" s="464">
        <v>18.087745999999999</v>
      </c>
      <c r="Q14" s="464">
        <v>20.904444000000002</v>
      </c>
      <c r="R14" s="464">
        <v>22.153625000000002</v>
      </c>
      <c r="S14" s="464">
        <v>22.563534000000001</v>
      </c>
      <c r="T14" s="464">
        <v>22.911200999999998</v>
      </c>
      <c r="U14" s="464">
        <v>25.242380000000001</v>
      </c>
      <c r="V14" s="464">
        <v>25.483877</v>
      </c>
      <c r="W14" s="464">
        <v>25.64274</v>
      </c>
      <c r="X14" s="464">
        <v>25.913544000000002</v>
      </c>
      <c r="Y14" s="464">
        <v>26.212502000000001</v>
      </c>
      <c r="Z14" s="464">
        <v>26.816410000000001</v>
      </c>
      <c r="AA14" s="464">
        <v>27.033548</v>
      </c>
      <c r="AB14" s="464">
        <v>27.388763000000001</v>
      </c>
      <c r="AC14" s="464">
        <v>27.553370000000001</v>
      </c>
      <c r="AD14" s="464">
        <v>27.830589</v>
      </c>
      <c r="AE14" s="464">
        <v>28.116720000000001</v>
      </c>
      <c r="AF14" s="464">
        <v>28.259401</v>
      </c>
      <c r="AG14" s="464">
        <v>28.380011</v>
      </c>
      <c r="AH14" s="464">
        <v>28.861477000000001</v>
      </c>
      <c r="AI14" s="464">
        <v>28.991952999999999</v>
      </c>
      <c r="AJ14" s="464">
        <v>29.191348999999999</v>
      </c>
      <c r="AK14" s="464">
        <v>29.375630999999998</v>
      </c>
      <c r="AL14" s="50">
        <v>29.577249999999999</v>
      </c>
      <c r="AM14" s="50">
        <v>29.611678999999999</v>
      </c>
      <c r="AN14" s="50">
        <v>29.649654000000002</v>
      </c>
      <c r="AO14" s="50">
        <v>29.687351</v>
      </c>
      <c r="AP14" s="50">
        <v>29.778860000000002</v>
      </c>
      <c r="AQ14" s="50">
        <v>29.717001</v>
      </c>
      <c r="AR14" s="50">
        <v>29.801971000000002</v>
      </c>
      <c r="AS14" s="50">
        <v>29.912635999999999</v>
      </c>
      <c r="AT14" s="50">
        <v>29.802059</v>
      </c>
      <c r="AU14" s="50">
        <v>29.889379999999999</v>
      </c>
      <c r="AV14" s="731">
        <v>1.7000000000000001E-2</v>
      </c>
    </row>
    <row r="15" spans="1:48">
      <c r="A15" s="57" t="s">
        <v>45</v>
      </c>
      <c r="B15" s="332">
        <v>12.921112351189148</v>
      </c>
      <c r="C15" s="332">
        <v>6.0615216361345912</v>
      </c>
      <c r="D15" s="332">
        <v>5.8083483068085409</v>
      </c>
      <c r="E15" s="332">
        <v>10.712581042967264</v>
      </c>
      <c r="F15" s="332">
        <v>6.4120503501815724</v>
      </c>
      <c r="G15" s="332">
        <v>12.935456585700001</v>
      </c>
      <c r="H15" s="332">
        <v>21.757031170800001</v>
      </c>
      <c r="I15" s="332">
        <v>17.627347200000003</v>
      </c>
      <c r="J15" s="332">
        <v>17.024176799999999</v>
      </c>
      <c r="K15" s="469">
        <v>12.55123</v>
      </c>
      <c r="L15" s="464">
        <v>10.757339999999999</v>
      </c>
      <c r="M15" s="603">
        <v>7.8119240000000003</v>
      </c>
      <c r="N15" s="464">
        <v>10.441119</v>
      </c>
      <c r="O15" s="464">
        <v>10.327628000000001</v>
      </c>
      <c r="P15" s="464">
        <v>10.267853000000001</v>
      </c>
      <c r="Q15" s="464">
        <v>12.259173000000001</v>
      </c>
      <c r="R15" s="464">
        <v>12.630362999999999</v>
      </c>
      <c r="S15" s="464">
        <v>12.317698</v>
      </c>
      <c r="T15" s="464">
        <v>11.884785000000001</v>
      </c>
      <c r="U15" s="464">
        <v>11.968275</v>
      </c>
      <c r="V15" s="464">
        <v>11.983991</v>
      </c>
      <c r="W15" s="464">
        <v>12.214967</v>
      </c>
      <c r="X15" s="464">
        <v>12.421203999999999</v>
      </c>
      <c r="Y15" s="464">
        <v>12.579959000000001</v>
      </c>
      <c r="Z15" s="464">
        <v>12.880599999999999</v>
      </c>
      <c r="AA15" s="464">
        <v>13.062250000000001</v>
      </c>
      <c r="AB15" s="464">
        <v>13.338372</v>
      </c>
      <c r="AC15" s="464">
        <v>13.477693</v>
      </c>
      <c r="AD15" s="464">
        <v>13.677117000000001</v>
      </c>
      <c r="AE15" s="464">
        <v>13.845609</v>
      </c>
      <c r="AF15" s="464">
        <v>14.040692999999999</v>
      </c>
      <c r="AG15" s="464">
        <v>14.108172</v>
      </c>
      <c r="AH15" s="464">
        <v>14.482070999999999</v>
      </c>
      <c r="AI15" s="464">
        <v>14.621357</v>
      </c>
      <c r="AJ15" s="464">
        <v>14.809163</v>
      </c>
      <c r="AK15" s="464">
        <v>14.967705</v>
      </c>
      <c r="AL15" s="50">
        <v>15.127478</v>
      </c>
      <c r="AM15" s="50">
        <v>15.213148</v>
      </c>
      <c r="AN15" s="50">
        <v>15.273789000000001</v>
      </c>
      <c r="AO15" s="50">
        <v>15.273797999999999</v>
      </c>
      <c r="AP15" s="50">
        <v>15.313145</v>
      </c>
      <c r="AQ15" s="50">
        <v>15.200561</v>
      </c>
      <c r="AR15" s="50">
        <v>15.240836</v>
      </c>
      <c r="AS15" s="50">
        <v>15.406266</v>
      </c>
      <c r="AT15" s="50">
        <v>15.412610000000001</v>
      </c>
      <c r="AU15" s="50">
        <v>15.614077</v>
      </c>
      <c r="AV15" s="731">
        <v>1.2E-2</v>
      </c>
    </row>
    <row r="16" spans="1:48">
      <c r="A16" s="57" t="s">
        <v>26</v>
      </c>
      <c r="B16" s="332">
        <v>12.4588911739857</v>
      </c>
      <c r="C16" s="332">
        <v>12.138027530451193</v>
      </c>
      <c r="D16" s="332">
        <v>12.253838968934737</v>
      </c>
      <c r="E16" s="332">
        <v>13.109720213375745</v>
      </c>
      <c r="F16" s="332">
        <v>10.911478280941965</v>
      </c>
      <c r="G16" s="332">
        <v>9.4729120800000004</v>
      </c>
      <c r="H16" s="332">
        <v>9.3063090174000003</v>
      </c>
      <c r="I16" s="332">
        <v>8.0032916000000007</v>
      </c>
      <c r="J16" s="332">
        <v>8.1879356000000012</v>
      </c>
      <c r="K16" s="469">
        <v>9.0168049999999997</v>
      </c>
      <c r="L16" s="464">
        <v>8.688383</v>
      </c>
      <c r="M16" s="603">
        <v>9.047186</v>
      </c>
      <c r="N16" s="464">
        <v>9.0701850000000004</v>
      </c>
      <c r="O16" s="464">
        <v>8.6322949999999992</v>
      </c>
      <c r="P16" s="464">
        <v>8.9627320000000008</v>
      </c>
      <c r="Q16" s="464">
        <v>9.2672109999999996</v>
      </c>
      <c r="R16" s="464">
        <v>9.3659809999999997</v>
      </c>
      <c r="S16" s="464">
        <v>9.4557479999999998</v>
      </c>
      <c r="T16" s="464">
        <v>9.665775</v>
      </c>
      <c r="U16" s="464">
        <v>11.728985</v>
      </c>
      <c r="V16" s="464">
        <v>11.873932</v>
      </c>
      <c r="W16" s="464">
        <v>11.914144</v>
      </c>
      <c r="X16" s="464">
        <v>11.972922000000001</v>
      </c>
      <c r="Y16" s="464">
        <v>11.977556999999999</v>
      </c>
      <c r="Z16" s="464">
        <v>12.3345</v>
      </c>
      <c r="AA16" s="464">
        <v>12.326641</v>
      </c>
      <c r="AB16" s="464">
        <v>12.338607</v>
      </c>
      <c r="AC16" s="464">
        <v>12.36623</v>
      </c>
      <c r="AD16" s="464">
        <v>12.388722</v>
      </c>
      <c r="AE16" s="464">
        <v>12.42376</v>
      </c>
      <c r="AF16" s="464">
        <v>12.444418000000001</v>
      </c>
      <c r="AG16" s="464">
        <v>12.538086</v>
      </c>
      <c r="AH16" s="464">
        <v>12.581108</v>
      </c>
      <c r="AI16" s="464">
        <v>12.632256999999999</v>
      </c>
      <c r="AJ16" s="464">
        <v>12.679245999999999</v>
      </c>
      <c r="AK16" s="464">
        <v>12.717772</v>
      </c>
      <c r="AL16" s="50">
        <v>12.782633000000001</v>
      </c>
      <c r="AM16" s="50">
        <v>12.866121</v>
      </c>
      <c r="AN16" s="50">
        <v>12.905360999999999</v>
      </c>
      <c r="AO16" s="50">
        <v>12.958372000000001</v>
      </c>
      <c r="AP16" s="50">
        <v>13.036595</v>
      </c>
      <c r="AQ16" s="50">
        <v>13.106780000000001</v>
      </c>
      <c r="AR16" s="50">
        <v>13.167773</v>
      </c>
      <c r="AS16" s="50">
        <v>13.250036</v>
      </c>
      <c r="AT16" s="50">
        <v>13.335252000000001</v>
      </c>
      <c r="AU16" s="50">
        <v>13.426883999999999</v>
      </c>
      <c r="AV16" s="731">
        <v>1.2E-2</v>
      </c>
    </row>
    <row r="17" spans="1:48">
      <c r="A17" s="77" t="s">
        <v>8</v>
      </c>
      <c r="B17" s="332">
        <v>23.1460737255574</v>
      </c>
      <c r="C17" s="332">
        <v>24.624666882854779</v>
      </c>
      <c r="D17" s="332">
        <v>24.228302186069008</v>
      </c>
      <c r="E17" s="332">
        <v>23.393087422468135</v>
      </c>
      <c r="F17" s="332">
        <v>22.521179950466806</v>
      </c>
      <c r="G17" s="332">
        <v>23.088380996261964</v>
      </c>
      <c r="H17" s="332">
        <v>21.771570740789318</v>
      </c>
      <c r="I17" s="332">
        <v>22.849315103117643</v>
      </c>
      <c r="J17" s="332">
        <v>23.973965877348391</v>
      </c>
      <c r="K17" s="469">
        <v>25.288633935720732</v>
      </c>
      <c r="L17" s="464">
        <v>25.573413851467585</v>
      </c>
      <c r="M17" s="603">
        <v>23.743157333116049</v>
      </c>
      <c r="N17" s="464">
        <v>24.625329298367848</v>
      </c>
      <c r="O17" s="464">
        <v>24.706474214551257</v>
      </c>
      <c r="P17" s="464">
        <v>24.015484730118768</v>
      </c>
      <c r="Q17" s="464">
        <v>23.72697737823384</v>
      </c>
      <c r="R17" s="464">
        <v>23.758856570961736</v>
      </c>
      <c r="S17" s="464">
        <v>24.77900449011004</v>
      </c>
      <c r="T17" s="464">
        <v>25.489474972656868</v>
      </c>
      <c r="U17" s="464">
        <v>25.732238271913541</v>
      </c>
      <c r="V17" s="464">
        <v>26.745391279855056</v>
      </c>
      <c r="W17" s="464">
        <v>27.292159076356835</v>
      </c>
      <c r="X17" s="464">
        <v>27.388731780716057</v>
      </c>
      <c r="Y17" s="464">
        <v>27.450444727139597</v>
      </c>
      <c r="Z17" s="464">
        <v>27.51322912248035</v>
      </c>
      <c r="AA17" s="464">
        <v>27.769667745193878</v>
      </c>
      <c r="AB17" s="464">
        <v>27.988654684159133</v>
      </c>
      <c r="AC17" s="464">
        <v>28.04293624743973</v>
      </c>
      <c r="AD17" s="464">
        <v>28.053375699501494</v>
      </c>
      <c r="AE17" s="464">
        <v>28.059990342007755</v>
      </c>
      <c r="AF17" s="464">
        <v>28.013107874904954</v>
      </c>
      <c r="AG17" s="464">
        <v>27.93707864897587</v>
      </c>
      <c r="AH17" s="464">
        <v>27.847891288938925</v>
      </c>
      <c r="AI17" s="464">
        <v>27.74230454223817</v>
      </c>
      <c r="AJ17" s="464">
        <v>27.594944441714556</v>
      </c>
      <c r="AK17" s="464">
        <v>27.448104520073745</v>
      </c>
      <c r="AL17" s="50">
        <v>27.359172466224106</v>
      </c>
      <c r="AM17" s="50">
        <v>27.272019184990949</v>
      </c>
      <c r="AN17" s="50">
        <v>27.175930187202056</v>
      </c>
      <c r="AO17" s="50">
        <v>27.008735725667854</v>
      </c>
      <c r="AP17" s="50">
        <v>26.87803031799535</v>
      </c>
      <c r="AQ17" s="50">
        <v>26.749496507681862</v>
      </c>
      <c r="AR17" s="50">
        <v>26.578826414141066</v>
      </c>
      <c r="AS17" s="50">
        <v>26.383724056591124</v>
      </c>
      <c r="AT17" s="50">
        <v>26.233360072496009</v>
      </c>
      <c r="AU17" s="50">
        <v>26.04926039517748</v>
      </c>
      <c r="AV17" s="731">
        <v>0</v>
      </c>
    </row>
    <row r="18" spans="1:48">
      <c r="B18" s="396"/>
      <c r="C18" s="396"/>
      <c r="D18" s="396"/>
      <c r="E18" s="396"/>
      <c r="F18" s="396"/>
      <c r="G18" s="396"/>
      <c r="H18" s="396"/>
      <c r="I18" s="396"/>
      <c r="J18" s="396"/>
      <c r="K18" s="397"/>
      <c r="L18" s="396"/>
      <c r="M18" s="733"/>
      <c r="N18" s="396"/>
      <c r="O18" s="396"/>
      <c r="P18" s="396"/>
      <c r="Q18" s="396"/>
      <c r="R18" s="396"/>
      <c r="S18" s="396"/>
      <c r="T18" s="396"/>
      <c r="U18" s="396"/>
      <c r="V18" s="396"/>
      <c r="W18" s="396"/>
      <c r="X18" s="396"/>
      <c r="Y18" s="396"/>
      <c r="Z18" s="396"/>
      <c r="AA18" s="396"/>
      <c r="AB18" s="396"/>
      <c r="AC18" s="396"/>
      <c r="AD18" s="396"/>
      <c r="AE18" s="396"/>
      <c r="AF18" s="396"/>
      <c r="AG18" s="396"/>
      <c r="AH18" s="396"/>
      <c r="AI18" s="396"/>
      <c r="AJ18" s="396"/>
      <c r="AK18" s="396"/>
      <c r="AL18" s="722"/>
      <c r="AM18" s="722"/>
      <c r="AN18" s="722"/>
      <c r="AO18" s="722"/>
      <c r="AP18" s="722"/>
      <c r="AQ18" s="722"/>
      <c r="AR18" s="722"/>
      <c r="AS18" s="722"/>
      <c r="AT18" s="722"/>
      <c r="AU18" s="722"/>
      <c r="AV18" s="731"/>
    </row>
    <row r="19" spans="1:48">
      <c r="A19" s="57" t="s">
        <v>80</v>
      </c>
      <c r="B19" s="397"/>
      <c r="C19" s="396"/>
      <c r="D19" s="396"/>
      <c r="E19" s="396"/>
      <c r="F19" s="396"/>
      <c r="G19" s="396"/>
      <c r="H19" s="396"/>
      <c r="I19" s="396"/>
      <c r="J19" s="396"/>
      <c r="K19" s="397"/>
      <c r="L19" s="396"/>
      <c r="M19" s="733"/>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K19" s="396"/>
      <c r="AL19" s="722"/>
      <c r="AM19" s="722"/>
      <c r="AN19" s="722"/>
      <c r="AO19" s="722"/>
      <c r="AP19" s="722"/>
      <c r="AQ19" s="722"/>
      <c r="AR19" s="722"/>
      <c r="AS19" s="722"/>
      <c r="AT19" s="722"/>
      <c r="AU19" s="722"/>
      <c r="AV19" s="731"/>
    </row>
    <row r="20" spans="1:48">
      <c r="A20" s="57" t="s">
        <v>24</v>
      </c>
      <c r="B20" s="332">
        <v>21.509851978559478</v>
      </c>
      <c r="C20" s="332">
        <v>26.868314656148534</v>
      </c>
      <c r="D20" s="332">
        <v>28.751324003003155</v>
      </c>
      <c r="E20" s="332">
        <v>26.965483053909633</v>
      </c>
      <c r="F20" s="332">
        <v>21.018354346330199</v>
      </c>
      <c r="G20" s="332">
        <v>29.179118348100001</v>
      </c>
      <c r="H20" s="332">
        <v>23.640283057799998</v>
      </c>
      <c r="I20" s="332">
        <v>21.868004400000004</v>
      </c>
      <c r="J20" s="332">
        <v>20.828869000000001</v>
      </c>
      <c r="K20" s="469">
        <v>18.848862</v>
      </c>
      <c r="L20" s="464">
        <v>12.432567000000001</v>
      </c>
      <c r="M20" s="603">
        <v>11.673771</v>
      </c>
      <c r="N20" s="464">
        <v>12.419772999999999</v>
      </c>
      <c r="O20" s="464">
        <v>11.471807</v>
      </c>
      <c r="P20" s="464">
        <v>11.594818</v>
      </c>
      <c r="Q20" s="464">
        <v>12.435618</v>
      </c>
      <c r="R20" s="464">
        <v>12.750907</v>
      </c>
      <c r="S20" s="464">
        <v>13.035876</v>
      </c>
      <c r="T20" s="464">
        <v>13.272091</v>
      </c>
      <c r="U20" s="464">
        <v>13.410634</v>
      </c>
      <c r="V20" s="464">
        <v>13.477384000000001</v>
      </c>
      <c r="W20" s="464">
        <v>13.536186000000001</v>
      </c>
      <c r="X20" s="464">
        <v>13.578403</v>
      </c>
      <c r="Y20" s="464">
        <v>13.668303999999999</v>
      </c>
      <c r="Z20" s="464">
        <v>13.910195</v>
      </c>
      <c r="AA20" s="464">
        <v>14.007917000000001</v>
      </c>
      <c r="AB20" s="464">
        <v>14.209625000000001</v>
      </c>
      <c r="AC20" s="464">
        <v>14.471892</v>
      </c>
      <c r="AD20" s="464">
        <v>14.704164</v>
      </c>
      <c r="AE20" s="464">
        <v>14.88274</v>
      </c>
      <c r="AF20" s="464">
        <v>15.107113</v>
      </c>
      <c r="AG20" s="464">
        <v>15.343349999999999</v>
      </c>
      <c r="AH20" s="464">
        <v>15.438871000000001</v>
      </c>
      <c r="AI20" s="464">
        <v>15.791161000000001</v>
      </c>
      <c r="AJ20" s="464">
        <v>15.941803999999999</v>
      </c>
      <c r="AK20" s="464">
        <v>16.062193000000001</v>
      </c>
      <c r="AL20" s="50">
        <v>16.245128999999999</v>
      </c>
      <c r="AM20" s="50">
        <v>16.390623000000001</v>
      </c>
      <c r="AN20" s="50">
        <v>16.580095</v>
      </c>
      <c r="AO20" s="50">
        <v>16.721972999999998</v>
      </c>
      <c r="AP20" s="50">
        <v>16.928087000000001</v>
      </c>
      <c r="AQ20" s="50">
        <v>17.060621000000001</v>
      </c>
      <c r="AR20" s="50">
        <v>17.225608999999999</v>
      </c>
      <c r="AS20" s="50">
        <v>17.442698</v>
      </c>
      <c r="AT20" s="50">
        <v>17.644456999999999</v>
      </c>
      <c r="AU20" s="50">
        <v>17.773993999999998</v>
      </c>
      <c r="AV20" s="731">
        <v>1.0999999999999999E-2</v>
      </c>
    </row>
    <row r="21" spans="1:48">
      <c r="A21" s="57" t="s">
        <v>25</v>
      </c>
      <c r="B21" s="332">
        <v>19.153648789949461</v>
      </c>
      <c r="C21" s="332">
        <v>20.236741970904106</v>
      </c>
      <c r="D21" s="332">
        <v>21.723221140235491</v>
      </c>
      <c r="E21" s="332">
        <v>25.880665116088384</v>
      </c>
      <c r="F21" s="332">
        <v>19.023063652554338</v>
      </c>
      <c r="G21" s="332">
        <v>23.027341889100001</v>
      </c>
      <c r="H21" s="332">
        <v>28.029164734799998</v>
      </c>
      <c r="I21" s="332">
        <v>27.893553600000001</v>
      </c>
      <c r="J21" s="332">
        <v>27.820721800000001</v>
      </c>
      <c r="K21" s="469">
        <v>26.843142</v>
      </c>
      <c r="L21" s="464">
        <v>17.866862999999999</v>
      </c>
      <c r="M21" s="603">
        <v>14.205218</v>
      </c>
      <c r="N21" s="464">
        <v>16.550685999999999</v>
      </c>
      <c r="O21" s="464">
        <v>17.174883000000001</v>
      </c>
      <c r="P21" s="464">
        <v>17.679608999999999</v>
      </c>
      <c r="Q21" s="464">
        <v>20.542677000000001</v>
      </c>
      <c r="R21" s="464">
        <v>21.896439000000001</v>
      </c>
      <c r="S21" s="464">
        <v>22.425398000000001</v>
      </c>
      <c r="T21" s="464">
        <v>22.907511</v>
      </c>
      <c r="U21" s="464">
        <v>23.250235</v>
      </c>
      <c r="V21" s="464">
        <v>23.512858999999999</v>
      </c>
      <c r="W21" s="464">
        <v>23.671866999999999</v>
      </c>
      <c r="X21" s="464">
        <v>23.951612000000001</v>
      </c>
      <c r="Y21" s="464">
        <v>24.254899999999999</v>
      </c>
      <c r="Z21" s="464">
        <v>24.579868000000001</v>
      </c>
      <c r="AA21" s="464">
        <v>24.801348000000001</v>
      </c>
      <c r="AB21" s="464">
        <v>25.151688</v>
      </c>
      <c r="AC21" s="464">
        <v>25.311364999999999</v>
      </c>
      <c r="AD21" s="464">
        <v>25.584105000000001</v>
      </c>
      <c r="AE21" s="464">
        <v>25.876052999999999</v>
      </c>
      <c r="AF21" s="464">
        <v>26.021736000000001</v>
      </c>
      <c r="AG21" s="464">
        <v>26.140388000000002</v>
      </c>
      <c r="AH21" s="464">
        <v>26.61758</v>
      </c>
      <c r="AI21" s="464">
        <v>26.744978</v>
      </c>
      <c r="AJ21" s="464">
        <v>26.939384</v>
      </c>
      <c r="AK21" s="464">
        <v>27.119140999999999</v>
      </c>
      <c r="AL21" s="50">
        <v>27.315360999999999</v>
      </c>
      <c r="AM21" s="50">
        <v>27.346329000000001</v>
      </c>
      <c r="AN21" s="50">
        <v>27.382332000000002</v>
      </c>
      <c r="AO21" s="50">
        <v>27.411318000000001</v>
      </c>
      <c r="AP21" s="50">
        <v>27.498156000000002</v>
      </c>
      <c r="AQ21" s="50">
        <v>27.437429000000002</v>
      </c>
      <c r="AR21" s="50">
        <v>27.517047999999999</v>
      </c>
      <c r="AS21" s="50">
        <v>27.607451999999999</v>
      </c>
      <c r="AT21" s="50">
        <v>27.480502999999999</v>
      </c>
      <c r="AU21" s="50">
        <v>27.564547999999998</v>
      </c>
      <c r="AV21" s="731">
        <v>1.6E-2</v>
      </c>
    </row>
    <row r="22" spans="1:48">
      <c r="A22" s="57" t="s">
        <v>31</v>
      </c>
      <c r="B22" s="332">
        <v>12.712094069421742</v>
      </c>
      <c r="C22" s="332">
        <v>8.3987233696777679</v>
      </c>
      <c r="D22" s="332">
        <v>8.0348807831263542</v>
      </c>
      <c r="E22" s="332">
        <v>14.838764238637486</v>
      </c>
      <c r="F22" s="332">
        <v>8.8722638441839781</v>
      </c>
      <c r="G22" s="332">
        <v>12.8982843453</v>
      </c>
      <c r="H22" s="332">
        <v>21.682584618</v>
      </c>
      <c r="I22" s="332">
        <v>17.5545154</v>
      </c>
      <c r="J22" s="332">
        <v>16.969809399999999</v>
      </c>
      <c r="K22" s="469">
        <v>12.514585</v>
      </c>
      <c r="L22" s="464">
        <v>10.701506</v>
      </c>
      <c r="M22" s="603">
        <v>7.7740939999999998</v>
      </c>
      <c r="N22" s="464">
        <v>10.403288999999999</v>
      </c>
      <c r="O22" s="464">
        <v>10.270883</v>
      </c>
      <c r="P22" s="464">
        <v>10.222457</v>
      </c>
      <c r="Q22" s="464">
        <v>12.225125999999999</v>
      </c>
      <c r="R22" s="464">
        <v>12.607664</v>
      </c>
      <c r="S22" s="464">
        <v>12.306349000000001</v>
      </c>
      <c r="T22" s="464">
        <v>11.884785000000001</v>
      </c>
      <c r="U22" s="464">
        <v>11.968275</v>
      </c>
      <c r="V22" s="464">
        <v>11.983991</v>
      </c>
      <c r="W22" s="464">
        <v>12.214967</v>
      </c>
      <c r="X22" s="464">
        <v>12.421203999999999</v>
      </c>
      <c r="Y22" s="464">
        <v>12.579959000000001</v>
      </c>
      <c r="Z22" s="464">
        <v>12.880599999999999</v>
      </c>
      <c r="AA22" s="464">
        <v>13.062250000000001</v>
      </c>
      <c r="AB22" s="464">
        <v>13.338372</v>
      </c>
      <c r="AC22" s="464">
        <v>13.477693</v>
      </c>
      <c r="AD22" s="464">
        <v>13.677117000000001</v>
      </c>
      <c r="AE22" s="464">
        <v>13.845609</v>
      </c>
      <c r="AF22" s="464">
        <v>14.040692999999999</v>
      </c>
      <c r="AG22" s="464">
        <v>14.108172</v>
      </c>
      <c r="AH22" s="464">
        <v>14.482070999999999</v>
      </c>
      <c r="AI22" s="464">
        <v>14.621357</v>
      </c>
      <c r="AJ22" s="464">
        <v>14.809163</v>
      </c>
      <c r="AK22" s="464">
        <v>14.967705</v>
      </c>
      <c r="AL22" s="50">
        <v>15.127478</v>
      </c>
      <c r="AM22" s="50">
        <v>15.213148</v>
      </c>
      <c r="AN22" s="50">
        <v>15.273789000000001</v>
      </c>
      <c r="AO22" s="50">
        <v>15.273797999999999</v>
      </c>
      <c r="AP22" s="50">
        <v>15.313145</v>
      </c>
      <c r="AQ22" s="50">
        <v>15.200561</v>
      </c>
      <c r="AR22" s="50">
        <v>15.240836</v>
      </c>
      <c r="AS22" s="50">
        <v>15.406266</v>
      </c>
      <c r="AT22" s="50">
        <v>15.412610000000001</v>
      </c>
      <c r="AU22" s="50">
        <v>15.614077</v>
      </c>
      <c r="AV22" s="731">
        <v>1.2E-2</v>
      </c>
    </row>
    <row r="23" spans="1:48">
      <c r="A23" s="57" t="s">
        <v>47</v>
      </c>
      <c r="B23" s="332">
        <v>9.6803827233946027</v>
      </c>
      <c r="C23" s="332">
        <v>8.7916513146663533</v>
      </c>
      <c r="D23" s="332">
        <v>9.4360966899852876</v>
      </c>
      <c r="E23" s="332">
        <v>10.9743303406492</v>
      </c>
      <c r="F23" s="332">
        <v>6.1526683944177361</v>
      </c>
      <c r="G23" s="332">
        <v>6.8424346047000011</v>
      </c>
      <c r="H23" s="332">
        <v>6.6316744380000001</v>
      </c>
      <c r="I23" s="332">
        <v>5.144387</v>
      </c>
      <c r="J23" s="332">
        <v>5.9116854000000005</v>
      </c>
      <c r="K23" s="469">
        <v>6.6199209999999997</v>
      </c>
      <c r="L23" s="464">
        <v>5.2504679999999997</v>
      </c>
      <c r="M23" s="603">
        <v>4.0961410000000003</v>
      </c>
      <c r="N23" s="464">
        <v>4.6249969999999996</v>
      </c>
      <c r="O23" s="464">
        <v>4.7118919999999997</v>
      </c>
      <c r="P23" s="464">
        <v>5.0582580000000004</v>
      </c>
      <c r="Q23" s="464">
        <v>5.2893610000000004</v>
      </c>
      <c r="R23" s="464">
        <v>5.283067</v>
      </c>
      <c r="S23" s="464">
        <v>5.3194410000000003</v>
      </c>
      <c r="T23" s="464">
        <v>5.447254</v>
      </c>
      <c r="U23" s="464">
        <v>5.5407700000000002</v>
      </c>
      <c r="V23" s="464">
        <v>5.6902540000000004</v>
      </c>
      <c r="W23" s="464">
        <v>5.748208</v>
      </c>
      <c r="X23" s="464">
        <v>5.8018980000000004</v>
      </c>
      <c r="Y23" s="464">
        <v>5.8151260000000002</v>
      </c>
      <c r="Z23" s="464">
        <v>5.8622899999999998</v>
      </c>
      <c r="AA23" s="464">
        <v>5.8628549999999997</v>
      </c>
      <c r="AB23" s="464">
        <v>5.8593140000000004</v>
      </c>
      <c r="AC23" s="464">
        <v>5.8792999999999997</v>
      </c>
      <c r="AD23" s="464">
        <v>5.8856679999999999</v>
      </c>
      <c r="AE23" s="464">
        <v>5.9143379999999999</v>
      </c>
      <c r="AF23" s="464">
        <v>5.9215280000000003</v>
      </c>
      <c r="AG23" s="464">
        <v>6.0244749999999998</v>
      </c>
      <c r="AH23" s="464">
        <v>6.0436740000000002</v>
      </c>
      <c r="AI23" s="464">
        <v>6.1028640000000003</v>
      </c>
      <c r="AJ23" s="464">
        <v>6.1604760000000001</v>
      </c>
      <c r="AK23" s="464">
        <v>6.1995610000000001</v>
      </c>
      <c r="AL23" s="50">
        <v>6.2572150000000004</v>
      </c>
      <c r="AM23" s="50">
        <v>6.3278379999999999</v>
      </c>
      <c r="AN23" s="50">
        <v>6.3803210000000004</v>
      </c>
      <c r="AO23" s="50">
        <v>6.4407589999999999</v>
      </c>
      <c r="AP23" s="50">
        <v>6.4963220000000002</v>
      </c>
      <c r="AQ23" s="50">
        <v>6.5571409999999997</v>
      </c>
      <c r="AR23" s="50">
        <v>6.6131929999999999</v>
      </c>
      <c r="AS23" s="50">
        <v>6.7129839999999996</v>
      </c>
      <c r="AT23" s="50">
        <v>6.786321</v>
      </c>
      <c r="AU23" s="50">
        <v>6.8848060000000002</v>
      </c>
      <c r="AV23" s="731">
        <v>1.2E-2</v>
      </c>
    </row>
    <row r="24" spans="1:48">
      <c r="A24" s="57" t="s">
        <v>36</v>
      </c>
      <c r="B24" s="173" t="s">
        <v>34</v>
      </c>
      <c r="C24" s="173" t="s">
        <v>34</v>
      </c>
      <c r="D24" s="173" t="s">
        <v>34</v>
      </c>
      <c r="E24" s="173" t="s">
        <v>34</v>
      </c>
      <c r="F24" s="173" t="s">
        <v>34</v>
      </c>
      <c r="G24" s="173" t="s">
        <v>34</v>
      </c>
      <c r="H24" s="173" t="s">
        <v>34</v>
      </c>
      <c r="I24" s="332">
        <v>0</v>
      </c>
      <c r="J24" s="332">
        <v>0</v>
      </c>
      <c r="K24" s="469">
        <v>0</v>
      </c>
      <c r="L24" s="464">
        <v>0</v>
      </c>
      <c r="M24" s="603">
        <v>0</v>
      </c>
      <c r="N24" s="464">
        <v>0</v>
      </c>
      <c r="O24" s="464">
        <v>0</v>
      </c>
      <c r="P24" s="464">
        <v>0</v>
      </c>
      <c r="Q24" s="464">
        <v>0</v>
      </c>
      <c r="R24" s="464">
        <v>0</v>
      </c>
      <c r="S24" s="464">
        <v>0</v>
      </c>
      <c r="T24" s="464">
        <v>0</v>
      </c>
      <c r="U24" s="464">
        <v>0</v>
      </c>
      <c r="V24" s="464">
        <v>0</v>
      </c>
      <c r="W24" s="464">
        <v>0</v>
      </c>
      <c r="X24" s="464">
        <v>0</v>
      </c>
      <c r="Y24" s="464">
        <v>0</v>
      </c>
      <c r="Z24" s="464">
        <v>0</v>
      </c>
      <c r="AA24" s="464">
        <v>0</v>
      </c>
      <c r="AB24" s="464">
        <v>0</v>
      </c>
      <c r="AC24" s="464">
        <v>0</v>
      </c>
      <c r="AD24" s="464">
        <v>0</v>
      </c>
      <c r="AE24" s="464">
        <v>0</v>
      </c>
      <c r="AF24" s="464">
        <v>0</v>
      </c>
      <c r="AG24" s="464">
        <v>0</v>
      </c>
      <c r="AH24" s="464">
        <v>0</v>
      </c>
      <c r="AI24" s="464">
        <v>0</v>
      </c>
      <c r="AJ24" s="464">
        <v>0</v>
      </c>
      <c r="AK24" s="464">
        <v>0</v>
      </c>
      <c r="AL24" s="50">
        <v>0</v>
      </c>
      <c r="AM24" s="50">
        <v>0</v>
      </c>
      <c r="AN24" s="50">
        <v>0</v>
      </c>
      <c r="AO24" s="50">
        <v>0</v>
      </c>
      <c r="AP24" s="50">
        <v>0</v>
      </c>
      <c r="AQ24" s="50">
        <v>0</v>
      </c>
      <c r="AR24" s="50">
        <v>0</v>
      </c>
      <c r="AS24" s="50">
        <v>0</v>
      </c>
      <c r="AT24" s="50">
        <v>0</v>
      </c>
      <c r="AU24" s="50">
        <v>0</v>
      </c>
      <c r="AV24" s="731" t="s">
        <v>34</v>
      </c>
    </row>
    <row r="25" spans="1:48">
      <c r="A25" s="57" t="s">
        <v>37</v>
      </c>
      <c r="B25" s="173">
        <v>2.6853029392704197</v>
      </c>
      <c r="C25" s="173">
        <v>3.0562250666494064</v>
      </c>
      <c r="D25" s="173">
        <v>2.9300224949548581</v>
      </c>
      <c r="E25" s="173">
        <v>3.7140272312924871</v>
      </c>
      <c r="F25" s="173">
        <v>3.6157993272453006</v>
      </c>
      <c r="G25" s="173">
        <v>3.4432300593000003</v>
      </c>
      <c r="H25" s="332">
        <v>3.5423075435999998</v>
      </c>
      <c r="I25" s="332">
        <v>3.857008</v>
      </c>
      <c r="J25" s="332">
        <v>3.7451957999999999</v>
      </c>
      <c r="K25" s="469">
        <v>3.6507230000000002</v>
      </c>
      <c r="L25" s="464">
        <v>3.8749349999999998</v>
      </c>
      <c r="M25" s="603">
        <v>4.0111290000000004</v>
      </c>
      <c r="N25" s="464">
        <v>3.967587</v>
      </c>
      <c r="O25" s="464">
        <v>4.0316559999999999</v>
      </c>
      <c r="P25" s="464">
        <v>4.0118239999999998</v>
      </c>
      <c r="Q25" s="464">
        <v>4.0233410000000003</v>
      </c>
      <c r="R25" s="464">
        <v>4.0327659999999996</v>
      </c>
      <c r="S25" s="464">
        <v>4.0023289999999996</v>
      </c>
      <c r="T25" s="464">
        <v>3.9900389999999999</v>
      </c>
      <c r="U25" s="464">
        <v>3.9999310000000001</v>
      </c>
      <c r="V25" s="464">
        <v>4.0094649999999996</v>
      </c>
      <c r="W25" s="464">
        <v>3.9966179999999998</v>
      </c>
      <c r="X25" s="464">
        <v>3.9861979999999999</v>
      </c>
      <c r="Y25" s="464">
        <v>3.9928330000000001</v>
      </c>
      <c r="Z25" s="464">
        <v>3.9775320000000001</v>
      </c>
      <c r="AA25" s="464">
        <v>4.0337019999999999</v>
      </c>
      <c r="AB25" s="464">
        <v>4.0278850000000004</v>
      </c>
      <c r="AC25" s="464">
        <v>4.006335</v>
      </c>
      <c r="AD25" s="464">
        <v>3.9977070000000001</v>
      </c>
      <c r="AE25" s="464">
        <v>3.9667859999999999</v>
      </c>
      <c r="AF25" s="464">
        <v>3.9582730000000002</v>
      </c>
      <c r="AG25" s="464">
        <v>3.9358499999999998</v>
      </c>
      <c r="AH25" s="464">
        <v>3.9384220000000001</v>
      </c>
      <c r="AI25" s="464">
        <v>3.9140579999999998</v>
      </c>
      <c r="AJ25" s="464">
        <v>3.891356</v>
      </c>
      <c r="AK25" s="464">
        <v>3.8906329999999998</v>
      </c>
      <c r="AL25" s="50">
        <v>3.90727</v>
      </c>
      <c r="AM25" s="50">
        <v>3.9274179999999999</v>
      </c>
      <c r="AN25" s="50">
        <v>3.9450460000000001</v>
      </c>
      <c r="AO25" s="50">
        <v>3.9353910000000001</v>
      </c>
      <c r="AP25" s="50">
        <v>3.9421520000000001</v>
      </c>
      <c r="AQ25" s="50">
        <v>3.9434960000000001</v>
      </c>
      <c r="AR25" s="50">
        <v>3.9473050000000001</v>
      </c>
      <c r="AS25" s="50">
        <v>3.952229</v>
      </c>
      <c r="AT25" s="50">
        <v>3.959616</v>
      </c>
      <c r="AU25" s="50">
        <v>3.9745279999999998</v>
      </c>
      <c r="AV25" s="731">
        <v>0</v>
      </c>
    </row>
    <row r="26" spans="1:48">
      <c r="A26" s="57" t="s">
        <v>48</v>
      </c>
      <c r="B26" s="173" t="s">
        <v>34</v>
      </c>
      <c r="C26" s="173" t="s">
        <v>34</v>
      </c>
      <c r="D26" s="173" t="s">
        <v>34</v>
      </c>
      <c r="E26" s="173" t="s">
        <v>34</v>
      </c>
      <c r="F26" s="173" t="s">
        <v>34</v>
      </c>
      <c r="G26" s="173" t="s">
        <v>34</v>
      </c>
      <c r="H26" s="173" t="s">
        <v>34</v>
      </c>
      <c r="I26" s="332">
        <v>0</v>
      </c>
      <c r="J26" s="332">
        <v>0</v>
      </c>
      <c r="K26" s="469">
        <v>0</v>
      </c>
      <c r="L26" s="464">
        <v>0</v>
      </c>
      <c r="M26" s="603">
        <v>0</v>
      </c>
      <c r="N26" s="464">
        <v>0</v>
      </c>
      <c r="O26" s="464">
        <v>0</v>
      </c>
      <c r="P26" s="464">
        <v>0</v>
      </c>
      <c r="Q26" s="464">
        <v>0</v>
      </c>
      <c r="R26" s="464">
        <v>0</v>
      </c>
      <c r="S26" s="464">
        <v>0</v>
      </c>
      <c r="T26" s="464">
        <v>0</v>
      </c>
      <c r="U26" s="464">
        <v>0</v>
      </c>
      <c r="V26" s="464">
        <v>0</v>
      </c>
      <c r="W26" s="464">
        <v>0</v>
      </c>
      <c r="X26" s="464">
        <v>0</v>
      </c>
      <c r="Y26" s="464">
        <v>0</v>
      </c>
      <c r="Z26" s="464">
        <v>0</v>
      </c>
      <c r="AA26" s="464">
        <v>0</v>
      </c>
      <c r="AB26" s="464">
        <v>0</v>
      </c>
      <c r="AC26" s="464">
        <v>0</v>
      </c>
      <c r="AD26" s="464">
        <v>0</v>
      </c>
      <c r="AE26" s="464">
        <v>0</v>
      </c>
      <c r="AF26" s="464">
        <v>0</v>
      </c>
      <c r="AG26" s="464">
        <v>0</v>
      </c>
      <c r="AH26" s="464">
        <v>0</v>
      </c>
      <c r="AI26" s="464">
        <v>0</v>
      </c>
      <c r="AJ26" s="464">
        <v>0</v>
      </c>
      <c r="AK26" s="464">
        <v>0</v>
      </c>
      <c r="AL26" s="50">
        <v>0</v>
      </c>
      <c r="AM26" s="50">
        <v>0</v>
      </c>
      <c r="AN26" s="50">
        <v>0</v>
      </c>
      <c r="AO26" s="50">
        <v>0</v>
      </c>
      <c r="AP26" s="50">
        <v>0</v>
      </c>
      <c r="AQ26" s="50">
        <v>0</v>
      </c>
      <c r="AR26" s="50">
        <v>0</v>
      </c>
      <c r="AS26" s="50">
        <v>0</v>
      </c>
      <c r="AT26" s="50">
        <v>0</v>
      </c>
      <c r="AU26" s="50">
        <v>0</v>
      </c>
      <c r="AV26" s="731" t="s">
        <v>34</v>
      </c>
    </row>
    <row r="27" spans="1:48">
      <c r="A27" s="77" t="s">
        <v>8</v>
      </c>
      <c r="B27" s="332">
        <v>14.501129517650607</v>
      </c>
      <c r="C27" s="332">
        <v>14.97593173500983</v>
      </c>
      <c r="D27" s="332">
        <v>14.85010796351723</v>
      </c>
      <c r="E27" s="332">
        <v>14.628858094573284</v>
      </c>
      <c r="F27" s="332">
        <v>13.785994920885091</v>
      </c>
      <c r="G27" s="332">
        <v>13.017621405478318</v>
      </c>
      <c r="H27" s="332">
        <v>12.499403010805048</v>
      </c>
      <c r="I27" s="332">
        <v>13.049445744021567</v>
      </c>
      <c r="J27" s="332">
        <v>13.632119706637743</v>
      </c>
      <c r="K27" s="469">
        <v>14.718766471786052</v>
      </c>
      <c r="L27" s="464">
        <v>14.723711930367225</v>
      </c>
      <c r="M27" s="603">
        <v>13.463710532269946</v>
      </c>
      <c r="N27" s="464">
        <v>14.320058280623735</v>
      </c>
      <c r="O27" s="464">
        <v>14.529007103162726</v>
      </c>
      <c r="P27" s="464">
        <v>13.356676709120922</v>
      </c>
      <c r="Q27" s="464">
        <v>13.284469025887041</v>
      </c>
      <c r="R27" s="464">
        <v>13.174010962177194</v>
      </c>
      <c r="S27" s="464">
        <v>14.053328780772398</v>
      </c>
      <c r="T27" s="464">
        <v>14.330072455608901</v>
      </c>
      <c r="U27" s="464">
        <v>14.45493096908727</v>
      </c>
      <c r="V27" s="464">
        <v>15.239895778129201</v>
      </c>
      <c r="W27" s="464">
        <v>15.429119892749346</v>
      </c>
      <c r="X27" s="464">
        <v>15.462270990786404</v>
      </c>
      <c r="Y27" s="464">
        <v>15.48272874874044</v>
      </c>
      <c r="Z27" s="464">
        <v>15.517635058174125</v>
      </c>
      <c r="AA27" s="464">
        <v>15.689837179769349</v>
      </c>
      <c r="AB27" s="464">
        <v>15.80160751828587</v>
      </c>
      <c r="AC27" s="464">
        <v>15.798223362484316</v>
      </c>
      <c r="AD27" s="464">
        <v>15.791701071091245</v>
      </c>
      <c r="AE27" s="464">
        <v>15.786211463308923</v>
      </c>
      <c r="AF27" s="464">
        <v>15.745543971848846</v>
      </c>
      <c r="AG27" s="464">
        <v>15.685781103190497</v>
      </c>
      <c r="AH27" s="464">
        <v>15.616777194341443</v>
      </c>
      <c r="AI27" s="464">
        <v>15.543431605003722</v>
      </c>
      <c r="AJ27" s="464">
        <v>15.44628218243172</v>
      </c>
      <c r="AK27" s="464">
        <v>15.348513450328966</v>
      </c>
      <c r="AL27" s="50">
        <v>15.27807099968153</v>
      </c>
      <c r="AM27" s="50">
        <v>15.226750482385388</v>
      </c>
      <c r="AN27" s="50">
        <v>15.150008210758843</v>
      </c>
      <c r="AO27" s="50">
        <v>15.075881469674806</v>
      </c>
      <c r="AP27" s="50">
        <v>14.994194241932549</v>
      </c>
      <c r="AQ27" s="50">
        <v>14.929443326042271</v>
      </c>
      <c r="AR27" s="50">
        <v>14.812289103296008</v>
      </c>
      <c r="AS27" s="50">
        <v>14.689486436908808</v>
      </c>
      <c r="AT27" s="50">
        <v>14.607102235414708</v>
      </c>
      <c r="AU27" s="50">
        <v>14.528578697298007</v>
      </c>
      <c r="AV27" s="731">
        <v>0</v>
      </c>
    </row>
    <row r="28" spans="1:48">
      <c r="B28" s="397"/>
      <c r="C28" s="397"/>
      <c r="D28" s="396"/>
      <c r="E28" s="396"/>
      <c r="F28" s="396"/>
      <c r="G28" s="396"/>
      <c r="H28" s="396"/>
      <c r="I28" s="396"/>
      <c r="J28" s="396"/>
      <c r="K28" s="397"/>
      <c r="L28" s="396"/>
      <c r="M28" s="733"/>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722"/>
      <c r="AM28" s="722"/>
      <c r="AN28" s="722"/>
      <c r="AO28" s="722"/>
      <c r="AP28" s="722"/>
      <c r="AQ28" s="722"/>
      <c r="AR28" s="722"/>
      <c r="AS28" s="722"/>
      <c r="AT28" s="722"/>
      <c r="AU28" s="722"/>
      <c r="AV28" s="731"/>
    </row>
    <row r="29" spans="1:48">
      <c r="A29" s="57" t="s">
        <v>81</v>
      </c>
      <c r="B29" s="397"/>
      <c r="C29" s="397"/>
      <c r="D29" s="396"/>
      <c r="E29" s="396"/>
      <c r="F29" s="396"/>
      <c r="G29" s="396"/>
      <c r="H29" s="396"/>
      <c r="I29" s="396"/>
      <c r="J29" s="396"/>
      <c r="K29" s="397"/>
      <c r="L29" s="396"/>
      <c r="M29" s="733"/>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722"/>
      <c r="AM29" s="722"/>
      <c r="AN29" s="722"/>
      <c r="AO29" s="722"/>
      <c r="AP29" s="722"/>
      <c r="AQ29" s="722"/>
      <c r="AR29" s="722"/>
      <c r="AS29" s="722"/>
      <c r="AT29" s="722"/>
      <c r="AU29" s="722"/>
      <c r="AV29" s="731"/>
    </row>
    <row r="30" spans="1:48">
      <c r="A30" s="57" t="s">
        <v>49</v>
      </c>
      <c r="B30" s="332">
        <v>23.581029927118582</v>
      </c>
      <c r="C30" s="332">
        <v>25.158165491875451</v>
      </c>
      <c r="D30" s="332">
        <v>26.679676788537343</v>
      </c>
      <c r="E30" s="332">
        <v>33.455022466836319</v>
      </c>
      <c r="F30" s="332">
        <v>28.166532270599728</v>
      </c>
      <c r="G30" s="332">
        <v>33.068190690999998</v>
      </c>
      <c r="H30" s="332">
        <v>27.4650159696</v>
      </c>
      <c r="I30" s="332">
        <v>25.942482000000002</v>
      </c>
      <c r="J30" s="332">
        <v>25.177235200000002</v>
      </c>
      <c r="K30" s="469">
        <v>24.355412999999999</v>
      </c>
      <c r="L30" s="464">
        <v>18.216522000000001</v>
      </c>
      <c r="M30" s="603">
        <v>18.082048</v>
      </c>
      <c r="N30" s="464">
        <v>18.830143</v>
      </c>
      <c r="O30" s="464">
        <v>17.934799000000002</v>
      </c>
      <c r="P30" s="464">
        <v>18.082011999999999</v>
      </c>
      <c r="Q30" s="464">
        <v>18.927889</v>
      </c>
      <c r="R30" s="464">
        <v>19.235287</v>
      </c>
      <c r="S30" s="464">
        <v>19.513083999999999</v>
      </c>
      <c r="T30" s="464">
        <v>19.743957999999999</v>
      </c>
      <c r="U30" s="464">
        <v>22.034893</v>
      </c>
      <c r="V30" s="464">
        <v>22.100491999999999</v>
      </c>
      <c r="W30" s="464">
        <v>22.158249000000001</v>
      </c>
      <c r="X30" s="464">
        <v>22.199839000000001</v>
      </c>
      <c r="Y30" s="464">
        <v>22.287490999999999</v>
      </c>
      <c r="Z30" s="464">
        <v>22.829509999999999</v>
      </c>
      <c r="AA30" s="464">
        <v>22.924804999999999</v>
      </c>
      <c r="AB30" s="464">
        <v>23.121113000000001</v>
      </c>
      <c r="AC30" s="464">
        <v>23.376373000000001</v>
      </c>
      <c r="AD30" s="464">
        <v>23.602467000000001</v>
      </c>
      <c r="AE30" s="464">
        <v>23.776357999999998</v>
      </c>
      <c r="AF30" s="464">
        <v>23.994793000000001</v>
      </c>
      <c r="AG30" s="464">
        <v>24.224799999999998</v>
      </c>
      <c r="AH30" s="464">
        <v>24.318083000000001</v>
      </c>
      <c r="AI30" s="464">
        <v>24.660979999999999</v>
      </c>
      <c r="AJ30" s="464">
        <v>24.807874999999999</v>
      </c>
      <c r="AK30" s="464">
        <v>24.925362</v>
      </c>
      <c r="AL30" s="50">
        <v>25.103838</v>
      </c>
      <c r="AM30" s="50">
        <v>25.245916000000001</v>
      </c>
      <c r="AN30" s="50">
        <v>25.430731000000002</v>
      </c>
      <c r="AO30" s="50">
        <v>25.569233000000001</v>
      </c>
      <c r="AP30" s="50">
        <v>25.770257999999998</v>
      </c>
      <c r="AQ30" s="50">
        <v>25.899692999999999</v>
      </c>
      <c r="AR30" s="50">
        <v>26.060797000000001</v>
      </c>
      <c r="AS30" s="50">
        <v>26.272596</v>
      </c>
      <c r="AT30" s="50">
        <v>26.469501000000001</v>
      </c>
      <c r="AU30" s="50">
        <v>26.596209000000002</v>
      </c>
      <c r="AV30" s="731">
        <v>1.0999999999999999E-2</v>
      </c>
    </row>
    <row r="31" spans="1:48">
      <c r="A31" s="57" t="s">
        <v>50</v>
      </c>
      <c r="B31" s="332">
        <v>28.50245344808981</v>
      </c>
      <c r="C31" s="332">
        <v>31.960750134705297</v>
      </c>
      <c r="D31" s="332">
        <v>33.572252010082465</v>
      </c>
      <c r="E31" s="332">
        <v>33.59062427495482</v>
      </c>
      <c r="F31" s="332">
        <v>30.529886172607366</v>
      </c>
      <c r="G31" s="332">
        <v>29.803621808999999</v>
      </c>
      <c r="H31" s="332">
        <v>48.911446820999998</v>
      </c>
      <c r="I31" s="332">
        <v>38.798833399999999</v>
      </c>
      <c r="J31" s="332">
        <v>36.077386000000004</v>
      </c>
      <c r="K31" s="469">
        <v>36.462696000000001</v>
      </c>
      <c r="L31" s="464">
        <v>30.690058000000001</v>
      </c>
      <c r="M31" s="603">
        <v>25.474024</v>
      </c>
      <c r="N31" s="464">
        <v>26.090434999999999</v>
      </c>
      <c r="O31" s="464">
        <v>31.700970000000002</v>
      </c>
      <c r="P31" s="464">
        <v>30.308520999999999</v>
      </c>
      <c r="Q31" s="464">
        <v>33.787208999999997</v>
      </c>
      <c r="R31" s="464">
        <v>34.646827999999999</v>
      </c>
      <c r="S31" s="464">
        <v>33.667324000000001</v>
      </c>
      <c r="T31" s="464">
        <v>31.306431</v>
      </c>
      <c r="U31" s="464">
        <v>31.102774</v>
      </c>
      <c r="V31" s="464">
        <v>28.936824999999999</v>
      </c>
      <c r="W31" s="464">
        <v>28.360486999999999</v>
      </c>
      <c r="X31" s="464">
        <v>27.540120999999999</v>
      </c>
      <c r="Y31" s="464">
        <v>27.319701999999999</v>
      </c>
      <c r="Z31" s="464">
        <v>27.492139999999999</v>
      </c>
      <c r="AA31" s="464">
        <v>27.265657000000001</v>
      </c>
      <c r="AB31" s="464">
        <v>28.028704000000001</v>
      </c>
      <c r="AC31" s="464">
        <v>28.132866</v>
      </c>
      <c r="AD31" s="464">
        <v>27.788345</v>
      </c>
      <c r="AE31" s="464">
        <v>27.603521000000001</v>
      </c>
      <c r="AF31" s="464">
        <v>27.350156999999999</v>
      </c>
      <c r="AG31" s="464">
        <v>27.276244999999999</v>
      </c>
      <c r="AH31" s="464">
        <v>27.644812000000002</v>
      </c>
      <c r="AI31" s="464">
        <v>27.774061</v>
      </c>
      <c r="AJ31" s="464">
        <v>28.160803000000001</v>
      </c>
      <c r="AK31" s="464">
        <v>28.683347999999999</v>
      </c>
      <c r="AL31" s="50">
        <v>29.258023999999999</v>
      </c>
      <c r="AM31" s="50">
        <v>29.838951000000002</v>
      </c>
      <c r="AN31" s="50">
        <v>30.384201000000001</v>
      </c>
      <c r="AO31" s="50">
        <v>31.228247</v>
      </c>
      <c r="AP31" s="50">
        <v>31.275366000000002</v>
      </c>
      <c r="AQ31" s="50">
        <v>31.207964</v>
      </c>
      <c r="AR31" s="50">
        <v>31.791889000000001</v>
      </c>
      <c r="AS31" s="50">
        <v>33.472724999999997</v>
      </c>
      <c r="AT31" s="50">
        <v>35.490616000000003</v>
      </c>
      <c r="AU31" s="50">
        <v>36.008121000000003</v>
      </c>
      <c r="AV31" s="731">
        <v>0.01</v>
      </c>
    </row>
    <row r="32" spans="1:48">
      <c r="A32" s="57" t="s">
        <v>51</v>
      </c>
      <c r="B32" s="332">
        <v>25.215170995092052</v>
      </c>
      <c r="C32" s="332">
        <v>26.545286505964025</v>
      </c>
      <c r="D32" s="332">
        <v>28.731961754408683</v>
      </c>
      <c r="E32" s="332">
        <v>31.537219678181152</v>
      </c>
      <c r="F32" s="332">
        <v>22.548723397503924</v>
      </c>
      <c r="G32" s="332">
        <v>26.558251523999999</v>
      </c>
      <c r="H32" s="332">
        <v>32.520299452742321</v>
      </c>
      <c r="I32" s="398">
        <v>31.700946531883368</v>
      </c>
      <c r="J32" s="398">
        <v>30.011539011306155</v>
      </c>
      <c r="K32" s="470">
        <v>28.640116270973003</v>
      </c>
      <c r="L32" s="465">
        <v>20.793419703219829</v>
      </c>
      <c r="M32" s="734">
        <v>20.369113535381949</v>
      </c>
      <c r="N32" s="465">
        <v>22.111402786252139</v>
      </c>
      <c r="O32" s="465">
        <v>21.836510149872083</v>
      </c>
      <c r="P32" s="465">
        <v>22.402248780085525</v>
      </c>
      <c r="Q32" s="465">
        <v>25.173662468064091</v>
      </c>
      <c r="R32" s="465">
        <v>26.56885134685578</v>
      </c>
      <c r="S32" s="465">
        <v>27.165194454563576</v>
      </c>
      <c r="T32" s="465">
        <v>27.634593143387768</v>
      </c>
      <c r="U32" s="465">
        <v>30.605791121601882</v>
      </c>
      <c r="V32" s="465">
        <v>30.666978246080042</v>
      </c>
      <c r="W32" s="465">
        <v>30.761091475392568</v>
      </c>
      <c r="X32" s="465">
        <v>30.921519151706033</v>
      </c>
      <c r="Y32" s="465">
        <v>31.200587110518097</v>
      </c>
      <c r="Z32" s="465">
        <v>31.825774966738901</v>
      </c>
      <c r="AA32" s="465">
        <v>31.962823115399441</v>
      </c>
      <c r="AB32" s="465">
        <v>32.317548979730439</v>
      </c>
      <c r="AC32" s="465">
        <v>32.452617195998812</v>
      </c>
      <c r="AD32" s="465">
        <v>32.511381133805244</v>
      </c>
      <c r="AE32" s="465">
        <v>32.690715930565538</v>
      </c>
      <c r="AF32" s="465">
        <v>32.828419943695394</v>
      </c>
      <c r="AG32" s="465">
        <v>32.86266442153682</v>
      </c>
      <c r="AH32" s="465">
        <v>33.25646215400004</v>
      </c>
      <c r="AI32" s="465">
        <v>33.360265282541569</v>
      </c>
      <c r="AJ32" s="465">
        <v>33.557703267468654</v>
      </c>
      <c r="AK32" s="465">
        <v>33.787692441940109</v>
      </c>
      <c r="AL32" s="50">
        <v>33.964076323164811</v>
      </c>
      <c r="AM32" s="50">
        <v>34.094346572873995</v>
      </c>
      <c r="AN32" s="50">
        <v>34.17493627547335</v>
      </c>
      <c r="AO32" s="50">
        <v>34.252416554047407</v>
      </c>
      <c r="AP32" s="50">
        <v>34.376383481121692</v>
      </c>
      <c r="AQ32" s="50">
        <v>34.284347946922523</v>
      </c>
      <c r="AR32" s="50">
        <v>34.418818197032181</v>
      </c>
      <c r="AS32" s="50">
        <v>34.603975096042518</v>
      </c>
      <c r="AT32" s="50">
        <v>34.646156388200026</v>
      </c>
      <c r="AU32" s="50">
        <v>34.749908262499375</v>
      </c>
      <c r="AV32" s="731">
        <v>1.3288136860222424E-2</v>
      </c>
    </row>
    <row r="33" spans="1:48">
      <c r="A33" s="57" t="s">
        <v>52</v>
      </c>
      <c r="B33" s="332">
        <v>16.702437187989137</v>
      </c>
      <c r="C33" s="332">
        <v>17.975547195644388</v>
      </c>
      <c r="D33" s="332">
        <v>18.52862945579167</v>
      </c>
      <c r="E33" s="332">
        <v>26.326216229440853</v>
      </c>
      <c r="F33" s="332">
        <v>14.548188935526408</v>
      </c>
      <c r="G33" s="332">
        <v>18.012754261000001</v>
      </c>
      <c r="H33" s="332">
        <v>23.841538827600001</v>
      </c>
      <c r="I33" s="332">
        <v>23.3636208</v>
      </c>
      <c r="J33" s="332">
        <v>22.157280000000004</v>
      </c>
      <c r="K33" s="469">
        <v>20.741593999999999</v>
      </c>
      <c r="L33" s="464">
        <v>12.171799999999999</v>
      </c>
      <c r="M33" s="603">
        <v>9.9814690000000006</v>
      </c>
      <c r="N33" s="464">
        <v>11.951191</v>
      </c>
      <c r="O33" s="464">
        <v>12.256513</v>
      </c>
      <c r="P33" s="464">
        <v>13.308604000000001</v>
      </c>
      <c r="Q33" s="464">
        <v>16.655777</v>
      </c>
      <c r="R33" s="464">
        <v>18.258929999999999</v>
      </c>
      <c r="S33" s="464">
        <v>18.930979000000001</v>
      </c>
      <c r="T33" s="464">
        <v>19.509972000000001</v>
      </c>
      <c r="U33" s="464">
        <v>20.100172000000001</v>
      </c>
      <c r="V33" s="464">
        <v>20.224865000000001</v>
      </c>
      <c r="W33" s="464">
        <v>20.325897000000001</v>
      </c>
      <c r="X33" s="464">
        <v>20.659405</v>
      </c>
      <c r="Y33" s="464">
        <v>20.953747</v>
      </c>
      <c r="Z33" s="464">
        <v>21.510567000000002</v>
      </c>
      <c r="AA33" s="464">
        <v>21.723246</v>
      </c>
      <c r="AB33" s="464">
        <v>22.113056</v>
      </c>
      <c r="AC33" s="464">
        <v>22.350823999999999</v>
      </c>
      <c r="AD33" s="464">
        <v>22.687228999999999</v>
      </c>
      <c r="AE33" s="464">
        <v>22.910995</v>
      </c>
      <c r="AF33" s="464">
        <v>23.109155999999999</v>
      </c>
      <c r="AG33" s="464">
        <v>23.296961</v>
      </c>
      <c r="AH33" s="464">
        <v>23.794943</v>
      </c>
      <c r="AI33" s="464">
        <v>24.056287999999999</v>
      </c>
      <c r="AJ33" s="464">
        <v>24.244046999999998</v>
      </c>
      <c r="AK33" s="464">
        <v>24.428225999999999</v>
      </c>
      <c r="AL33" s="50">
        <v>24.646035999999999</v>
      </c>
      <c r="AM33" s="50">
        <v>24.762561999999999</v>
      </c>
      <c r="AN33" s="50">
        <v>24.976828000000001</v>
      </c>
      <c r="AO33" s="50">
        <v>25.168385000000001</v>
      </c>
      <c r="AP33" s="50">
        <v>25.326723000000001</v>
      </c>
      <c r="AQ33" s="50">
        <v>25.416198999999999</v>
      </c>
      <c r="AR33" s="50">
        <v>25.599374999999998</v>
      </c>
      <c r="AS33" s="50">
        <v>25.859846000000001</v>
      </c>
      <c r="AT33" s="50">
        <v>26.157774</v>
      </c>
      <c r="AU33" s="50">
        <v>26.265492999999999</v>
      </c>
      <c r="AV33" s="731">
        <v>2.4E-2</v>
      </c>
    </row>
    <row r="34" spans="1:48">
      <c r="A34" s="57" t="s">
        <v>53</v>
      </c>
      <c r="B34" s="332">
        <v>23.581029927118582</v>
      </c>
      <c r="C34" s="332">
        <v>24.455105964321913</v>
      </c>
      <c r="D34" s="332">
        <v>25.885869718822821</v>
      </c>
      <c r="E34" s="332">
        <v>33.59062427495482</v>
      </c>
      <c r="F34" s="332">
        <v>21.580136738551513</v>
      </c>
      <c r="G34" s="332">
        <v>24.676323889999999</v>
      </c>
      <c r="H34" s="332">
        <v>29.8158830466</v>
      </c>
      <c r="I34" s="332">
        <v>28.88661750530779</v>
      </c>
      <c r="J34" s="332">
        <v>28.314804721683004</v>
      </c>
      <c r="K34" s="469">
        <v>27.273304140532964</v>
      </c>
      <c r="L34" s="464">
        <v>19.487834277933494</v>
      </c>
      <c r="M34" s="603">
        <v>17.748760678199574</v>
      </c>
      <c r="N34" s="464">
        <v>19.847168253125517</v>
      </c>
      <c r="O34" s="464">
        <v>20.536328040223609</v>
      </c>
      <c r="P34" s="464">
        <v>20.918116609662636</v>
      </c>
      <c r="Q34" s="464">
        <v>23.538142991920864</v>
      </c>
      <c r="R34" s="464">
        <v>24.686268055157203</v>
      </c>
      <c r="S34" s="464">
        <v>25.076567137644847</v>
      </c>
      <c r="T34" s="464">
        <v>25.493814725317964</v>
      </c>
      <c r="U34" s="464">
        <v>28.458925123356011</v>
      </c>
      <c r="V34" s="464">
        <v>28.779195284087969</v>
      </c>
      <c r="W34" s="464">
        <v>28.922271081242172</v>
      </c>
      <c r="X34" s="464">
        <v>29.221609273383397</v>
      </c>
      <c r="Y34" s="464">
        <v>29.54305232944958</v>
      </c>
      <c r="Z34" s="464">
        <v>30.256041940497617</v>
      </c>
      <c r="AA34" s="464">
        <v>30.468056089509627</v>
      </c>
      <c r="AB34" s="464">
        <v>30.792472546629558</v>
      </c>
      <c r="AC34" s="464">
        <v>30.905538300900933</v>
      </c>
      <c r="AD34" s="464">
        <v>31.201307443243117</v>
      </c>
      <c r="AE34" s="464">
        <v>31.468782785916563</v>
      </c>
      <c r="AF34" s="464">
        <v>31.6005567534629</v>
      </c>
      <c r="AG34" s="464">
        <v>31.740761814225152</v>
      </c>
      <c r="AH34" s="464">
        <v>32.14829790601361</v>
      </c>
      <c r="AI34" s="464">
        <v>32.313866949445398</v>
      </c>
      <c r="AJ34" s="464">
        <v>32.4656992674227</v>
      </c>
      <c r="AK34" s="464">
        <v>32.610071932332914</v>
      </c>
      <c r="AL34" s="50">
        <v>32.771979915183877</v>
      </c>
      <c r="AM34" s="50">
        <v>32.797676105202406</v>
      </c>
      <c r="AN34" s="50">
        <v>32.877743887519038</v>
      </c>
      <c r="AO34" s="50">
        <v>32.934112598049317</v>
      </c>
      <c r="AP34" s="50">
        <v>33.013747445424237</v>
      </c>
      <c r="AQ34" s="50">
        <v>32.967287811825834</v>
      </c>
      <c r="AR34" s="50">
        <v>33.044498417234138</v>
      </c>
      <c r="AS34" s="50">
        <v>33.098832236684963</v>
      </c>
      <c r="AT34" s="50">
        <v>32.938798368178958</v>
      </c>
      <c r="AU34" s="50">
        <v>33.013230247977106</v>
      </c>
      <c r="AV34" s="731">
        <v>1.5496552723100496E-2</v>
      </c>
    </row>
    <row r="35" spans="1:48">
      <c r="A35" s="57" t="s">
        <v>31</v>
      </c>
      <c r="B35" s="332">
        <v>10.868934719680732</v>
      </c>
      <c r="C35" s="332">
        <v>11.781013667017787</v>
      </c>
      <c r="D35" s="332">
        <v>11.945835170871824</v>
      </c>
      <c r="E35" s="332">
        <v>20.824636319965069</v>
      </c>
      <c r="F35" s="332">
        <v>11.526194206927102</v>
      </c>
      <c r="G35" s="332">
        <v>15.439504906</v>
      </c>
      <c r="H35" s="332">
        <v>25.107132314400001</v>
      </c>
      <c r="I35" s="332">
        <v>20.331356</v>
      </c>
      <c r="J35" s="332">
        <v>19.655353800000004</v>
      </c>
      <c r="K35" s="469">
        <v>14.493463999999999</v>
      </c>
      <c r="L35" s="464">
        <v>12.395135</v>
      </c>
      <c r="M35" s="603">
        <v>9.0035729999999994</v>
      </c>
      <c r="N35" s="464">
        <v>12.029985</v>
      </c>
      <c r="O35" s="464">
        <v>11.897579</v>
      </c>
      <c r="P35" s="464">
        <v>15.248987</v>
      </c>
      <c r="Q35" s="464">
        <v>15.380401000000001</v>
      </c>
      <c r="R35" s="464">
        <v>16.985220000000002</v>
      </c>
      <c r="S35" s="464">
        <v>18.720980000000001</v>
      </c>
      <c r="T35" s="464">
        <v>19.134377000000001</v>
      </c>
      <c r="U35" s="464">
        <v>19.106483000000001</v>
      </c>
      <c r="V35" s="464">
        <v>19.133807999999998</v>
      </c>
      <c r="W35" s="464">
        <v>19.553170999999999</v>
      </c>
      <c r="X35" s="464">
        <v>19.710277999999999</v>
      </c>
      <c r="Y35" s="464">
        <v>19.886894000000002</v>
      </c>
      <c r="Z35" s="464">
        <v>20.164287999999999</v>
      </c>
      <c r="AA35" s="464">
        <v>20.338757000000001</v>
      </c>
      <c r="AB35" s="464">
        <v>20.608881</v>
      </c>
      <c r="AC35" s="464">
        <v>20.777021000000001</v>
      </c>
      <c r="AD35" s="464">
        <v>20.970106000000001</v>
      </c>
      <c r="AE35" s="464">
        <v>21.154682000000001</v>
      </c>
      <c r="AF35" s="464">
        <v>21.319182999999999</v>
      </c>
      <c r="AG35" s="464">
        <v>21.416967</v>
      </c>
      <c r="AH35" s="464">
        <v>21.795977000000001</v>
      </c>
      <c r="AI35" s="464">
        <v>21.921675</v>
      </c>
      <c r="AJ35" s="464">
        <v>22.075838000000001</v>
      </c>
      <c r="AK35" s="464">
        <v>22.220699</v>
      </c>
      <c r="AL35" s="50">
        <v>22.411581000000002</v>
      </c>
      <c r="AM35" s="50">
        <v>22.477058</v>
      </c>
      <c r="AN35" s="50">
        <v>22.543178999999999</v>
      </c>
      <c r="AO35" s="50">
        <v>22.553353999999999</v>
      </c>
      <c r="AP35" s="50">
        <v>22.600245000000001</v>
      </c>
      <c r="AQ35" s="50">
        <v>22.526717999999999</v>
      </c>
      <c r="AR35" s="50">
        <v>22.623985000000001</v>
      </c>
      <c r="AS35" s="50">
        <v>22.757549000000001</v>
      </c>
      <c r="AT35" s="50">
        <v>22.785765000000001</v>
      </c>
      <c r="AU35" s="50">
        <v>22.906047999999998</v>
      </c>
      <c r="AV35" s="731">
        <v>0.02</v>
      </c>
    </row>
    <row r="36" spans="1:48">
      <c r="A36" s="57" t="s">
        <v>54</v>
      </c>
      <c r="B36" s="332">
        <v>14.347516543540372</v>
      </c>
      <c r="C36" s="332">
        <v>13.450918029411255</v>
      </c>
      <c r="D36" s="332">
        <v>12.714585281051809</v>
      </c>
      <c r="E36" s="332">
        <v>15.022166673886632</v>
      </c>
      <c r="F36" s="332">
        <v>10.607329831625647</v>
      </c>
      <c r="G36" s="332">
        <v>15.702759674999999</v>
      </c>
      <c r="H36" s="332">
        <v>16.275761133</v>
      </c>
      <c r="I36" s="332">
        <v>15.559334399999999</v>
      </c>
      <c r="J36" s="332">
        <v>15.365458199999999</v>
      </c>
      <c r="K36" s="469">
        <v>19.085505000000001</v>
      </c>
      <c r="L36" s="464">
        <v>17.802166</v>
      </c>
      <c r="M36" s="603">
        <v>15.690949</v>
      </c>
      <c r="N36" s="464">
        <v>15.951169999999999</v>
      </c>
      <c r="O36" s="464">
        <v>15.54055</v>
      </c>
      <c r="P36" s="464">
        <v>15.461475</v>
      </c>
      <c r="Q36" s="464">
        <v>15.526028</v>
      </c>
      <c r="R36" s="464">
        <v>14.654116</v>
      </c>
      <c r="S36" s="464">
        <v>14.504236000000001</v>
      </c>
      <c r="T36" s="464">
        <v>14.543445999999999</v>
      </c>
      <c r="U36" s="464">
        <v>17.335283</v>
      </c>
      <c r="V36" s="464">
        <v>17.415651</v>
      </c>
      <c r="W36" s="464">
        <v>17.356193999999999</v>
      </c>
      <c r="X36" s="464">
        <v>17.316749999999999</v>
      </c>
      <c r="Y36" s="464">
        <v>17.225100999999999</v>
      </c>
      <c r="Z36" s="464">
        <v>17.576174000000002</v>
      </c>
      <c r="AA36" s="464">
        <v>17.482697000000002</v>
      </c>
      <c r="AB36" s="464">
        <v>17.390416999999999</v>
      </c>
      <c r="AC36" s="464">
        <v>17.333994000000001</v>
      </c>
      <c r="AD36" s="464">
        <v>17.264631000000001</v>
      </c>
      <c r="AE36" s="464">
        <v>17.222916000000001</v>
      </c>
      <c r="AF36" s="464">
        <v>17.164318000000002</v>
      </c>
      <c r="AG36" s="464">
        <v>17.218857</v>
      </c>
      <c r="AH36" s="464">
        <v>17.173249999999999</v>
      </c>
      <c r="AI36" s="464">
        <v>17.185514000000001</v>
      </c>
      <c r="AJ36" s="464">
        <v>17.192053000000001</v>
      </c>
      <c r="AK36" s="464">
        <v>17.183734999999999</v>
      </c>
      <c r="AL36" s="50">
        <v>17.199635000000001</v>
      </c>
      <c r="AM36" s="50">
        <v>17.24287</v>
      </c>
      <c r="AN36" s="50">
        <v>17.259450999999999</v>
      </c>
      <c r="AO36" s="50">
        <v>17.291245</v>
      </c>
      <c r="AP36" s="50">
        <v>17.326384999999998</v>
      </c>
      <c r="AQ36" s="50">
        <v>17.370512000000002</v>
      </c>
      <c r="AR36" s="50">
        <v>17.405280999999999</v>
      </c>
      <c r="AS36" s="50">
        <v>17.484158000000001</v>
      </c>
      <c r="AT36" s="50">
        <v>17.546582999999998</v>
      </c>
      <c r="AU36" s="50">
        <v>17.632359999999998</v>
      </c>
      <c r="AV36" s="731">
        <v>3.0000000000000001E-3</v>
      </c>
    </row>
    <row r="37" spans="1:48">
      <c r="A37" s="77" t="s">
        <v>8</v>
      </c>
      <c r="B37" s="332">
        <v>25.273055569087418</v>
      </c>
      <c r="C37" s="332">
        <v>23.968927249238199</v>
      </c>
      <c r="D37" s="332">
        <v>23.728557758441507</v>
      </c>
      <c r="E37" s="332">
        <v>24.586978211291097</v>
      </c>
      <c r="F37" s="332">
        <v>23.563944028004737</v>
      </c>
      <c r="G37" s="332">
        <v>25.051514399860356</v>
      </c>
      <c r="H37" s="332">
        <v>24.211661054755247</v>
      </c>
      <c r="I37" s="332">
        <v>21.242036654265814</v>
      </c>
      <c r="J37" s="332">
        <v>21.485177834325871</v>
      </c>
      <c r="K37" s="469">
        <v>22.631162053794682</v>
      </c>
      <c r="L37" s="464">
        <v>20.524528828361394</v>
      </c>
      <c r="M37" s="603">
        <v>22.188918030250495</v>
      </c>
      <c r="N37" s="464">
        <v>27.954380549803759</v>
      </c>
      <c r="O37" s="464">
        <v>29.640141964888709</v>
      </c>
      <c r="P37" s="464">
        <v>29.672832792999262</v>
      </c>
      <c r="Q37" s="464">
        <v>30.72380498311238</v>
      </c>
      <c r="R37" s="464">
        <v>32.229886400979453</v>
      </c>
      <c r="S37" s="464">
        <v>33.845254343568733</v>
      </c>
      <c r="T37" s="464">
        <v>35.741077355131701</v>
      </c>
      <c r="U37" s="464">
        <v>36.441972222742741</v>
      </c>
      <c r="V37" s="464">
        <v>37.622725435876561</v>
      </c>
      <c r="W37" s="464">
        <v>38.74582246661673</v>
      </c>
      <c r="X37" s="464">
        <v>39.044928488453209</v>
      </c>
      <c r="Y37" s="464">
        <v>39.248934724522904</v>
      </c>
      <c r="Z37" s="464">
        <v>39.406115054127312</v>
      </c>
      <c r="AA37" s="464">
        <v>39.671454969350506</v>
      </c>
      <c r="AB37" s="464">
        <v>39.999249598761971</v>
      </c>
      <c r="AC37" s="464">
        <v>40.098550129372647</v>
      </c>
      <c r="AD37" s="464">
        <v>40.067119819918702</v>
      </c>
      <c r="AE37" s="464">
        <v>40.023770671879205</v>
      </c>
      <c r="AF37" s="464">
        <v>39.923225120792132</v>
      </c>
      <c r="AG37" s="464">
        <v>39.763323015540443</v>
      </c>
      <c r="AH37" s="464">
        <v>39.609567045752563</v>
      </c>
      <c r="AI37" s="464">
        <v>39.385160776482763</v>
      </c>
      <c r="AJ37" s="464">
        <v>39.104539655578307</v>
      </c>
      <c r="AK37" s="464">
        <v>38.802035104225645</v>
      </c>
      <c r="AL37" s="50">
        <v>38.544926936716578</v>
      </c>
      <c r="AM37" s="50">
        <v>38.330506661558296</v>
      </c>
      <c r="AN37" s="50">
        <v>38.038154156247906</v>
      </c>
      <c r="AO37" s="50">
        <v>37.716814887895751</v>
      </c>
      <c r="AP37" s="50">
        <v>37.564609474136866</v>
      </c>
      <c r="AQ37" s="50">
        <v>37.326899124174702</v>
      </c>
      <c r="AR37" s="50">
        <v>37.048270626439347</v>
      </c>
      <c r="AS37" s="50">
        <v>36.712985209929229</v>
      </c>
      <c r="AT37" s="50">
        <v>36.370979487279179</v>
      </c>
      <c r="AU37" s="50">
        <v>36.03468299901288</v>
      </c>
      <c r="AV37" s="731">
        <v>0</v>
      </c>
    </row>
    <row r="38" spans="1:48">
      <c r="B38" s="397"/>
      <c r="C38" s="397"/>
      <c r="D38" s="396"/>
      <c r="E38" s="396"/>
      <c r="F38" s="396"/>
      <c r="G38" s="396"/>
      <c r="H38" s="396"/>
      <c r="I38" s="396"/>
      <c r="J38" s="396"/>
      <c r="K38" s="397"/>
      <c r="L38" s="396"/>
      <c r="M38" s="733"/>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6"/>
      <c r="AK38" s="396"/>
      <c r="AL38" s="722"/>
      <c r="AM38" s="722"/>
      <c r="AN38" s="722"/>
      <c r="AO38" s="722"/>
      <c r="AP38" s="722"/>
      <c r="AQ38" s="722"/>
      <c r="AR38" s="722"/>
      <c r="AS38" s="722"/>
      <c r="AT38" s="722"/>
      <c r="AU38" s="722"/>
      <c r="AV38" s="731"/>
    </row>
    <row r="39" spans="1:48">
      <c r="A39" s="57" t="s">
        <v>456</v>
      </c>
      <c r="B39" s="399" t="s">
        <v>439</v>
      </c>
      <c r="C39" s="399"/>
      <c r="D39" s="399"/>
      <c r="E39" s="399"/>
      <c r="F39" s="399"/>
      <c r="G39" s="399"/>
      <c r="H39" s="399"/>
      <c r="I39" s="399"/>
      <c r="J39" s="396"/>
      <c r="K39" s="397"/>
      <c r="L39" s="396"/>
      <c r="M39" s="733"/>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722"/>
      <c r="AM39" s="722"/>
      <c r="AN39" s="722"/>
      <c r="AO39" s="722"/>
      <c r="AP39" s="722"/>
      <c r="AQ39" s="722"/>
      <c r="AR39" s="722"/>
      <c r="AS39" s="722"/>
      <c r="AT39" s="722"/>
      <c r="AU39" s="722"/>
      <c r="AV39" s="731"/>
    </row>
    <row r="40" spans="1:48">
      <c r="A40" s="57" t="s">
        <v>25</v>
      </c>
      <c r="B40" s="332">
        <v>16.854451104556041</v>
      </c>
      <c r="C40" s="332">
        <v>17.804532962026791</v>
      </c>
      <c r="D40" s="332">
        <v>19.128826766465245</v>
      </c>
      <c r="E40" s="332">
        <v>22.761811953118713</v>
      </c>
      <c r="F40" s="332">
        <v>16.737196498042987</v>
      </c>
      <c r="G40" s="332">
        <v>20.931666121999999</v>
      </c>
      <c r="H40" s="332">
        <v>24.660451953000003</v>
      </c>
      <c r="I40" s="332">
        <v>24.550471399999999</v>
      </c>
      <c r="J40" s="332">
        <v>24.4776396</v>
      </c>
      <c r="K40" s="469">
        <v>23.618300999999999</v>
      </c>
      <c r="L40" s="464">
        <v>15.726561</v>
      </c>
      <c r="M40" s="603">
        <v>12.502862</v>
      </c>
      <c r="N40" s="464">
        <v>14.564603999999999</v>
      </c>
      <c r="O40" s="464">
        <v>15.113141000000001</v>
      </c>
      <c r="P40" s="464">
        <v>15.982727000000001</v>
      </c>
      <c r="Q40" s="464">
        <v>19.193829999999998</v>
      </c>
      <c r="R40" s="464">
        <v>20.671496999999999</v>
      </c>
      <c r="S40" s="464">
        <v>21.221247000000002</v>
      </c>
      <c r="T40" s="464">
        <v>21.614315000000001</v>
      </c>
      <c r="U40" s="464">
        <v>21.809093000000001</v>
      </c>
      <c r="V40" s="464">
        <v>21.921059</v>
      </c>
      <c r="W40" s="464">
        <v>22.079042000000001</v>
      </c>
      <c r="X40" s="464">
        <v>22.295024999999999</v>
      </c>
      <c r="Y40" s="464">
        <v>22.567457000000001</v>
      </c>
      <c r="Z40" s="464">
        <v>22.843793999999999</v>
      </c>
      <c r="AA40" s="464">
        <v>23.034313000000001</v>
      </c>
      <c r="AB40" s="464">
        <v>23.419415000000001</v>
      </c>
      <c r="AC40" s="464">
        <v>23.614208000000001</v>
      </c>
      <c r="AD40" s="464">
        <v>23.918925999999999</v>
      </c>
      <c r="AE40" s="464">
        <v>24.169363000000001</v>
      </c>
      <c r="AF40" s="464">
        <v>24.293665000000001</v>
      </c>
      <c r="AG40" s="464">
        <v>24.426276999999999</v>
      </c>
      <c r="AH40" s="464">
        <v>24.933948999999998</v>
      </c>
      <c r="AI40" s="464">
        <v>25.083275</v>
      </c>
      <c r="AJ40" s="464">
        <v>25.313271</v>
      </c>
      <c r="AK40" s="464">
        <v>25.525286000000001</v>
      </c>
      <c r="AL40" s="50">
        <v>25.759996000000001</v>
      </c>
      <c r="AM40" s="50">
        <v>25.815653000000001</v>
      </c>
      <c r="AN40" s="50">
        <v>25.865708999999999</v>
      </c>
      <c r="AO40" s="50">
        <v>25.956814000000001</v>
      </c>
      <c r="AP40" s="50">
        <v>26.076930999999998</v>
      </c>
      <c r="AQ40" s="50">
        <v>26.008109999999999</v>
      </c>
      <c r="AR40" s="50">
        <v>26.125924999999999</v>
      </c>
      <c r="AS40" s="50">
        <v>26.360755999999999</v>
      </c>
      <c r="AT40" s="50">
        <v>26.350532999999999</v>
      </c>
      <c r="AU40" s="50">
        <v>26.457932</v>
      </c>
      <c r="AV40" s="731">
        <v>1.7999999999999999E-2</v>
      </c>
    </row>
    <row r="41" spans="1:48">
      <c r="A41" s="57" t="s">
        <v>31</v>
      </c>
      <c r="B41" s="332">
        <v>10.260883605477513</v>
      </c>
      <c r="C41" s="332">
        <v>11.514991020049854</v>
      </c>
      <c r="D41" s="332">
        <v>12.429864774934828</v>
      </c>
      <c r="E41" s="332">
        <v>19.642959947773459</v>
      </c>
      <c r="F41" s="332">
        <v>12.010487536403307</v>
      </c>
      <c r="G41" s="332">
        <v>15.579757000000001</v>
      </c>
      <c r="H41" s="332">
        <v>22.408439552400001</v>
      </c>
      <c r="I41" s="332">
        <v>25.975307600000001</v>
      </c>
      <c r="J41" s="332">
        <v>24.002694200000001</v>
      </c>
      <c r="K41" s="469">
        <v>19.642218</v>
      </c>
      <c r="L41" s="464">
        <v>12.897640000000001</v>
      </c>
      <c r="M41" s="603">
        <v>10.876165</v>
      </c>
      <c r="N41" s="464">
        <v>12.881163000000001</v>
      </c>
      <c r="O41" s="464">
        <v>12.578522</v>
      </c>
      <c r="P41" s="464">
        <v>12.866784000000001</v>
      </c>
      <c r="Q41" s="464">
        <v>15.206141000000001</v>
      </c>
      <c r="R41" s="464">
        <v>15.925367</v>
      </c>
      <c r="S41" s="464">
        <v>15.960741000000001</v>
      </c>
      <c r="T41" s="464">
        <v>15.875864999999999</v>
      </c>
      <c r="U41" s="464">
        <v>15.959356</v>
      </c>
      <c r="V41" s="464">
        <v>15.975072000000001</v>
      </c>
      <c r="W41" s="464">
        <v>16.206047000000002</v>
      </c>
      <c r="X41" s="464">
        <v>16.412282999999999</v>
      </c>
      <c r="Y41" s="464">
        <v>16.571037</v>
      </c>
      <c r="Z41" s="464">
        <v>16.871679</v>
      </c>
      <c r="AA41" s="464">
        <v>17.053331</v>
      </c>
      <c r="AB41" s="464">
        <v>17.329453000000001</v>
      </c>
      <c r="AC41" s="464">
        <v>17.468775000000001</v>
      </c>
      <c r="AD41" s="464">
        <v>17.668195999999998</v>
      </c>
      <c r="AE41" s="464">
        <v>17.836690999999998</v>
      </c>
      <c r="AF41" s="464">
        <v>18.031775</v>
      </c>
      <c r="AG41" s="464">
        <v>18.099253000000001</v>
      </c>
      <c r="AH41" s="464">
        <v>18.47315</v>
      </c>
      <c r="AI41" s="464">
        <v>18.612435999999999</v>
      </c>
      <c r="AJ41" s="464">
        <v>18.800241</v>
      </c>
      <c r="AK41" s="464">
        <v>18.958786</v>
      </c>
      <c r="AL41" s="50">
        <v>19.118559000000001</v>
      </c>
      <c r="AM41" s="50">
        <v>19.204229000000002</v>
      </c>
      <c r="AN41" s="50">
        <v>19.264868</v>
      </c>
      <c r="AO41" s="50">
        <v>19.264879000000001</v>
      </c>
      <c r="AP41" s="50">
        <v>19.304224000000001</v>
      </c>
      <c r="AQ41" s="50">
        <v>19.191641000000001</v>
      </c>
      <c r="AR41" s="50">
        <v>19.231915000000001</v>
      </c>
      <c r="AS41" s="50">
        <v>19.397345000000001</v>
      </c>
      <c r="AT41" s="50">
        <v>19.403691999999999</v>
      </c>
      <c r="AU41" s="50">
        <v>19.605156000000001</v>
      </c>
      <c r="AV41" s="731">
        <v>1.2999999999999999E-2</v>
      </c>
    </row>
    <row r="42" spans="1:48">
      <c r="A42" s="57" t="s">
        <v>26</v>
      </c>
      <c r="B42" s="332">
        <v>8.8587806092391812</v>
      </c>
      <c r="C42" s="332">
        <v>7.2187537219205105</v>
      </c>
      <c r="D42" s="332">
        <v>7.365604152788511</v>
      </c>
      <c r="E42" s="332">
        <v>8.8873175920093885</v>
      </c>
      <c r="F42" s="332">
        <v>4.8130168071388626</v>
      </c>
      <c r="G42" s="332">
        <v>4.9287729999999996</v>
      </c>
      <c r="H42" s="332">
        <v>4.9588802021999996</v>
      </c>
      <c r="I42" s="332">
        <v>3.7503248000000005</v>
      </c>
      <c r="J42" s="332">
        <v>4.4909524000000003</v>
      </c>
      <c r="K42" s="469">
        <v>4.9945050000000002</v>
      </c>
      <c r="L42" s="464">
        <v>3.309901</v>
      </c>
      <c r="M42" s="603">
        <v>2.869831</v>
      </c>
      <c r="N42" s="464">
        <v>3.5221909999999998</v>
      </c>
      <c r="O42" s="464">
        <v>3.6653660000000001</v>
      </c>
      <c r="P42" s="464">
        <v>3.9935930000000002</v>
      </c>
      <c r="Q42" s="464">
        <v>4.1115579999999996</v>
      </c>
      <c r="R42" s="464">
        <v>4.0973329999999999</v>
      </c>
      <c r="S42" s="464">
        <v>4.0989449999999996</v>
      </c>
      <c r="T42" s="464">
        <v>4.2030019999999997</v>
      </c>
      <c r="U42" s="464">
        <v>4.3184279999999999</v>
      </c>
      <c r="V42" s="464">
        <v>4.512079</v>
      </c>
      <c r="W42" s="464">
        <v>4.587955</v>
      </c>
      <c r="X42" s="464">
        <v>4.6374139999999997</v>
      </c>
      <c r="Y42" s="464">
        <v>4.637664</v>
      </c>
      <c r="Z42" s="464">
        <v>4.6823829999999997</v>
      </c>
      <c r="AA42" s="464">
        <v>4.6543890000000001</v>
      </c>
      <c r="AB42" s="464">
        <v>4.6178860000000004</v>
      </c>
      <c r="AC42" s="464">
        <v>4.6293600000000001</v>
      </c>
      <c r="AD42" s="464">
        <v>4.6212980000000003</v>
      </c>
      <c r="AE42" s="464">
        <v>4.6548020000000001</v>
      </c>
      <c r="AF42" s="464">
        <v>4.6575670000000002</v>
      </c>
      <c r="AG42" s="464">
        <v>4.7763970000000002</v>
      </c>
      <c r="AH42" s="464">
        <v>4.7860870000000002</v>
      </c>
      <c r="AI42" s="464">
        <v>4.8522790000000002</v>
      </c>
      <c r="AJ42" s="464">
        <v>4.9156009999999997</v>
      </c>
      <c r="AK42" s="464">
        <v>4.9647699999999997</v>
      </c>
      <c r="AL42" s="50">
        <v>5.0286609999999996</v>
      </c>
      <c r="AM42" s="50">
        <v>5.1134909999999998</v>
      </c>
      <c r="AN42" s="50">
        <v>5.1709579999999997</v>
      </c>
      <c r="AO42" s="50">
        <v>5.264443</v>
      </c>
      <c r="AP42" s="50">
        <v>5.3328800000000003</v>
      </c>
      <c r="AQ42" s="50">
        <v>5.3210059999999997</v>
      </c>
      <c r="AR42" s="50">
        <v>5.383356</v>
      </c>
      <c r="AS42" s="50">
        <v>5.4941950000000004</v>
      </c>
      <c r="AT42" s="50">
        <v>5.5598039999999997</v>
      </c>
      <c r="AU42" s="50">
        <v>5.6822549999999996</v>
      </c>
      <c r="AV42" s="731">
        <v>1.4999999999999999E-2</v>
      </c>
    </row>
    <row r="43" spans="1:48">
      <c r="A43" s="57" t="s">
        <v>41</v>
      </c>
      <c r="B43" s="332">
        <v>1.7320665011297836</v>
      </c>
      <c r="C43" s="332">
        <v>1.9023175526905256</v>
      </c>
      <c r="D43" s="332">
        <v>2.1303159268487466</v>
      </c>
      <c r="E43" s="332">
        <v>2.6336036357309429</v>
      </c>
      <c r="F43" s="332">
        <v>2.7189923274487202</v>
      </c>
      <c r="G43" s="332">
        <v>1.8096479999999999</v>
      </c>
      <c r="H43" s="332">
        <v>2.0108612675999997</v>
      </c>
      <c r="I43" s="332">
        <v>1.9531232000000001</v>
      </c>
      <c r="J43" s="332">
        <v>2.0813481999999999</v>
      </c>
      <c r="K43" s="469">
        <v>2.1933699999999998</v>
      </c>
      <c r="L43" s="464">
        <v>2.1289380000000002</v>
      </c>
      <c r="M43" s="603">
        <v>1.982037</v>
      </c>
      <c r="N43" s="464">
        <v>1.9679260000000001</v>
      </c>
      <c r="O43" s="464">
        <v>2.0186760000000001</v>
      </c>
      <c r="P43" s="464">
        <v>2.0662739999999999</v>
      </c>
      <c r="Q43" s="464">
        <v>2.0936949999999999</v>
      </c>
      <c r="R43" s="464">
        <v>2.1236060000000001</v>
      </c>
      <c r="S43" s="464">
        <v>2.144952</v>
      </c>
      <c r="T43" s="464">
        <v>2.1558920000000001</v>
      </c>
      <c r="U43" s="464">
        <v>2.1855159999999998</v>
      </c>
      <c r="V43" s="464">
        <v>2.219379</v>
      </c>
      <c r="W43" s="464">
        <v>2.232853</v>
      </c>
      <c r="X43" s="464">
        <v>2.2487349999999999</v>
      </c>
      <c r="Y43" s="464">
        <v>2.2623799999999998</v>
      </c>
      <c r="Z43" s="464">
        <v>2.274702</v>
      </c>
      <c r="AA43" s="464">
        <v>2.2924349999999998</v>
      </c>
      <c r="AB43" s="464">
        <v>2.3110539999999999</v>
      </c>
      <c r="AC43" s="464">
        <v>2.318451</v>
      </c>
      <c r="AD43" s="464">
        <v>2.331572</v>
      </c>
      <c r="AE43" s="464">
        <v>2.361453</v>
      </c>
      <c r="AF43" s="464">
        <v>2.4003760000000001</v>
      </c>
      <c r="AG43" s="464">
        <v>2.43004</v>
      </c>
      <c r="AH43" s="464">
        <v>2.4708830000000002</v>
      </c>
      <c r="AI43" s="464">
        <v>2.4924710000000001</v>
      </c>
      <c r="AJ43" s="464">
        <v>2.5183209999999998</v>
      </c>
      <c r="AK43" s="464">
        <v>2.5259299999999998</v>
      </c>
      <c r="AL43" s="50">
        <v>2.5416979999999998</v>
      </c>
      <c r="AM43" s="50">
        <v>2.554834</v>
      </c>
      <c r="AN43" s="50">
        <v>2.5569890000000002</v>
      </c>
      <c r="AO43" s="50">
        <v>2.5652970000000002</v>
      </c>
      <c r="AP43" s="50">
        <v>2.5720700000000001</v>
      </c>
      <c r="AQ43" s="50">
        <v>2.5745490000000002</v>
      </c>
      <c r="AR43" s="50">
        <v>2.579993</v>
      </c>
      <c r="AS43" s="50">
        <v>2.585178</v>
      </c>
      <c r="AT43" s="50">
        <v>2.5888010000000001</v>
      </c>
      <c r="AU43" s="50">
        <v>2.5997849999999998</v>
      </c>
      <c r="AV43" s="731">
        <v>8.0000000000000002E-3</v>
      </c>
    </row>
    <row r="44" spans="1:48">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row>
    <row r="45" spans="1:48" ht="16.5">
      <c r="A45" s="113"/>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row>
    <row r="46" spans="1:48">
      <c r="H46"/>
      <c r="I46"/>
      <c r="J46"/>
      <c r="K46"/>
      <c r="L46"/>
      <c r="M46"/>
      <c r="N46"/>
      <c r="O46"/>
      <c r="P46"/>
    </row>
    <row r="47" spans="1:48">
      <c r="H47"/>
      <c r="I47"/>
      <c r="J47"/>
      <c r="K47"/>
      <c r="L47"/>
      <c r="M47"/>
      <c r="N47"/>
      <c r="O47"/>
      <c r="P47"/>
    </row>
    <row r="48" spans="1:48">
      <c r="H48"/>
      <c r="I48"/>
      <c r="J48"/>
      <c r="K48"/>
      <c r="L48"/>
      <c r="M48"/>
      <c r="N48"/>
      <c r="O48"/>
      <c r="P48"/>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AK45"/>
  <sheetViews>
    <sheetView showGridLines="0" workbookViewId="0">
      <pane xSplit="1" topLeftCell="B1" activePane="topRight" state="frozen"/>
      <selection pane="topRight" activeCell="M4" sqref="M4"/>
    </sheetView>
  </sheetViews>
  <sheetFormatPr defaultColWidth="9.140625" defaultRowHeight="12.75"/>
  <cols>
    <col min="1" max="1" width="33.28515625" style="57" customWidth="1"/>
    <col min="2" max="37" width="8.7109375" style="57" customWidth="1"/>
    <col min="38" max="16384" width="9.140625" style="57"/>
  </cols>
  <sheetData>
    <row r="1" spans="1:37" ht="27">
      <c r="A1" s="110" t="s">
        <v>458</v>
      </c>
    </row>
    <row r="2" spans="1:37" ht="15.75">
      <c r="A2" s="101" t="s">
        <v>454</v>
      </c>
      <c r="B2" s="58" t="s">
        <v>1077</v>
      </c>
      <c r="M2" s="425"/>
    </row>
    <row r="3" spans="1:37" ht="15.75">
      <c r="A3" s="101" t="s">
        <v>380</v>
      </c>
      <c r="B3" s="58" t="str">
        <f>'price scenario A'!B3</f>
        <v>forecast is in 2017 dollars per million Btu</v>
      </c>
      <c r="H3" s="2"/>
      <c r="L3" s="18"/>
      <c r="M3" s="315" t="s">
        <v>1210</v>
      </c>
    </row>
    <row r="4" spans="1:37">
      <c r="D4" s="57" t="s">
        <v>21</v>
      </c>
      <c r="E4" s="57" t="s">
        <v>21</v>
      </c>
      <c r="F4" s="57" t="s">
        <v>21</v>
      </c>
      <c r="G4"/>
      <c r="H4"/>
      <c r="L4" s="314" t="s">
        <v>363</v>
      </c>
      <c r="M4" s="303" t="s">
        <v>364</v>
      </c>
      <c r="N4" s="57" t="s">
        <v>21</v>
      </c>
      <c r="O4" s="57" t="s">
        <v>21</v>
      </c>
      <c r="P4" s="57" t="s">
        <v>21</v>
      </c>
      <c r="Q4" s="57" t="s">
        <v>21</v>
      </c>
      <c r="R4" s="57" t="s">
        <v>21</v>
      </c>
      <c r="S4" s="57" t="s">
        <v>21</v>
      </c>
      <c r="T4" s="57" t="s">
        <v>21</v>
      </c>
      <c r="U4" s="57" t="s">
        <v>21</v>
      </c>
      <c r="V4" s="57" t="s">
        <v>21</v>
      </c>
      <c r="W4" s="57" t="s">
        <v>21</v>
      </c>
      <c r="X4" s="57" t="s">
        <v>21</v>
      </c>
      <c r="Y4" s="57" t="s">
        <v>21</v>
      </c>
      <c r="Z4" s="57" t="s">
        <v>21</v>
      </c>
      <c r="AA4" s="57" t="s">
        <v>21</v>
      </c>
      <c r="AB4" s="57" t="s">
        <v>21</v>
      </c>
      <c r="AC4" s="57" t="s">
        <v>21</v>
      </c>
      <c r="AD4" s="57" t="s">
        <v>21</v>
      </c>
      <c r="AE4" s="57" t="s">
        <v>21</v>
      </c>
      <c r="AF4" s="57" t="s">
        <v>21</v>
      </c>
    </row>
    <row r="5" spans="1:37" ht="13.5">
      <c r="A5" s="57" t="s">
        <v>22</v>
      </c>
      <c r="B5" s="59">
        <v>2005</v>
      </c>
      <c r="C5" s="59">
        <v>2006</v>
      </c>
      <c r="D5" s="59">
        <v>2007</v>
      </c>
      <c r="E5" s="59">
        <v>2008</v>
      </c>
      <c r="F5" s="59">
        <v>2009</v>
      </c>
      <c r="G5" s="59">
        <v>2010</v>
      </c>
      <c r="H5" s="59">
        <v>2011</v>
      </c>
      <c r="I5" s="59">
        <v>2012</v>
      </c>
      <c r="J5" s="59">
        <v>2013</v>
      </c>
      <c r="K5" s="59">
        <v>2014</v>
      </c>
      <c r="L5" s="540">
        <v>2015</v>
      </c>
      <c r="M5" s="59">
        <v>2016</v>
      </c>
      <c r="N5" s="59">
        <v>2017</v>
      </c>
      <c r="O5" s="59">
        <v>2018</v>
      </c>
      <c r="P5" s="59">
        <v>2019</v>
      </c>
      <c r="Q5" s="59">
        <v>2020</v>
      </c>
      <c r="R5" s="59">
        <v>2021</v>
      </c>
      <c r="S5" s="59">
        <v>2022</v>
      </c>
      <c r="T5" s="59">
        <v>2023</v>
      </c>
      <c r="U5" s="59">
        <v>2024</v>
      </c>
      <c r="V5" s="59">
        <v>2025</v>
      </c>
      <c r="W5" s="59">
        <v>2026</v>
      </c>
      <c r="X5" s="59">
        <v>2027</v>
      </c>
      <c r="Y5" s="59">
        <v>2028</v>
      </c>
      <c r="Z5" s="59">
        <v>2029</v>
      </c>
      <c r="AA5" s="59">
        <v>2030</v>
      </c>
      <c r="AB5" s="59">
        <v>2031</v>
      </c>
      <c r="AC5" s="59">
        <v>2032</v>
      </c>
      <c r="AD5" s="59">
        <v>2033</v>
      </c>
      <c r="AE5" s="59">
        <v>2034</v>
      </c>
      <c r="AF5" s="59">
        <v>2035</v>
      </c>
      <c r="AG5" s="59">
        <v>2036</v>
      </c>
      <c r="AH5" s="59">
        <v>2037</v>
      </c>
      <c r="AI5" s="59">
        <v>2038</v>
      </c>
      <c r="AJ5" s="59">
        <v>2039</v>
      </c>
      <c r="AK5" s="59">
        <v>2040</v>
      </c>
    </row>
    <row r="6" spans="1:37">
      <c r="A6" s="57" t="s">
        <v>23</v>
      </c>
      <c r="H6" s="409"/>
      <c r="I6" s="406"/>
      <c r="J6" s="407"/>
      <c r="K6" s="536"/>
      <c r="L6" s="18"/>
    </row>
    <row r="7" spans="1:37">
      <c r="A7" s="57" t="s">
        <v>24</v>
      </c>
      <c r="B7" s="332">
        <v>26.051241846129606</v>
      </c>
      <c r="C7" s="332">
        <v>30.66863980999922</v>
      </c>
      <c r="D7" s="332">
        <v>33.494805329687082</v>
      </c>
      <c r="E7" s="332">
        <v>39.750843853397861</v>
      </c>
      <c r="F7" s="332">
        <v>33.68748039407636</v>
      </c>
      <c r="G7" s="332">
        <v>32.896204367100005</v>
      </c>
      <c r="H7" s="332">
        <v>26.402289025800002</v>
      </c>
      <c r="I7" s="332">
        <v>27.849444200000001</v>
      </c>
      <c r="J7" s="332">
        <v>26.999056000000003</v>
      </c>
      <c r="K7" s="542">
        <v>26.346412999999998</v>
      </c>
      <c r="L7" s="603">
        <v>19.169197</v>
      </c>
      <c r="M7" s="604">
        <v>18.14432</v>
      </c>
      <c r="N7" s="604">
        <v>18.553314</v>
      </c>
      <c r="O7" s="604">
        <v>19.632035999999999</v>
      </c>
      <c r="P7" s="604">
        <v>19.727339000000001</v>
      </c>
      <c r="Q7" s="604">
        <v>19.741014</v>
      </c>
      <c r="R7" s="604">
        <v>19.790174</v>
      </c>
      <c r="S7" s="604">
        <v>20.258223999999998</v>
      </c>
      <c r="T7" s="604">
        <v>20.512003</v>
      </c>
      <c r="U7" s="604">
        <v>20.632421000000001</v>
      </c>
      <c r="V7" s="604">
        <v>20.698128000000001</v>
      </c>
      <c r="W7" s="604">
        <v>20.860620000000001</v>
      </c>
      <c r="X7" s="604">
        <v>21.080131999999999</v>
      </c>
      <c r="Y7" s="604">
        <v>21.116381000000001</v>
      </c>
      <c r="Z7" s="604">
        <v>21.212161999999999</v>
      </c>
      <c r="AA7" s="604">
        <v>21.510439000000002</v>
      </c>
      <c r="AB7" s="604">
        <v>22.044134</v>
      </c>
      <c r="AC7" s="604">
        <v>22.542555</v>
      </c>
      <c r="AD7" s="604">
        <v>22.684812999999998</v>
      </c>
      <c r="AE7" s="604">
        <v>23.099508</v>
      </c>
      <c r="AF7" s="604">
        <v>23.311116999999999</v>
      </c>
      <c r="AG7" s="604">
        <v>23.740541</v>
      </c>
      <c r="AH7" s="604">
        <v>24.037094</v>
      </c>
      <c r="AI7" s="604">
        <v>24.513708000000001</v>
      </c>
      <c r="AJ7" s="604">
        <v>25.166886999999999</v>
      </c>
      <c r="AK7" s="604">
        <v>25.597446000000001</v>
      </c>
    </row>
    <row r="8" spans="1:37">
      <c r="A8" s="57" t="s">
        <v>25</v>
      </c>
      <c r="B8" s="332">
        <v>20.654778534439036</v>
      </c>
      <c r="C8" s="332">
        <v>21.813877535660978</v>
      </c>
      <c r="D8" s="332">
        <v>26.118203975052712</v>
      </c>
      <c r="E8" s="332">
        <v>28.360250296964857</v>
      </c>
      <c r="F8" s="332">
        <v>20.84400916446355</v>
      </c>
      <c r="G8" s="332">
        <v>23.640661560000002</v>
      </c>
      <c r="H8" s="332">
        <v>28.773628173599999</v>
      </c>
      <c r="I8" s="332">
        <v>28.642387600000003</v>
      </c>
      <c r="J8" s="332">
        <v>28.5695558</v>
      </c>
      <c r="K8" s="542">
        <v>27.557736999999999</v>
      </c>
      <c r="L8" s="603">
        <v>19.262710999999999</v>
      </c>
      <c r="M8" s="604">
        <v>15.112387</v>
      </c>
      <c r="N8" s="604">
        <v>18.213469</v>
      </c>
      <c r="O8" s="604">
        <v>20.107046</v>
      </c>
      <c r="P8" s="604">
        <v>21.343630000000001</v>
      </c>
      <c r="Q8" s="604">
        <v>22.023606999999998</v>
      </c>
      <c r="R8" s="604">
        <v>22.503762999999999</v>
      </c>
      <c r="S8" s="604">
        <v>22.892809</v>
      </c>
      <c r="T8" s="604">
        <v>23.234940999999999</v>
      </c>
      <c r="U8" s="604">
        <v>23.580414000000001</v>
      </c>
      <c r="V8" s="604">
        <v>24.118057</v>
      </c>
      <c r="W8" s="604">
        <v>24.572239</v>
      </c>
      <c r="X8" s="604">
        <v>24.727615</v>
      </c>
      <c r="Y8" s="604">
        <v>24.736115000000002</v>
      </c>
      <c r="Z8" s="604">
        <v>25.061973999999999</v>
      </c>
      <c r="AA8" s="604">
        <v>25.52392</v>
      </c>
      <c r="AB8" s="604">
        <v>25.982574</v>
      </c>
      <c r="AC8" s="604">
        <v>26.445226999999999</v>
      </c>
      <c r="AD8" s="604">
        <v>26.413882999999998</v>
      </c>
      <c r="AE8" s="604">
        <v>26.802700000000002</v>
      </c>
      <c r="AF8" s="604">
        <v>26.951521</v>
      </c>
      <c r="AG8" s="604">
        <v>27.471302000000001</v>
      </c>
      <c r="AH8" s="604">
        <v>27.655787</v>
      </c>
      <c r="AI8" s="604">
        <v>27.694239</v>
      </c>
      <c r="AJ8" s="604">
        <v>28.225625999999998</v>
      </c>
      <c r="AK8" s="604">
        <v>28.456662999999999</v>
      </c>
    </row>
    <row r="9" spans="1:37">
      <c r="A9" s="57" t="s">
        <v>26</v>
      </c>
      <c r="B9" s="332">
        <v>14.064256366483393</v>
      </c>
      <c r="C9" s="332">
        <v>13.948068335222674</v>
      </c>
      <c r="D9" s="332">
        <v>13.786249584779203</v>
      </c>
      <c r="E9" s="332">
        <v>14.349725806705393</v>
      </c>
      <c r="F9" s="332">
        <v>13.021244137356957</v>
      </c>
      <c r="G9" s="332">
        <v>10.983029568600001</v>
      </c>
      <c r="H9" s="332">
        <v>10.777743023399999</v>
      </c>
      <c r="I9" s="332">
        <v>9.7963900000000006</v>
      </c>
      <c r="J9" s="332">
        <v>10.129775</v>
      </c>
      <c r="K9" s="542">
        <v>11.110224000000001</v>
      </c>
      <c r="L9" s="603">
        <v>11.529643</v>
      </c>
      <c r="M9" s="604">
        <v>10.945176999999999</v>
      </c>
      <c r="N9" s="604">
        <v>11.851172999999999</v>
      </c>
      <c r="O9" s="604">
        <v>11.792783</v>
      </c>
      <c r="P9" s="604">
        <v>11.875657</v>
      </c>
      <c r="Q9" s="604">
        <v>11.813314</v>
      </c>
      <c r="R9" s="604">
        <v>11.895725000000001</v>
      </c>
      <c r="S9" s="604">
        <v>11.938402</v>
      </c>
      <c r="T9" s="604">
        <v>11.947556000000001</v>
      </c>
      <c r="U9" s="604">
        <v>12.007688999999999</v>
      </c>
      <c r="V9" s="604">
        <v>14.23737</v>
      </c>
      <c r="W9" s="604">
        <v>14.535202999999999</v>
      </c>
      <c r="X9" s="604">
        <v>14.765502</v>
      </c>
      <c r="Y9" s="604">
        <v>14.902511000000001</v>
      </c>
      <c r="Z9" s="604">
        <v>15.027730999999999</v>
      </c>
      <c r="AA9" s="604">
        <v>15.358624000000001</v>
      </c>
      <c r="AB9" s="604">
        <v>15.439757</v>
      </c>
      <c r="AC9" s="604">
        <v>15.527699</v>
      </c>
      <c r="AD9" s="604">
        <v>15.575756</v>
      </c>
      <c r="AE9" s="604">
        <v>15.625688999999999</v>
      </c>
      <c r="AF9" s="604">
        <v>15.690792</v>
      </c>
      <c r="AG9" s="604">
        <v>15.828810000000001</v>
      </c>
      <c r="AH9" s="604">
        <v>15.867131000000001</v>
      </c>
      <c r="AI9" s="604">
        <v>15.919997</v>
      </c>
      <c r="AJ9" s="604">
        <v>16.046648000000001</v>
      </c>
      <c r="AK9" s="604">
        <v>16.120308000000001</v>
      </c>
    </row>
    <row r="10" spans="1:37">
      <c r="A10" s="77" t="s">
        <v>8</v>
      </c>
      <c r="B10" s="332">
        <v>24.437607720489037</v>
      </c>
      <c r="C10" s="332">
        <v>26.748142607449822</v>
      </c>
      <c r="D10" s="332">
        <v>26.864904992864833</v>
      </c>
      <c r="E10" s="332">
        <v>25.673123481965842</v>
      </c>
      <c r="F10" s="332">
        <v>24.417329661592778</v>
      </c>
      <c r="G10" s="332">
        <v>24.222396268240214</v>
      </c>
      <c r="H10" s="332">
        <v>24.41365919630044</v>
      </c>
      <c r="I10" s="332">
        <v>26.010139828997268</v>
      </c>
      <c r="J10" s="332">
        <v>26.187696540751123</v>
      </c>
      <c r="K10" s="542">
        <v>26.574448608041504</v>
      </c>
      <c r="L10" s="603">
        <v>26.505614811849888</v>
      </c>
      <c r="M10" s="604">
        <v>26.626209393832401</v>
      </c>
      <c r="N10" s="604">
        <v>26.716523268811677</v>
      </c>
      <c r="O10" s="604">
        <v>26.354762571334813</v>
      </c>
      <c r="P10" s="604">
        <v>26.394774716412609</v>
      </c>
      <c r="Q10" s="604">
        <v>26.681793584038086</v>
      </c>
      <c r="R10" s="604">
        <v>27.099534033311809</v>
      </c>
      <c r="S10" s="604">
        <v>27.894424083288232</v>
      </c>
      <c r="T10" s="604">
        <v>29.354598272159436</v>
      </c>
      <c r="U10" s="604">
        <v>29.28574314630271</v>
      </c>
      <c r="V10" s="604">
        <v>29.845462797816381</v>
      </c>
      <c r="W10" s="604">
        <v>30.863805279182163</v>
      </c>
      <c r="X10" s="604">
        <v>30.969381602264427</v>
      </c>
      <c r="Y10" s="604">
        <v>31.08394745183843</v>
      </c>
      <c r="Z10" s="604">
        <v>31.164838862836412</v>
      </c>
      <c r="AA10" s="604">
        <v>31.355180608783616</v>
      </c>
      <c r="AB10" s="604">
        <v>31.735996162185636</v>
      </c>
      <c r="AC10" s="604">
        <v>32.004429241410612</v>
      </c>
      <c r="AD10" s="604">
        <v>32.177088449834805</v>
      </c>
      <c r="AE10" s="604">
        <v>32.433662156504184</v>
      </c>
      <c r="AF10" s="604">
        <v>32.730585014268399</v>
      </c>
      <c r="AG10" s="604">
        <v>32.926890707733584</v>
      </c>
      <c r="AH10" s="604">
        <v>33.155525930364803</v>
      </c>
      <c r="AI10" s="604">
        <v>33.380026755703689</v>
      </c>
      <c r="AJ10" s="604">
        <v>33.615795791472138</v>
      </c>
      <c r="AK10" s="604">
        <v>33.87902240805294</v>
      </c>
    </row>
    <row r="11" spans="1:37">
      <c r="B11" s="400"/>
      <c r="C11" s="400"/>
      <c r="D11" s="400"/>
      <c r="E11" s="400"/>
      <c r="F11" s="400"/>
      <c r="G11" s="400"/>
      <c r="H11" s="400"/>
      <c r="I11" s="400"/>
      <c r="J11" s="400"/>
      <c r="K11" s="402"/>
      <c r="L11" s="401"/>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row>
    <row r="12" spans="1:37">
      <c r="A12" s="57" t="s">
        <v>79</v>
      </c>
      <c r="B12" s="402"/>
      <c r="C12" s="400"/>
      <c r="D12" s="400"/>
      <c r="E12" s="400"/>
      <c r="F12" s="400"/>
      <c r="G12" s="400"/>
      <c r="H12" s="400"/>
      <c r="I12" s="400"/>
      <c r="J12" s="400"/>
      <c r="K12" s="402"/>
      <c r="L12" s="401"/>
      <c r="M12" s="534"/>
      <c r="N12" s="534"/>
      <c r="O12" s="534"/>
      <c r="P12" s="534"/>
      <c r="Q12" s="534"/>
      <c r="R12" s="534"/>
      <c r="S12" s="534"/>
      <c r="T12" s="534"/>
      <c r="U12" s="534"/>
      <c r="V12" s="534"/>
      <c r="W12" s="534"/>
      <c r="X12" s="534"/>
      <c r="Y12" s="534"/>
      <c r="Z12" s="534"/>
      <c r="AA12" s="534"/>
      <c r="AB12" s="534"/>
      <c r="AC12" s="534"/>
      <c r="AD12" s="534"/>
      <c r="AE12" s="534"/>
      <c r="AF12" s="534"/>
      <c r="AG12" s="534"/>
      <c r="AH12" s="534"/>
      <c r="AI12" s="534"/>
      <c r="AJ12" s="534"/>
      <c r="AK12" s="534"/>
    </row>
    <row r="13" spans="1:37">
      <c r="A13" s="57" t="s">
        <v>24</v>
      </c>
      <c r="B13" s="332">
        <v>22.273055432643208</v>
      </c>
      <c r="C13" s="332">
        <v>27.821644812554112</v>
      </c>
      <c r="D13" s="332">
        <v>27.880069095901991</v>
      </c>
      <c r="E13" s="332">
        <v>31.033551188957645</v>
      </c>
      <c r="F13" s="332">
        <v>23.517310056456335</v>
      </c>
      <c r="G13" s="332">
        <v>26.521402959300005</v>
      </c>
      <c r="H13" s="332">
        <v>23.188544743200001</v>
      </c>
      <c r="I13" s="332">
        <v>22.487587600000001</v>
      </c>
      <c r="J13" s="332">
        <v>21.482303600000002</v>
      </c>
      <c r="K13" s="542">
        <v>21.731932</v>
      </c>
      <c r="L13" s="603">
        <v>16.138399</v>
      </c>
      <c r="M13" s="604">
        <v>15.315327</v>
      </c>
      <c r="N13" s="604">
        <v>15.608979</v>
      </c>
      <c r="O13" s="604">
        <v>16.461207999999999</v>
      </c>
      <c r="P13" s="604">
        <v>16.538301000000001</v>
      </c>
      <c r="Q13" s="604">
        <v>16.549766999999999</v>
      </c>
      <c r="R13" s="604">
        <v>16.590366</v>
      </c>
      <c r="S13" s="604">
        <v>16.972183000000001</v>
      </c>
      <c r="T13" s="604">
        <v>17.182312</v>
      </c>
      <c r="U13" s="604">
        <v>17.285592999999999</v>
      </c>
      <c r="V13" s="604">
        <v>17.344598999999999</v>
      </c>
      <c r="W13" s="604">
        <v>17.481490999999998</v>
      </c>
      <c r="X13" s="604">
        <v>17.663478999999999</v>
      </c>
      <c r="Y13" s="604">
        <v>17.697727</v>
      </c>
      <c r="Z13" s="604">
        <v>17.780315000000002</v>
      </c>
      <c r="AA13" s="604">
        <v>18.025359999999999</v>
      </c>
      <c r="AB13" s="604">
        <v>18.459869000000001</v>
      </c>
      <c r="AC13" s="604">
        <v>18.865953000000001</v>
      </c>
      <c r="AD13" s="604">
        <v>18.985389999999999</v>
      </c>
      <c r="AE13" s="604">
        <v>19.324473999999999</v>
      </c>
      <c r="AF13" s="604">
        <v>19.499676000000001</v>
      </c>
      <c r="AG13" s="604">
        <v>19.850712000000001</v>
      </c>
      <c r="AH13" s="604">
        <v>20.095026000000001</v>
      </c>
      <c r="AI13" s="604">
        <v>20.484617</v>
      </c>
      <c r="AJ13" s="604">
        <v>21.016912000000001</v>
      </c>
      <c r="AK13" s="604">
        <v>21.370315999999999</v>
      </c>
    </row>
    <row r="14" spans="1:37">
      <c r="A14" s="57" t="s">
        <v>25</v>
      </c>
      <c r="B14" s="332">
        <v>18.336578255962607</v>
      </c>
      <c r="C14" s="332">
        <v>19.362665933700775</v>
      </c>
      <c r="D14" s="332">
        <v>21.16174832675086</v>
      </c>
      <c r="E14" s="332">
        <v>25.764433837219542</v>
      </c>
      <c r="F14" s="332">
        <v>18.926205218183977</v>
      </c>
      <c r="G14" s="332">
        <v>23.231780717700001</v>
      </c>
      <c r="H14" s="332">
        <v>28.271112897599998</v>
      </c>
      <c r="I14" s="332">
        <v>28.130513399999998</v>
      </c>
      <c r="J14" s="332">
        <v>28.057681600000002</v>
      </c>
      <c r="K14" s="542">
        <v>27.081340999999998</v>
      </c>
      <c r="L14" s="603">
        <v>17.792418000000001</v>
      </c>
      <c r="M14" s="604">
        <v>13.958486000000001</v>
      </c>
      <c r="N14" s="604">
        <v>16.839865</v>
      </c>
      <c r="O14" s="604">
        <v>18.212565999999999</v>
      </c>
      <c r="P14" s="604">
        <v>19.097097000000002</v>
      </c>
      <c r="Q14" s="604">
        <v>19.396478999999999</v>
      </c>
      <c r="R14" s="604">
        <v>19.476358000000001</v>
      </c>
      <c r="S14" s="604">
        <v>19.627749999999999</v>
      </c>
      <c r="T14" s="604">
        <v>19.951286</v>
      </c>
      <c r="U14" s="604">
        <v>20.277570999999998</v>
      </c>
      <c r="V14" s="604">
        <v>20.849892000000001</v>
      </c>
      <c r="W14" s="604">
        <v>21.259512000000001</v>
      </c>
      <c r="X14" s="604">
        <v>21.466631</v>
      </c>
      <c r="Y14" s="604">
        <v>21.475238999999998</v>
      </c>
      <c r="Z14" s="604">
        <v>21.800013</v>
      </c>
      <c r="AA14" s="604">
        <v>22.285962999999999</v>
      </c>
      <c r="AB14" s="604">
        <v>22.712361999999999</v>
      </c>
      <c r="AC14" s="604">
        <v>23.149660000000001</v>
      </c>
      <c r="AD14" s="604">
        <v>23.132974999999998</v>
      </c>
      <c r="AE14" s="604">
        <v>23.480051</v>
      </c>
      <c r="AF14" s="604">
        <v>23.598312</v>
      </c>
      <c r="AG14" s="604">
        <v>24.053485999999999</v>
      </c>
      <c r="AH14" s="604">
        <v>24.158957999999998</v>
      </c>
      <c r="AI14" s="604">
        <v>24.228254</v>
      </c>
      <c r="AJ14" s="604">
        <v>24.724878</v>
      </c>
      <c r="AK14" s="604">
        <v>24.972973</v>
      </c>
    </row>
    <row r="15" spans="1:37">
      <c r="A15" s="57" t="s">
        <v>45</v>
      </c>
      <c r="B15" s="332">
        <v>12.921112351189148</v>
      </c>
      <c r="C15" s="332">
        <v>6.0615216361345912</v>
      </c>
      <c r="D15" s="332">
        <v>5.8083483068085409</v>
      </c>
      <c r="E15" s="332">
        <v>10.712581042967264</v>
      </c>
      <c r="F15" s="332">
        <v>6.4120503501815724</v>
      </c>
      <c r="G15" s="332">
        <v>12.935456585700001</v>
      </c>
      <c r="H15" s="332">
        <v>21.757031170800001</v>
      </c>
      <c r="I15" s="332">
        <v>17.627347200000003</v>
      </c>
      <c r="J15" s="332">
        <v>17.024176799999999</v>
      </c>
      <c r="K15" s="542">
        <v>12.55123</v>
      </c>
      <c r="L15" s="603">
        <v>10.757339999999999</v>
      </c>
      <c r="M15" s="604">
        <v>7.947031</v>
      </c>
      <c r="N15" s="604">
        <v>10.335063</v>
      </c>
      <c r="O15" s="604">
        <v>11.402407</v>
      </c>
      <c r="P15" s="604">
        <v>11.842041999999999</v>
      </c>
      <c r="Q15" s="604">
        <v>11.913917</v>
      </c>
      <c r="R15" s="604">
        <v>11.789372999999999</v>
      </c>
      <c r="S15" s="604">
        <v>11.604397000000001</v>
      </c>
      <c r="T15" s="604">
        <v>11.960302</v>
      </c>
      <c r="U15" s="604">
        <v>12.257822000000001</v>
      </c>
      <c r="V15" s="604">
        <v>12.628449</v>
      </c>
      <c r="W15" s="604">
        <v>12.982345</v>
      </c>
      <c r="X15" s="604">
        <v>13.170316</v>
      </c>
      <c r="Y15" s="604">
        <v>13.211285</v>
      </c>
      <c r="Z15" s="604">
        <v>13.439928</v>
      </c>
      <c r="AA15" s="604">
        <v>13.837706000000001</v>
      </c>
      <c r="AB15" s="604">
        <v>14.201988999999999</v>
      </c>
      <c r="AC15" s="604">
        <v>14.543607</v>
      </c>
      <c r="AD15" s="604">
        <v>14.51479</v>
      </c>
      <c r="AE15" s="604">
        <v>14.774229</v>
      </c>
      <c r="AF15" s="604">
        <v>14.911227</v>
      </c>
      <c r="AG15" s="604">
        <v>15.339964999999999</v>
      </c>
      <c r="AH15" s="604">
        <v>15.491289999999999</v>
      </c>
      <c r="AI15" s="604">
        <v>15.535667999999999</v>
      </c>
      <c r="AJ15" s="604">
        <v>15.903947000000001</v>
      </c>
      <c r="AK15" s="604">
        <v>16.106051999999998</v>
      </c>
    </row>
    <row r="16" spans="1:37">
      <c r="A16" s="57" t="s">
        <v>26</v>
      </c>
      <c r="B16" s="332">
        <v>12.4588911739857</v>
      </c>
      <c r="C16" s="332">
        <v>12.138027530451193</v>
      </c>
      <c r="D16" s="332">
        <v>12.253838968934737</v>
      </c>
      <c r="E16" s="332">
        <v>13.109720213375745</v>
      </c>
      <c r="F16" s="332">
        <v>10.911478280941965</v>
      </c>
      <c r="G16" s="332">
        <v>9.4729120800000004</v>
      </c>
      <c r="H16" s="332">
        <v>9.3063090174000003</v>
      </c>
      <c r="I16" s="332">
        <v>8.0032916000000007</v>
      </c>
      <c r="J16" s="332">
        <v>8.1879356000000012</v>
      </c>
      <c r="K16" s="542">
        <v>9.0168049999999997</v>
      </c>
      <c r="L16" s="603">
        <v>8.688383</v>
      </c>
      <c r="M16" s="604">
        <v>8.7766439999999992</v>
      </c>
      <c r="N16" s="604">
        <v>9.9707570000000008</v>
      </c>
      <c r="O16" s="604">
        <v>10.625848</v>
      </c>
      <c r="P16" s="604">
        <v>11.164304</v>
      </c>
      <c r="Q16" s="604">
        <v>11.539618000000001</v>
      </c>
      <c r="R16" s="604">
        <v>11.601402</v>
      </c>
      <c r="S16" s="604">
        <v>11.656807000000001</v>
      </c>
      <c r="T16" s="604">
        <v>11.673728000000001</v>
      </c>
      <c r="U16" s="604">
        <v>11.739784999999999</v>
      </c>
      <c r="V16" s="604">
        <v>13.857659</v>
      </c>
      <c r="W16" s="604">
        <v>14.160024999999999</v>
      </c>
      <c r="X16" s="604">
        <v>14.391781999999999</v>
      </c>
      <c r="Y16" s="604">
        <v>14.532928999999999</v>
      </c>
      <c r="Z16" s="604">
        <v>14.675193</v>
      </c>
      <c r="AA16" s="604">
        <v>14.992053</v>
      </c>
      <c r="AB16" s="604">
        <v>15.064729</v>
      </c>
      <c r="AC16" s="604">
        <v>15.151419000000001</v>
      </c>
      <c r="AD16" s="604">
        <v>15.193144</v>
      </c>
      <c r="AE16" s="604">
        <v>15.237043999999999</v>
      </c>
      <c r="AF16" s="604">
        <v>15.297224999999999</v>
      </c>
      <c r="AG16" s="604">
        <v>15.426815</v>
      </c>
      <c r="AH16" s="604">
        <v>15.457201</v>
      </c>
      <c r="AI16" s="604">
        <v>15.498343</v>
      </c>
      <c r="AJ16" s="604">
        <v>15.612374000000001</v>
      </c>
      <c r="AK16" s="604">
        <v>15.677676999999999</v>
      </c>
    </row>
    <row r="17" spans="1:37">
      <c r="A17" s="77" t="s">
        <v>8</v>
      </c>
      <c r="B17" s="332">
        <v>23.1460737255574</v>
      </c>
      <c r="C17" s="332">
        <v>24.624666882854779</v>
      </c>
      <c r="D17" s="332">
        <v>24.228302186069008</v>
      </c>
      <c r="E17" s="332">
        <v>23.393087422468135</v>
      </c>
      <c r="F17" s="332">
        <v>22.521179950466806</v>
      </c>
      <c r="G17" s="332">
        <v>23.088380996261964</v>
      </c>
      <c r="H17" s="332">
        <v>21.771570740789318</v>
      </c>
      <c r="I17" s="332">
        <v>22.849315103117643</v>
      </c>
      <c r="J17" s="332">
        <v>23.973965877348391</v>
      </c>
      <c r="K17" s="542">
        <v>25.288633935720732</v>
      </c>
      <c r="L17" s="603">
        <v>24.267593195890928</v>
      </c>
      <c r="M17" s="604">
        <v>23.856304843972968</v>
      </c>
      <c r="N17" s="604">
        <v>23.612094789637439</v>
      </c>
      <c r="O17" s="604">
        <v>23.458668324524464</v>
      </c>
      <c r="P17" s="604">
        <v>23.346459971861087</v>
      </c>
      <c r="Q17" s="604">
        <v>23.559162149356453</v>
      </c>
      <c r="R17" s="604">
        <v>23.700117067659207</v>
      </c>
      <c r="S17" s="604">
        <v>25.031756133777684</v>
      </c>
      <c r="T17" s="604">
        <v>25.718459490717702</v>
      </c>
      <c r="U17" s="604">
        <v>25.617129210302995</v>
      </c>
      <c r="V17" s="604">
        <v>26.470836170705379</v>
      </c>
      <c r="W17" s="604">
        <v>27.06709087634222</v>
      </c>
      <c r="X17" s="604">
        <v>27.011498888262459</v>
      </c>
      <c r="Y17" s="604">
        <v>26.892728123621268</v>
      </c>
      <c r="Z17" s="604">
        <v>26.74063192521816</v>
      </c>
      <c r="AA17" s="604">
        <v>26.797302235555158</v>
      </c>
      <c r="AB17" s="604">
        <v>26.874042737393577</v>
      </c>
      <c r="AC17" s="604">
        <v>26.845386278946673</v>
      </c>
      <c r="AD17" s="604">
        <v>26.737203702231017</v>
      </c>
      <c r="AE17" s="604">
        <v>26.752696211230841</v>
      </c>
      <c r="AF17" s="604">
        <v>26.779557046743623</v>
      </c>
      <c r="AG17" s="604">
        <v>26.706491377050682</v>
      </c>
      <c r="AH17" s="604">
        <v>26.646096438488151</v>
      </c>
      <c r="AI17" s="604">
        <v>26.578306782038439</v>
      </c>
      <c r="AJ17" s="604">
        <v>26.528942860827584</v>
      </c>
      <c r="AK17" s="604">
        <v>26.451153084445288</v>
      </c>
    </row>
    <row r="18" spans="1:37">
      <c r="B18" s="400"/>
      <c r="C18" s="400"/>
      <c r="D18" s="400"/>
      <c r="E18" s="400"/>
      <c r="F18" s="400"/>
      <c r="G18" s="400"/>
      <c r="H18" s="400"/>
      <c r="I18" s="400"/>
      <c r="J18" s="400"/>
      <c r="K18" s="402"/>
      <c r="L18" s="401"/>
      <c r="M18" s="534"/>
      <c r="N18" s="534"/>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row>
    <row r="19" spans="1:37">
      <c r="A19" s="57" t="s">
        <v>80</v>
      </c>
      <c r="B19" s="402"/>
      <c r="C19" s="400"/>
      <c r="D19" s="400"/>
      <c r="E19" s="400"/>
      <c r="F19" s="400"/>
      <c r="G19" s="400"/>
      <c r="H19" s="400"/>
      <c r="I19" s="400"/>
      <c r="J19" s="400"/>
      <c r="K19" s="402"/>
      <c r="L19" s="401"/>
      <c r="M19" s="534"/>
      <c r="N19" s="534"/>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row>
    <row r="20" spans="1:37">
      <c r="A20" s="57" t="s">
        <v>24</v>
      </c>
      <c r="B20" s="332">
        <v>21.509851978559478</v>
      </c>
      <c r="C20" s="332">
        <v>26.868314656148534</v>
      </c>
      <c r="D20" s="332">
        <v>28.751324003003155</v>
      </c>
      <c r="E20" s="332">
        <v>26.965483053909633</v>
      </c>
      <c r="F20" s="332">
        <v>21.018354346330199</v>
      </c>
      <c r="G20" s="332">
        <v>29.179118348100001</v>
      </c>
      <c r="H20" s="332">
        <v>23.640283057799998</v>
      </c>
      <c r="I20" s="332">
        <v>21.868004400000004</v>
      </c>
      <c r="J20" s="332">
        <v>20.828869000000001</v>
      </c>
      <c r="K20" s="542">
        <v>18.915478</v>
      </c>
      <c r="L20" s="603">
        <v>12.432567000000001</v>
      </c>
      <c r="M20" s="604">
        <v>11.486302</v>
      </c>
      <c r="N20" s="604">
        <v>11.848228000000001</v>
      </c>
      <c r="O20" s="604">
        <v>12.828082</v>
      </c>
      <c r="P20" s="604">
        <v>12.920494</v>
      </c>
      <c r="Q20" s="604">
        <v>12.938352</v>
      </c>
      <c r="R20" s="604">
        <v>12.989535</v>
      </c>
      <c r="S20" s="604">
        <v>13.427301999999999</v>
      </c>
      <c r="T20" s="604">
        <v>13.668258</v>
      </c>
      <c r="U20" s="604">
        <v>13.786578</v>
      </c>
      <c r="V20" s="604">
        <v>13.854176000000001</v>
      </c>
      <c r="W20" s="604">
        <v>14.010719</v>
      </c>
      <c r="X20" s="604">
        <v>14.219616</v>
      </c>
      <c r="Y20" s="604">
        <v>14.259124999999999</v>
      </c>
      <c r="Z20" s="604">
        <v>14.353853000000001</v>
      </c>
      <c r="AA20" s="604">
        <v>14.634983999999999</v>
      </c>
      <c r="AB20" s="604">
        <v>15.133629000000001</v>
      </c>
      <c r="AC20" s="604">
        <v>15.599702000000001</v>
      </c>
      <c r="AD20" s="604">
        <v>15.736772999999999</v>
      </c>
      <c r="AE20" s="604">
        <v>16.126014999999999</v>
      </c>
      <c r="AF20" s="604">
        <v>16.327082000000001</v>
      </c>
      <c r="AG20" s="604">
        <v>16.730366</v>
      </c>
      <c r="AH20" s="604">
        <v>17.010732999999998</v>
      </c>
      <c r="AI20" s="604">
        <v>17.458054000000001</v>
      </c>
      <c r="AJ20" s="604">
        <v>18.069697999999999</v>
      </c>
      <c r="AK20" s="604">
        <v>18.475657000000002</v>
      </c>
    </row>
    <row r="21" spans="1:37">
      <c r="A21" s="57" t="s">
        <v>25</v>
      </c>
      <c r="B21" s="332">
        <v>19.153648789949461</v>
      </c>
      <c r="C21" s="332">
        <v>20.236741970904106</v>
      </c>
      <c r="D21" s="332">
        <v>21.723221140235491</v>
      </c>
      <c r="E21" s="332">
        <v>25.880665116088384</v>
      </c>
      <c r="F21" s="332">
        <v>19.023063652554338</v>
      </c>
      <c r="G21" s="332">
        <v>23.027341889100001</v>
      </c>
      <c r="H21" s="332">
        <v>28.029164734799998</v>
      </c>
      <c r="I21" s="332">
        <v>27.893553600000001</v>
      </c>
      <c r="J21" s="332">
        <v>27.820721800000001</v>
      </c>
      <c r="K21" s="542">
        <v>26.843142</v>
      </c>
      <c r="L21" s="603">
        <v>17.866862999999999</v>
      </c>
      <c r="M21" s="604">
        <v>14.01432</v>
      </c>
      <c r="N21" s="604">
        <v>16.896211999999998</v>
      </c>
      <c r="O21" s="604">
        <v>18.349035000000001</v>
      </c>
      <c r="P21" s="604">
        <v>19.341232000000002</v>
      </c>
      <c r="Q21" s="604">
        <v>19.743628000000001</v>
      </c>
      <c r="R21" s="604">
        <v>19.923306</v>
      </c>
      <c r="S21" s="604">
        <v>20.201022999999999</v>
      </c>
      <c r="T21" s="604">
        <v>20.521523999999999</v>
      </c>
      <c r="U21" s="604">
        <v>20.844677000000001</v>
      </c>
      <c r="V21" s="604">
        <v>21.422657000000001</v>
      </c>
      <c r="W21" s="604">
        <v>21.825005000000001</v>
      </c>
      <c r="X21" s="604">
        <v>22.040566999999999</v>
      </c>
      <c r="Y21" s="604">
        <v>22.049194</v>
      </c>
      <c r="Z21" s="604">
        <v>22.373788999999999</v>
      </c>
      <c r="AA21" s="604">
        <v>22.863657</v>
      </c>
      <c r="AB21" s="604">
        <v>23.284794000000002</v>
      </c>
      <c r="AC21" s="604">
        <v>23.717953000000001</v>
      </c>
      <c r="AD21" s="604">
        <v>23.703661</v>
      </c>
      <c r="AE21" s="604">
        <v>24.043928000000001</v>
      </c>
      <c r="AF21" s="604">
        <v>24.157205999999999</v>
      </c>
      <c r="AG21" s="604">
        <v>24.601838999999998</v>
      </c>
      <c r="AH21" s="604">
        <v>24.694417999999999</v>
      </c>
      <c r="AI21" s="604">
        <v>24.768744999999999</v>
      </c>
      <c r="AJ21" s="604">
        <v>25.259701</v>
      </c>
      <c r="AK21" s="604">
        <v>25.510573999999998</v>
      </c>
    </row>
    <row r="22" spans="1:37">
      <c r="A22" s="57" t="s">
        <v>31</v>
      </c>
      <c r="B22" s="332">
        <v>12.712094069421742</v>
      </c>
      <c r="C22" s="332">
        <v>8.3987233696777679</v>
      </c>
      <c r="D22" s="332">
        <v>8.0348807831263542</v>
      </c>
      <c r="E22" s="332">
        <v>14.838764238637486</v>
      </c>
      <c r="F22" s="332">
        <v>8.8722638441839781</v>
      </c>
      <c r="G22" s="332">
        <v>12.8982843453</v>
      </c>
      <c r="H22" s="332">
        <v>21.682584618</v>
      </c>
      <c r="I22" s="332">
        <v>17.5545154</v>
      </c>
      <c r="J22" s="332">
        <v>16.969809399999999</v>
      </c>
      <c r="K22" s="542">
        <v>12.514585</v>
      </c>
      <c r="L22" s="603">
        <v>10.701506</v>
      </c>
      <c r="M22" s="604">
        <v>7.9098090000000001</v>
      </c>
      <c r="N22" s="604">
        <v>10.297841</v>
      </c>
      <c r="O22" s="604">
        <v>11.372628000000001</v>
      </c>
      <c r="P22" s="604">
        <v>11.819708</v>
      </c>
      <c r="Q22" s="604">
        <v>11.899029000000001</v>
      </c>
      <c r="R22" s="604">
        <v>11.781928000000001</v>
      </c>
      <c r="S22" s="604">
        <v>11.604397000000001</v>
      </c>
      <c r="T22" s="604">
        <v>11.960302</v>
      </c>
      <c r="U22" s="604">
        <v>12.257822000000001</v>
      </c>
      <c r="V22" s="604">
        <v>12.628449</v>
      </c>
      <c r="W22" s="604">
        <v>12.982345</v>
      </c>
      <c r="X22" s="604">
        <v>13.170316</v>
      </c>
      <c r="Y22" s="604">
        <v>13.211285</v>
      </c>
      <c r="Z22" s="604">
        <v>13.439928</v>
      </c>
      <c r="AA22" s="604">
        <v>13.837706000000001</v>
      </c>
      <c r="AB22" s="604">
        <v>14.201988999999999</v>
      </c>
      <c r="AC22" s="604">
        <v>14.543607</v>
      </c>
      <c r="AD22" s="604">
        <v>14.51479</v>
      </c>
      <c r="AE22" s="604">
        <v>14.774229</v>
      </c>
      <c r="AF22" s="604">
        <v>14.911227</v>
      </c>
      <c r="AG22" s="604">
        <v>15.339964999999999</v>
      </c>
      <c r="AH22" s="604">
        <v>15.491289999999999</v>
      </c>
      <c r="AI22" s="604">
        <v>15.535667999999999</v>
      </c>
      <c r="AJ22" s="604">
        <v>15.903947000000001</v>
      </c>
      <c r="AK22" s="604">
        <v>16.106051999999998</v>
      </c>
    </row>
    <row r="23" spans="1:37">
      <c r="A23" s="57" t="s">
        <v>47</v>
      </c>
      <c r="B23" s="332">
        <v>9.6803827233946027</v>
      </c>
      <c r="C23" s="332">
        <v>8.7916513146663533</v>
      </c>
      <c r="D23" s="332">
        <v>9.4360966899852876</v>
      </c>
      <c r="E23" s="332">
        <v>10.9743303406492</v>
      </c>
      <c r="F23" s="332">
        <v>6.1526683944177361</v>
      </c>
      <c r="G23" s="332">
        <v>6.8424346047000011</v>
      </c>
      <c r="H23" s="332">
        <v>6.6316744380000001</v>
      </c>
      <c r="I23" s="332">
        <v>5.144387</v>
      </c>
      <c r="J23" s="332">
        <v>5.9116854000000005</v>
      </c>
      <c r="K23" s="542">
        <v>6.6199219999999999</v>
      </c>
      <c r="L23" s="603">
        <v>5.25047</v>
      </c>
      <c r="M23" s="604">
        <v>4.7992800000000004</v>
      </c>
      <c r="N23" s="604">
        <v>5.4347750000000001</v>
      </c>
      <c r="O23" s="604">
        <v>5.832662</v>
      </c>
      <c r="P23" s="604">
        <v>6.1491429999999996</v>
      </c>
      <c r="Q23" s="604">
        <v>6.3310240000000002</v>
      </c>
      <c r="R23" s="604">
        <v>6.3808629999999997</v>
      </c>
      <c r="S23" s="604">
        <v>6.3789360000000004</v>
      </c>
      <c r="T23" s="604">
        <v>6.3425830000000003</v>
      </c>
      <c r="U23" s="604">
        <v>6.3622909999999999</v>
      </c>
      <c r="V23" s="604">
        <v>6.4991370000000002</v>
      </c>
      <c r="W23" s="604">
        <v>6.742661</v>
      </c>
      <c r="X23" s="604">
        <v>6.9188219999999996</v>
      </c>
      <c r="Y23" s="604">
        <v>7.0104040000000003</v>
      </c>
      <c r="Z23" s="604">
        <v>7.0751179999999998</v>
      </c>
      <c r="AA23" s="604">
        <v>7.0572400000000002</v>
      </c>
      <c r="AB23" s="604">
        <v>7.0648200000000001</v>
      </c>
      <c r="AC23" s="604">
        <v>7.0725150000000001</v>
      </c>
      <c r="AD23" s="604">
        <v>7.0664480000000003</v>
      </c>
      <c r="AE23" s="604">
        <v>7.0534169999999996</v>
      </c>
      <c r="AF23" s="604">
        <v>7.0554589999999999</v>
      </c>
      <c r="AG23" s="604">
        <v>7.1191389999999997</v>
      </c>
      <c r="AH23" s="604">
        <v>7.1005320000000003</v>
      </c>
      <c r="AI23" s="604">
        <v>7.0942069999999999</v>
      </c>
      <c r="AJ23" s="604">
        <v>7.1669549999999997</v>
      </c>
      <c r="AK23" s="604">
        <v>7.1902889999999999</v>
      </c>
    </row>
    <row r="24" spans="1:37">
      <c r="A24" s="57" t="s">
        <v>36</v>
      </c>
      <c r="B24" s="173" t="s">
        <v>34</v>
      </c>
      <c r="C24" s="173" t="s">
        <v>34</v>
      </c>
      <c r="D24" s="173" t="s">
        <v>34</v>
      </c>
      <c r="E24" s="173" t="s">
        <v>34</v>
      </c>
      <c r="F24" s="173" t="s">
        <v>34</v>
      </c>
      <c r="G24" s="173" t="s">
        <v>34</v>
      </c>
      <c r="H24" s="173" t="s">
        <v>34</v>
      </c>
      <c r="I24" s="332">
        <v>0</v>
      </c>
      <c r="J24" s="332">
        <v>0</v>
      </c>
      <c r="K24" s="542">
        <v>0</v>
      </c>
      <c r="L24" s="603">
        <v>0</v>
      </c>
      <c r="M24" s="604">
        <v>0</v>
      </c>
      <c r="N24" s="604">
        <v>0</v>
      </c>
      <c r="O24" s="604">
        <v>0</v>
      </c>
      <c r="P24" s="604">
        <v>0</v>
      </c>
      <c r="Q24" s="604">
        <v>0</v>
      </c>
      <c r="R24" s="604">
        <v>0</v>
      </c>
      <c r="S24" s="604">
        <v>0</v>
      </c>
      <c r="T24" s="604">
        <v>0</v>
      </c>
      <c r="U24" s="604">
        <v>0</v>
      </c>
      <c r="V24" s="604">
        <v>0</v>
      </c>
      <c r="W24" s="604">
        <v>0</v>
      </c>
      <c r="X24" s="604">
        <v>0</v>
      </c>
      <c r="Y24" s="604">
        <v>0</v>
      </c>
      <c r="Z24" s="604">
        <v>0</v>
      </c>
      <c r="AA24" s="604">
        <v>0</v>
      </c>
      <c r="AB24" s="604">
        <v>0</v>
      </c>
      <c r="AC24" s="604">
        <v>0</v>
      </c>
      <c r="AD24" s="604">
        <v>0</v>
      </c>
      <c r="AE24" s="604">
        <v>0</v>
      </c>
      <c r="AF24" s="604">
        <v>0</v>
      </c>
      <c r="AG24" s="604">
        <v>0</v>
      </c>
      <c r="AH24" s="604">
        <v>0</v>
      </c>
      <c r="AI24" s="604">
        <v>0</v>
      </c>
      <c r="AJ24" s="604">
        <v>0</v>
      </c>
      <c r="AK24" s="604">
        <v>0</v>
      </c>
    </row>
    <row r="25" spans="1:37">
      <c r="A25" s="57" t="s">
        <v>37</v>
      </c>
      <c r="B25" s="173">
        <v>2.6853029392704197</v>
      </c>
      <c r="C25" s="173">
        <v>3.0562250666494064</v>
      </c>
      <c r="D25" s="173">
        <v>2.9300224949548581</v>
      </c>
      <c r="E25" s="173">
        <v>3.7140272312924871</v>
      </c>
      <c r="F25" s="173">
        <v>3.6157993272453006</v>
      </c>
      <c r="G25" s="173">
        <v>3.4432300593000003</v>
      </c>
      <c r="H25" s="332">
        <v>3.5423075435999998</v>
      </c>
      <c r="I25" s="332">
        <v>3.857008</v>
      </c>
      <c r="J25" s="332">
        <v>3.7451957999999999</v>
      </c>
      <c r="K25" s="542">
        <v>3.6507230000000002</v>
      </c>
      <c r="L25" s="603">
        <v>3.8749349999999998</v>
      </c>
      <c r="M25" s="604">
        <v>3.8273779999999999</v>
      </c>
      <c r="N25" s="604">
        <v>3.8268260000000001</v>
      </c>
      <c r="O25" s="604">
        <v>3.8667069999999999</v>
      </c>
      <c r="P25" s="604">
        <v>3.9013140000000002</v>
      </c>
      <c r="Q25" s="604">
        <v>3.9407770000000002</v>
      </c>
      <c r="R25" s="604">
        <v>3.9636279999999999</v>
      </c>
      <c r="S25" s="604">
        <v>3.954329</v>
      </c>
      <c r="T25" s="604">
        <v>3.9790749999999999</v>
      </c>
      <c r="U25" s="604">
        <v>3.9846029999999999</v>
      </c>
      <c r="V25" s="604">
        <v>3.990221</v>
      </c>
      <c r="W25" s="604">
        <v>3.9865740000000001</v>
      </c>
      <c r="X25" s="604">
        <v>3.9756719999999999</v>
      </c>
      <c r="Y25" s="604">
        <v>3.9908769999999998</v>
      </c>
      <c r="Z25" s="604">
        <v>3.9832230000000002</v>
      </c>
      <c r="AA25" s="604">
        <v>3.9915129999999999</v>
      </c>
      <c r="AB25" s="604">
        <v>3.9868350000000001</v>
      </c>
      <c r="AC25" s="604">
        <v>3.9727049999999999</v>
      </c>
      <c r="AD25" s="604">
        <v>3.9477959999999999</v>
      </c>
      <c r="AE25" s="604">
        <v>3.9333209999999998</v>
      </c>
      <c r="AF25" s="604">
        <v>3.9154659999999999</v>
      </c>
      <c r="AG25" s="604">
        <v>3.9068170000000002</v>
      </c>
      <c r="AH25" s="604">
        <v>3.886196</v>
      </c>
      <c r="AI25" s="604">
        <v>3.870892</v>
      </c>
      <c r="AJ25" s="604">
        <v>3.8550049999999998</v>
      </c>
      <c r="AK25" s="604">
        <v>3.8474889999999999</v>
      </c>
    </row>
    <row r="26" spans="1:37">
      <c r="A26" s="57" t="s">
        <v>48</v>
      </c>
      <c r="B26" s="173" t="s">
        <v>34</v>
      </c>
      <c r="C26" s="173" t="s">
        <v>34</v>
      </c>
      <c r="D26" s="173" t="s">
        <v>34</v>
      </c>
      <c r="E26" s="173" t="s">
        <v>34</v>
      </c>
      <c r="F26" s="173" t="s">
        <v>34</v>
      </c>
      <c r="G26" s="173" t="s">
        <v>34</v>
      </c>
      <c r="H26" s="173" t="s">
        <v>34</v>
      </c>
      <c r="I26" s="332">
        <v>0</v>
      </c>
      <c r="J26" s="332">
        <v>0</v>
      </c>
      <c r="K26" s="542">
        <v>0</v>
      </c>
      <c r="L26" s="603">
        <v>0</v>
      </c>
      <c r="M26" s="604">
        <v>0</v>
      </c>
      <c r="N26" s="604">
        <v>0</v>
      </c>
      <c r="O26" s="604">
        <v>0</v>
      </c>
      <c r="P26" s="604">
        <v>0</v>
      </c>
      <c r="Q26" s="604">
        <v>0</v>
      </c>
      <c r="R26" s="604">
        <v>0</v>
      </c>
      <c r="S26" s="604">
        <v>0</v>
      </c>
      <c r="T26" s="604">
        <v>0</v>
      </c>
      <c r="U26" s="604">
        <v>0</v>
      </c>
      <c r="V26" s="604">
        <v>0</v>
      </c>
      <c r="W26" s="604">
        <v>0</v>
      </c>
      <c r="X26" s="604">
        <v>0</v>
      </c>
      <c r="Y26" s="604">
        <v>0</v>
      </c>
      <c r="Z26" s="604">
        <v>0</v>
      </c>
      <c r="AA26" s="604">
        <v>0</v>
      </c>
      <c r="AB26" s="604">
        <v>0</v>
      </c>
      <c r="AC26" s="604">
        <v>0</v>
      </c>
      <c r="AD26" s="604">
        <v>0</v>
      </c>
      <c r="AE26" s="604">
        <v>0</v>
      </c>
      <c r="AF26" s="604">
        <v>0</v>
      </c>
      <c r="AG26" s="604">
        <v>0</v>
      </c>
      <c r="AH26" s="604">
        <v>0</v>
      </c>
      <c r="AI26" s="604">
        <v>0</v>
      </c>
      <c r="AJ26" s="604">
        <v>0</v>
      </c>
      <c r="AK26" s="604">
        <v>0</v>
      </c>
    </row>
    <row r="27" spans="1:37">
      <c r="A27" s="77" t="s">
        <v>8</v>
      </c>
      <c r="B27" s="332">
        <v>14.501129517650607</v>
      </c>
      <c r="C27" s="332">
        <v>14.97593173500983</v>
      </c>
      <c r="D27" s="332">
        <v>14.85010796351723</v>
      </c>
      <c r="E27" s="332">
        <v>14.628858094573284</v>
      </c>
      <c r="F27" s="332">
        <v>13.785994920885091</v>
      </c>
      <c r="G27" s="332">
        <v>13.017621405478318</v>
      </c>
      <c r="H27" s="332">
        <v>12.499403010805048</v>
      </c>
      <c r="I27" s="332">
        <v>13.049445744021567</v>
      </c>
      <c r="J27" s="332">
        <v>13.632119706637743</v>
      </c>
      <c r="K27" s="542">
        <v>14.718766471786052</v>
      </c>
      <c r="L27" s="603">
        <v>13.843275449555321</v>
      </c>
      <c r="M27" s="604">
        <v>14.181054976762834</v>
      </c>
      <c r="N27" s="604">
        <v>14.0290468628799</v>
      </c>
      <c r="O27" s="604">
        <v>13.644405434298529</v>
      </c>
      <c r="P27" s="604">
        <v>13.494403849575354</v>
      </c>
      <c r="Q27" s="604">
        <v>13.691011030929845</v>
      </c>
      <c r="R27" s="604">
        <v>13.7784543463508</v>
      </c>
      <c r="S27" s="604">
        <v>14.958264389957447</v>
      </c>
      <c r="T27" s="604">
        <v>15.211872316465564</v>
      </c>
      <c r="U27" s="604">
        <v>15.110581907573412</v>
      </c>
      <c r="V27" s="604">
        <v>15.888700130412904</v>
      </c>
      <c r="W27" s="604">
        <v>16.158483336898197</v>
      </c>
      <c r="X27" s="604">
        <v>16.118702492246143</v>
      </c>
      <c r="Y27" s="604">
        <v>16.067664661610792</v>
      </c>
      <c r="Z27" s="604">
        <v>15.992474448811985</v>
      </c>
      <c r="AA27" s="604">
        <v>16.072427743170937</v>
      </c>
      <c r="AB27" s="604">
        <v>16.133096403205915</v>
      </c>
      <c r="AC27" s="604">
        <v>16.124986553543422</v>
      </c>
      <c r="AD27" s="604">
        <v>16.081705770624151</v>
      </c>
      <c r="AE27" s="604">
        <v>16.128516615276389</v>
      </c>
      <c r="AF27" s="604">
        <v>16.150885586153574</v>
      </c>
      <c r="AG27" s="604">
        <v>16.130417457022389</v>
      </c>
      <c r="AH27" s="604">
        <v>16.106392206095776</v>
      </c>
      <c r="AI27" s="604">
        <v>16.076075745930854</v>
      </c>
      <c r="AJ27" s="604">
        <v>16.065051068030943</v>
      </c>
      <c r="AK27" s="604">
        <v>16.029046889077293</v>
      </c>
    </row>
    <row r="28" spans="1:37">
      <c r="B28" s="402"/>
      <c r="C28" s="402"/>
      <c r="D28" s="400"/>
      <c r="E28" s="400"/>
      <c r="F28" s="400"/>
      <c r="G28" s="400"/>
      <c r="H28" s="400"/>
      <c r="I28" s="400"/>
      <c r="J28" s="400"/>
      <c r="K28" s="402"/>
      <c r="L28" s="401"/>
      <c r="M28" s="534"/>
      <c r="N28" s="534"/>
      <c r="O28" s="534"/>
      <c r="P28" s="534"/>
      <c r="Q28" s="534"/>
      <c r="R28" s="534"/>
      <c r="S28" s="534"/>
      <c r="T28" s="534"/>
      <c r="U28" s="534"/>
      <c r="V28" s="534"/>
      <c r="W28" s="534"/>
      <c r="X28" s="534"/>
      <c r="Y28" s="534"/>
      <c r="Z28" s="534"/>
      <c r="AA28" s="534"/>
      <c r="AB28" s="534"/>
      <c r="AC28" s="534"/>
      <c r="AD28" s="534"/>
      <c r="AE28" s="534"/>
      <c r="AF28" s="534"/>
      <c r="AG28" s="534"/>
      <c r="AH28" s="534"/>
      <c r="AI28" s="534"/>
      <c r="AJ28" s="534"/>
      <c r="AK28" s="534"/>
    </row>
    <row r="29" spans="1:37">
      <c r="A29" s="57" t="s">
        <v>81</v>
      </c>
      <c r="B29" s="402"/>
      <c r="C29" s="402"/>
      <c r="D29" s="400"/>
      <c r="E29" s="400"/>
      <c r="F29" s="400"/>
      <c r="G29" s="400"/>
      <c r="H29" s="400"/>
      <c r="I29" s="400"/>
      <c r="J29" s="400"/>
      <c r="K29" s="402"/>
      <c r="L29" s="401"/>
      <c r="M29" s="534"/>
      <c r="N29" s="534"/>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row>
    <row r="30" spans="1:37">
      <c r="A30" s="57" t="s">
        <v>49</v>
      </c>
      <c r="B30" s="332">
        <v>23.581029927118582</v>
      </c>
      <c r="C30" s="332">
        <v>25.158165491875451</v>
      </c>
      <c r="D30" s="332">
        <v>26.679676788537343</v>
      </c>
      <c r="E30" s="332">
        <v>33.455022466836319</v>
      </c>
      <c r="F30" s="332">
        <v>28.166532270599728</v>
      </c>
      <c r="G30" s="332">
        <v>33.068190690999998</v>
      </c>
      <c r="H30" s="332">
        <v>27.4650159696</v>
      </c>
      <c r="I30" s="332">
        <v>25.942482000000002</v>
      </c>
      <c r="J30" s="332">
        <v>25.177235200000002</v>
      </c>
      <c r="K30" s="542">
        <v>24.355412999999999</v>
      </c>
      <c r="L30" s="603">
        <v>18.216526000000002</v>
      </c>
      <c r="M30" s="604">
        <v>17.299603999999999</v>
      </c>
      <c r="N30" s="604">
        <v>17.650607999999998</v>
      </c>
      <c r="O30" s="604">
        <v>18.605160000000001</v>
      </c>
      <c r="P30" s="604">
        <v>18.690365</v>
      </c>
      <c r="Q30" s="604">
        <v>18.707858999999999</v>
      </c>
      <c r="R30" s="604">
        <v>18.758209000000001</v>
      </c>
      <c r="S30" s="604">
        <v>19.184408000000001</v>
      </c>
      <c r="T30" s="604">
        <v>19.41947</v>
      </c>
      <c r="U30" s="604">
        <v>19.535150999999999</v>
      </c>
      <c r="V30" s="604">
        <v>19.601759000000001</v>
      </c>
      <c r="W30" s="604">
        <v>19.754528000000001</v>
      </c>
      <c r="X30" s="604">
        <v>19.958030999999998</v>
      </c>
      <c r="Y30" s="604">
        <v>19.996813</v>
      </c>
      <c r="Z30" s="604">
        <v>20.089216</v>
      </c>
      <c r="AA30" s="604">
        <v>20.362749000000001</v>
      </c>
      <c r="AB30" s="604">
        <v>20.847705999999999</v>
      </c>
      <c r="AC30" s="604">
        <v>21.300920000000001</v>
      </c>
      <c r="AD30" s="604">
        <v>21.434460000000001</v>
      </c>
      <c r="AE30" s="604">
        <v>21.813168999999998</v>
      </c>
      <c r="AF30" s="604">
        <v>22.008963000000001</v>
      </c>
      <c r="AG30" s="604">
        <v>22.401496999999999</v>
      </c>
      <c r="AH30" s="604">
        <v>22.674564</v>
      </c>
      <c r="AI30" s="604">
        <v>23.109878999999999</v>
      </c>
      <c r="AJ30" s="604">
        <v>23.705331999999999</v>
      </c>
      <c r="AK30" s="604">
        <v>24.100688999999999</v>
      </c>
    </row>
    <row r="31" spans="1:37">
      <c r="A31" s="57" t="s">
        <v>50</v>
      </c>
      <c r="B31" s="332">
        <v>28.50245344808981</v>
      </c>
      <c r="C31" s="332">
        <v>31.960750134705297</v>
      </c>
      <c r="D31" s="332">
        <v>33.572252010082465</v>
      </c>
      <c r="E31" s="332">
        <v>33.59062427495482</v>
      </c>
      <c r="F31" s="332">
        <v>30.529886172607366</v>
      </c>
      <c r="G31" s="332">
        <v>29.803621808999999</v>
      </c>
      <c r="H31" s="332">
        <v>48.911446820999998</v>
      </c>
      <c r="I31" s="332">
        <v>38.798833399999999</v>
      </c>
      <c r="J31" s="332">
        <v>36.077386000000004</v>
      </c>
      <c r="K31" s="542">
        <v>36.462696000000001</v>
      </c>
      <c r="L31" s="603">
        <v>30.690058000000001</v>
      </c>
      <c r="M31" s="604">
        <v>27.954194999999999</v>
      </c>
      <c r="N31" s="604">
        <v>34.120350000000002</v>
      </c>
      <c r="O31" s="604">
        <v>32.227916999999998</v>
      </c>
      <c r="P31" s="604">
        <v>34.42548</v>
      </c>
      <c r="Q31" s="604">
        <v>35.317520000000002</v>
      </c>
      <c r="R31" s="604">
        <v>35.254092999999997</v>
      </c>
      <c r="S31" s="604">
        <v>33.672984999999997</v>
      </c>
      <c r="T31" s="604">
        <v>32.554070000000003</v>
      </c>
      <c r="U31" s="604">
        <v>32.938308999999997</v>
      </c>
      <c r="V31" s="604">
        <v>32.758602000000003</v>
      </c>
      <c r="W31" s="604">
        <v>32.645763000000002</v>
      </c>
      <c r="X31" s="604">
        <v>31.062586</v>
      </c>
      <c r="Y31" s="604">
        <v>30.326785999999998</v>
      </c>
      <c r="Z31" s="604">
        <v>30.372910999999998</v>
      </c>
      <c r="AA31" s="604">
        <v>30.117811</v>
      </c>
      <c r="AB31" s="604">
        <v>30.378094000000001</v>
      </c>
      <c r="AC31" s="604">
        <v>30.691210000000002</v>
      </c>
      <c r="AD31" s="604">
        <v>30.433819</v>
      </c>
      <c r="AE31" s="604">
        <v>30.725811</v>
      </c>
      <c r="AF31" s="604">
        <v>31.240627</v>
      </c>
      <c r="AG31" s="604">
        <v>32.576552999999997</v>
      </c>
      <c r="AH31" s="604">
        <v>33.557670999999999</v>
      </c>
      <c r="AI31" s="604">
        <v>33.670437</v>
      </c>
      <c r="AJ31" s="604">
        <v>34.683104999999998</v>
      </c>
      <c r="AK31" s="604">
        <v>34.997695999999998</v>
      </c>
    </row>
    <row r="32" spans="1:37">
      <c r="A32" s="57" t="s">
        <v>51</v>
      </c>
      <c r="B32" s="332">
        <v>25.215170995092052</v>
      </c>
      <c r="C32" s="332">
        <v>26.545286505964025</v>
      </c>
      <c r="D32" s="332">
        <v>28.731961754408683</v>
      </c>
      <c r="E32" s="332">
        <v>31.537219678181152</v>
      </c>
      <c r="F32" s="332">
        <v>22.548723397503924</v>
      </c>
      <c r="G32" s="332">
        <v>26.558251523999999</v>
      </c>
      <c r="H32" s="332">
        <v>32.520299452742321</v>
      </c>
      <c r="I32" s="332">
        <v>31.700946531883368</v>
      </c>
      <c r="J32" s="332">
        <v>30.011539011306155</v>
      </c>
      <c r="K32" s="542">
        <v>28.640116270973003</v>
      </c>
      <c r="L32" s="603">
        <v>20.793419703219829</v>
      </c>
      <c r="M32" s="604">
        <v>19.229570622218059</v>
      </c>
      <c r="N32" s="604">
        <v>19.946815634542993</v>
      </c>
      <c r="O32" s="604">
        <v>19.108631234567177</v>
      </c>
      <c r="P32" s="604">
        <v>20.883851721260562</v>
      </c>
      <c r="Q32" s="604">
        <v>21.824873082891568</v>
      </c>
      <c r="R32" s="604">
        <v>22.692326921373041</v>
      </c>
      <c r="S32" s="604">
        <v>23.549245372204567</v>
      </c>
      <c r="T32" s="604">
        <v>23.699293177152484</v>
      </c>
      <c r="U32" s="604">
        <v>23.938508393294931</v>
      </c>
      <c r="V32" s="604">
        <v>24.556309390860669</v>
      </c>
      <c r="W32" s="604">
        <v>24.959057938173274</v>
      </c>
      <c r="X32" s="604">
        <v>24.971448903560695</v>
      </c>
      <c r="Y32" s="604">
        <v>24.883878286018351</v>
      </c>
      <c r="Z32" s="604">
        <v>25.097087618508496</v>
      </c>
      <c r="AA32" s="604">
        <v>25.536486701514917</v>
      </c>
      <c r="AB32" s="604">
        <v>25.915632223330093</v>
      </c>
      <c r="AC32" s="604">
        <v>26.295560806618155</v>
      </c>
      <c r="AD32" s="604">
        <v>26.216228149124152</v>
      </c>
      <c r="AE32" s="604">
        <v>26.517064648271575</v>
      </c>
      <c r="AF32" s="604">
        <v>26.659554999469503</v>
      </c>
      <c r="AG32" s="604">
        <v>27.183828553233397</v>
      </c>
      <c r="AH32" s="604">
        <v>27.347004378982025</v>
      </c>
      <c r="AI32" s="604">
        <v>27.397059930293768</v>
      </c>
      <c r="AJ32" s="604">
        <v>28.01503440904261</v>
      </c>
      <c r="AK32" s="604">
        <v>28.248574586040647</v>
      </c>
    </row>
    <row r="33" spans="1:37">
      <c r="A33" s="57" t="s">
        <v>52</v>
      </c>
      <c r="B33" s="332">
        <v>16.702437187989137</v>
      </c>
      <c r="C33" s="332">
        <v>17.975547195644388</v>
      </c>
      <c r="D33" s="332">
        <v>18.52862945579167</v>
      </c>
      <c r="E33" s="332">
        <v>26.326216229440853</v>
      </c>
      <c r="F33" s="332">
        <v>14.548188935526408</v>
      </c>
      <c r="G33" s="332">
        <v>18.012754261000001</v>
      </c>
      <c r="H33" s="332">
        <v>23.841538827600001</v>
      </c>
      <c r="I33" s="332">
        <v>23.3636208</v>
      </c>
      <c r="J33" s="332">
        <v>22.157280000000004</v>
      </c>
      <c r="K33" s="542">
        <v>20.741593999999999</v>
      </c>
      <c r="L33" s="603">
        <v>12.171799999999999</v>
      </c>
      <c r="M33" s="604">
        <v>9.7151060000000005</v>
      </c>
      <c r="N33" s="604">
        <v>11.875356999999999</v>
      </c>
      <c r="O33" s="604">
        <v>13.669166000000001</v>
      </c>
      <c r="P33" s="604">
        <v>14.946509000000001</v>
      </c>
      <c r="Q33" s="604">
        <v>15.655082999999999</v>
      </c>
      <c r="R33" s="604">
        <v>16.133091</v>
      </c>
      <c r="S33" s="604">
        <v>16.560133</v>
      </c>
      <c r="T33" s="604">
        <v>16.979164000000001</v>
      </c>
      <c r="U33" s="604">
        <v>17.378375999999999</v>
      </c>
      <c r="V33" s="604">
        <v>18.085284999999999</v>
      </c>
      <c r="W33" s="604">
        <v>18.503298000000001</v>
      </c>
      <c r="X33" s="604">
        <v>18.723679000000001</v>
      </c>
      <c r="Y33" s="604">
        <v>18.761206000000001</v>
      </c>
      <c r="Z33" s="604">
        <v>19.10079</v>
      </c>
      <c r="AA33" s="604">
        <v>19.650037999999999</v>
      </c>
      <c r="AB33" s="604">
        <v>20.115687999999999</v>
      </c>
      <c r="AC33" s="604">
        <v>20.592216000000001</v>
      </c>
      <c r="AD33" s="604">
        <v>20.603041000000001</v>
      </c>
      <c r="AE33" s="604">
        <v>20.992868000000001</v>
      </c>
      <c r="AF33" s="604">
        <v>21.154083</v>
      </c>
      <c r="AG33" s="604">
        <v>21.658225999999999</v>
      </c>
      <c r="AH33" s="604">
        <v>21.824884000000001</v>
      </c>
      <c r="AI33" s="604">
        <v>21.938428999999999</v>
      </c>
      <c r="AJ33" s="604">
        <v>22.449224000000001</v>
      </c>
      <c r="AK33" s="604">
        <v>22.748622999999998</v>
      </c>
    </row>
    <row r="34" spans="1:37">
      <c r="A34" s="57" t="s">
        <v>53</v>
      </c>
      <c r="B34" s="332">
        <v>23.581029927118582</v>
      </c>
      <c r="C34" s="332">
        <v>24.455105964321913</v>
      </c>
      <c r="D34" s="332">
        <v>25.885869718822821</v>
      </c>
      <c r="E34" s="332">
        <v>33.59062427495482</v>
      </c>
      <c r="F34" s="332">
        <v>21.580136738551513</v>
      </c>
      <c r="G34" s="332">
        <v>24.676323889999999</v>
      </c>
      <c r="H34" s="332">
        <v>29.8158830466</v>
      </c>
      <c r="I34" s="332">
        <v>28.990683132407945</v>
      </c>
      <c r="J34" s="332">
        <v>28.300006174169095</v>
      </c>
      <c r="K34" s="542">
        <v>27.189613730608126</v>
      </c>
      <c r="L34" s="603">
        <v>19.487834277933494</v>
      </c>
      <c r="M34" s="604">
        <v>16.794656061523451</v>
      </c>
      <c r="N34" s="604">
        <v>19.170310167492154</v>
      </c>
      <c r="O34" s="604">
        <v>21.011002027549122</v>
      </c>
      <c r="P34" s="604">
        <v>22.555384175379807</v>
      </c>
      <c r="Q34" s="604">
        <v>23.499205290501365</v>
      </c>
      <c r="R34" s="604">
        <v>24.182183600566088</v>
      </c>
      <c r="S34" s="604">
        <v>25.009892425734044</v>
      </c>
      <c r="T34" s="604">
        <v>25.321122031878939</v>
      </c>
      <c r="U34" s="604">
        <v>25.641623134400344</v>
      </c>
      <c r="V34" s="604">
        <v>26.35642784335565</v>
      </c>
      <c r="W34" s="604">
        <v>26.741798470389035</v>
      </c>
      <c r="X34" s="604">
        <v>26.988970025572954</v>
      </c>
      <c r="Y34" s="604">
        <v>26.982729706918541</v>
      </c>
      <c r="Z34" s="604">
        <v>27.268205908721999</v>
      </c>
      <c r="AA34" s="604">
        <v>27.769040807497827</v>
      </c>
      <c r="AB34" s="604">
        <v>28.158233774785742</v>
      </c>
      <c r="AC34" s="604">
        <v>28.567533683255704</v>
      </c>
      <c r="AD34" s="604">
        <v>28.567037514088049</v>
      </c>
      <c r="AE34" s="604">
        <v>28.87768777260834</v>
      </c>
      <c r="AF34" s="604">
        <v>28.973128281625691</v>
      </c>
      <c r="AG34" s="604">
        <v>29.357884742145508</v>
      </c>
      <c r="AH34" s="604">
        <v>29.423053128787718</v>
      </c>
      <c r="AI34" s="604">
        <v>29.505481045248274</v>
      </c>
      <c r="AJ34" s="604">
        <v>29.965875738881788</v>
      </c>
      <c r="AK34" s="604">
        <v>30.227452642180825</v>
      </c>
    </row>
    <row r="35" spans="1:37">
      <c r="A35" s="57" t="s">
        <v>31</v>
      </c>
      <c r="B35" s="332">
        <v>10.868934719680732</v>
      </c>
      <c r="C35" s="332">
        <v>11.781013667017787</v>
      </c>
      <c r="D35" s="332">
        <v>11.945835170871824</v>
      </c>
      <c r="E35" s="332">
        <v>20.824636319965069</v>
      </c>
      <c r="F35" s="332">
        <v>11.526194206927102</v>
      </c>
      <c r="G35" s="332">
        <v>15.439504906</v>
      </c>
      <c r="H35" s="332">
        <v>25.107132314400001</v>
      </c>
      <c r="I35" s="332">
        <v>20.331356</v>
      </c>
      <c r="J35" s="332">
        <v>19.161000000000001</v>
      </c>
      <c r="K35" s="542">
        <v>14.493463999999999</v>
      </c>
      <c r="L35" s="603">
        <v>12.395135</v>
      </c>
      <c r="M35" s="604">
        <v>9.1753780000000003</v>
      </c>
      <c r="N35" s="604">
        <v>13.310041999999999</v>
      </c>
      <c r="O35" s="604">
        <v>14.858275000000001</v>
      </c>
      <c r="P35" s="604">
        <v>15.823249000000001</v>
      </c>
      <c r="Q35" s="604">
        <v>16.426839999999999</v>
      </c>
      <c r="R35" s="604">
        <v>16.86834</v>
      </c>
      <c r="S35" s="604">
        <v>17.242760000000001</v>
      </c>
      <c r="T35" s="604">
        <v>17.527514</v>
      </c>
      <c r="U35" s="604">
        <v>17.794857</v>
      </c>
      <c r="V35" s="604">
        <v>18.118876</v>
      </c>
      <c r="W35" s="604">
        <v>18.448839</v>
      </c>
      <c r="X35" s="604">
        <v>18.599951000000001</v>
      </c>
      <c r="Y35" s="604">
        <v>18.673342000000002</v>
      </c>
      <c r="Z35" s="604">
        <v>18.872679000000002</v>
      </c>
      <c r="AA35" s="604">
        <v>19.236616000000001</v>
      </c>
      <c r="AB35" s="604">
        <v>19.591750999999999</v>
      </c>
      <c r="AC35" s="604">
        <v>19.913321</v>
      </c>
      <c r="AD35" s="604">
        <v>19.92173</v>
      </c>
      <c r="AE35" s="604">
        <v>20.173765</v>
      </c>
      <c r="AF35" s="604">
        <v>20.294212000000002</v>
      </c>
      <c r="AG35" s="604">
        <v>20.707992999999998</v>
      </c>
      <c r="AH35" s="604">
        <v>20.834688</v>
      </c>
      <c r="AI35" s="604">
        <v>20.897652000000001</v>
      </c>
      <c r="AJ35" s="604">
        <v>21.215458000000002</v>
      </c>
      <c r="AK35" s="604">
        <v>21.390467000000001</v>
      </c>
    </row>
    <row r="36" spans="1:37">
      <c r="A36" s="57" t="s">
        <v>54</v>
      </c>
      <c r="B36" s="332">
        <v>14.347516543540372</v>
      </c>
      <c r="C36" s="332">
        <v>13.450918029411255</v>
      </c>
      <c r="D36" s="332">
        <v>12.714585281051809</v>
      </c>
      <c r="E36" s="332">
        <v>15.022166673886632</v>
      </c>
      <c r="F36" s="332">
        <v>10.607329831625647</v>
      </c>
      <c r="G36" s="332">
        <v>15.702759674999999</v>
      </c>
      <c r="H36" s="332">
        <v>16.275761133</v>
      </c>
      <c r="I36" s="332">
        <v>15.559334399999999</v>
      </c>
      <c r="J36" s="332">
        <v>14.978999999999999</v>
      </c>
      <c r="K36" s="542">
        <v>19.085505000000001</v>
      </c>
      <c r="L36" s="603">
        <v>17.802188999999998</v>
      </c>
      <c r="M36" s="604">
        <v>17.863205000000001</v>
      </c>
      <c r="N36" s="604">
        <v>18.450082999999999</v>
      </c>
      <c r="O36" s="604">
        <v>18.835604</v>
      </c>
      <c r="P36" s="604">
        <v>19.107502</v>
      </c>
      <c r="Q36" s="604">
        <v>19.106511999999999</v>
      </c>
      <c r="R36" s="604">
        <v>19.067150000000002</v>
      </c>
      <c r="S36" s="604">
        <v>18.973051000000002</v>
      </c>
      <c r="T36" s="604">
        <v>18.79776</v>
      </c>
      <c r="U36" s="604">
        <v>18.667152000000002</v>
      </c>
      <c r="V36" s="604">
        <v>21.283902999999999</v>
      </c>
      <c r="W36" s="604">
        <v>21.361225000000001</v>
      </c>
      <c r="X36" s="604">
        <v>21.320592999999999</v>
      </c>
      <c r="Y36" s="604">
        <v>21.180084000000001</v>
      </c>
      <c r="Z36" s="604">
        <v>21.029344999999999</v>
      </c>
      <c r="AA36" s="604">
        <v>21.190805000000001</v>
      </c>
      <c r="AB36" s="604">
        <v>21.034020999999999</v>
      </c>
      <c r="AC36" s="604">
        <v>20.902248</v>
      </c>
      <c r="AD36" s="604">
        <v>20.756823000000001</v>
      </c>
      <c r="AE36" s="604">
        <v>20.589863000000001</v>
      </c>
      <c r="AF36" s="604">
        <v>20.446325000000002</v>
      </c>
      <c r="AG36" s="604">
        <v>20.407530000000001</v>
      </c>
      <c r="AH36" s="604">
        <v>20.299173</v>
      </c>
      <c r="AI36" s="604">
        <v>20.206322</v>
      </c>
      <c r="AJ36" s="604">
        <v>20.205228999999999</v>
      </c>
      <c r="AK36" s="604">
        <v>20.160499999999999</v>
      </c>
    </row>
    <row r="37" spans="1:37">
      <c r="A37" s="77" t="s">
        <v>8</v>
      </c>
      <c r="B37" s="332">
        <v>25.273055569087418</v>
      </c>
      <c r="C37" s="332">
        <v>23.968927249238199</v>
      </c>
      <c r="D37" s="332">
        <v>23.728557758441507</v>
      </c>
      <c r="E37" s="332">
        <v>24.586978211291097</v>
      </c>
      <c r="F37" s="332">
        <v>23.563944028004737</v>
      </c>
      <c r="G37" s="332">
        <v>25.051514399860356</v>
      </c>
      <c r="H37" s="332">
        <v>24.211661054755247</v>
      </c>
      <c r="I37" s="332">
        <v>21.242036654265814</v>
      </c>
      <c r="J37" s="332">
        <v>21.485177834325871</v>
      </c>
      <c r="K37" s="542">
        <v>22.631162053794682</v>
      </c>
      <c r="L37" s="603">
        <v>20.007384967778716</v>
      </c>
      <c r="M37" s="604">
        <v>26.250685393043039</v>
      </c>
      <c r="N37" s="604">
        <v>27.63484648184928</v>
      </c>
      <c r="O37" s="604">
        <v>27.997761123227132</v>
      </c>
      <c r="P37" s="604">
        <v>29.114471061975564</v>
      </c>
      <c r="Q37" s="604">
        <v>30.247016690939933</v>
      </c>
      <c r="R37" s="604">
        <v>31.412138779170942</v>
      </c>
      <c r="S37" s="604">
        <v>33.033030785446741</v>
      </c>
      <c r="T37" s="604">
        <v>34.687808319593621</v>
      </c>
      <c r="U37" s="604">
        <v>34.929998768985179</v>
      </c>
      <c r="V37" s="604">
        <v>35.564234357161602</v>
      </c>
      <c r="W37" s="604">
        <v>36.544716110571315</v>
      </c>
      <c r="X37" s="604">
        <v>36.526052491967903</v>
      </c>
      <c r="Y37" s="604">
        <v>36.374284166823664</v>
      </c>
      <c r="Z37" s="604">
        <v>36.152936754529634</v>
      </c>
      <c r="AA37" s="604">
        <v>36.066075410286999</v>
      </c>
      <c r="AB37" s="604">
        <v>36.076922181224859</v>
      </c>
      <c r="AC37" s="604">
        <v>36.024887590141169</v>
      </c>
      <c r="AD37" s="604">
        <v>35.814221809107231</v>
      </c>
      <c r="AE37" s="604">
        <v>35.669502042312253</v>
      </c>
      <c r="AF37" s="604">
        <v>35.65116303303251</v>
      </c>
      <c r="AG37" s="604">
        <v>35.490626712379111</v>
      </c>
      <c r="AH37" s="604">
        <v>35.370615526898533</v>
      </c>
      <c r="AI37" s="604">
        <v>35.204809620390265</v>
      </c>
      <c r="AJ37" s="604">
        <v>35.053384332173231</v>
      </c>
      <c r="AK37" s="604">
        <v>34.878448256871081</v>
      </c>
    </row>
    <row r="38" spans="1:37">
      <c r="B38" s="402"/>
      <c r="C38" s="402"/>
      <c r="D38" s="400"/>
      <c r="E38" s="400"/>
      <c r="F38" s="400"/>
      <c r="G38" s="400"/>
      <c r="H38" s="400"/>
      <c r="I38" s="400"/>
      <c r="J38" s="400"/>
      <c r="K38" s="402"/>
      <c r="L38" s="401"/>
      <c r="M38" s="534"/>
      <c r="N38" s="534"/>
      <c r="O38" s="534"/>
      <c r="P38" s="534"/>
      <c r="Q38" s="534"/>
      <c r="R38" s="534"/>
      <c r="S38" s="534"/>
      <c r="T38" s="534"/>
      <c r="U38" s="534"/>
      <c r="V38" s="534"/>
      <c r="W38" s="534"/>
      <c r="X38" s="534"/>
      <c r="Y38" s="534"/>
      <c r="Z38" s="534"/>
      <c r="AA38" s="534"/>
      <c r="AB38" s="534"/>
      <c r="AC38" s="534"/>
      <c r="AD38" s="534"/>
      <c r="AE38" s="534"/>
      <c r="AF38" s="534"/>
      <c r="AG38" s="534"/>
      <c r="AH38" s="534"/>
      <c r="AI38" s="534"/>
      <c r="AJ38" s="534"/>
      <c r="AK38" s="534"/>
    </row>
    <row r="39" spans="1:37">
      <c r="A39" s="57" t="s">
        <v>456</v>
      </c>
      <c r="B39" s="403" t="s">
        <v>439</v>
      </c>
      <c r="C39" s="403"/>
      <c r="D39" s="403"/>
      <c r="E39" s="403"/>
      <c r="F39" s="403"/>
      <c r="G39" s="403"/>
      <c r="H39" s="403"/>
      <c r="I39" s="403"/>
      <c r="J39" s="400"/>
      <c r="K39" s="402"/>
      <c r="L39" s="401"/>
      <c r="M39" s="534"/>
      <c r="N39" s="534"/>
      <c r="O39" s="534"/>
      <c r="P39" s="534"/>
      <c r="Q39" s="534"/>
      <c r="R39" s="534"/>
      <c r="S39" s="534"/>
      <c r="T39" s="534"/>
      <c r="U39" s="534"/>
      <c r="V39" s="534"/>
      <c r="W39" s="534"/>
      <c r="X39" s="534"/>
      <c r="Y39" s="534"/>
      <c r="Z39" s="534"/>
      <c r="AA39" s="534"/>
      <c r="AB39" s="534"/>
      <c r="AC39" s="534"/>
      <c r="AD39" s="534"/>
      <c r="AE39" s="534"/>
      <c r="AF39" s="534"/>
      <c r="AG39" s="534"/>
      <c r="AH39" s="534"/>
      <c r="AI39" s="534"/>
      <c r="AJ39" s="534"/>
      <c r="AK39" s="534"/>
    </row>
    <row r="40" spans="1:37">
      <c r="A40" s="57" t="s">
        <v>25</v>
      </c>
      <c r="B40" s="332">
        <v>16.854451104556041</v>
      </c>
      <c r="C40" s="332">
        <v>17.804532962026791</v>
      </c>
      <c r="D40" s="332">
        <v>19.128826766465245</v>
      </c>
      <c r="E40" s="332">
        <v>22.761811953118713</v>
      </c>
      <c r="F40" s="332">
        <v>16.737196498042987</v>
      </c>
      <c r="G40" s="332">
        <v>20.931666121999999</v>
      </c>
      <c r="H40" s="332">
        <v>24.660451953000003</v>
      </c>
      <c r="I40" s="332">
        <v>24.550471399999999</v>
      </c>
      <c r="J40" s="332">
        <v>24.4776396</v>
      </c>
      <c r="K40" s="542">
        <v>23.618300999999999</v>
      </c>
      <c r="L40" s="603">
        <v>15.726561</v>
      </c>
      <c r="M40" s="604">
        <v>12.320690000000001</v>
      </c>
      <c r="N40" s="604">
        <v>14.882042999999999</v>
      </c>
      <c r="O40" s="604">
        <v>16.619285999999999</v>
      </c>
      <c r="P40" s="604">
        <v>17.699532999999999</v>
      </c>
      <c r="Q40" s="604">
        <v>18.223177</v>
      </c>
      <c r="R40" s="604">
        <v>18.546994999999999</v>
      </c>
      <c r="S40" s="604">
        <v>18.779710999999999</v>
      </c>
      <c r="T40" s="604">
        <v>19.121839999999999</v>
      </c>
      <c r="U40" s="604">
        <v>19.467312</v>
      </c>
      <c r="V40" s="604">
        <v>20.004954999999999</v>
      </c>
      <c r="W40" s="604">
        <v>20.459139</v>
      </c>
      <c r="X40" s="604">
        <v>20.614516999999999</v>
      </c>
      <c r="Y40" s="604">
        <v>20.623013</v>
      </c>
      <c r="Z40" s="604">
        <v>20.948874</v>
      </c>
      <c r="AA40" s="604">
        <v>21.410820000000001</v>
      </c>
      <c r="AB40" s="604">
        <v>21.869475999999999</v>
      </c>
      <c r="AC40" s="604">
        <v>22.332128999999998</v>
      </c>
      <c r="AD40" s="604">
        <v>22.300782999999999</v>
      </c>
      <c r="AE40" s="604">
        <v>22.689599999999999</v>
      </c>
      <c r="AF40" s="604">
        <v>22.838418999999998</v>
      </c>
      <c r="AG40" s="604">
        <v>23.3582</v>
      </c>
      <c r="AH40" s="604">
        <v>23.542686</v>
      </c>
      <c r="AI40" s="604">
        <v>23.581139</v>
      </c>
      <c r="AJ40" s="604">
        <v>24.112524000000001</v>
      </c>
      <c r="AK40" s="604">
        <v>24.343563</v>
      </c>
    </row>
    <row r="41" spans="1:37">
      <c r="A41" s="57" t="s">
        <v>31</v>
      </c>
      <c r="B41" s="332">
        <v>10.260883605477513</v>
      </c>
      <c r="C41" s="332">
        <v>11.514991020049854</v>
      </c>
      <c r="D41" s="332">
        <v>12.429864774934828</v>
      </c>
      <c r="E41" s="332">
        <v>19.642959947773459</v>
      </c>
      <c r="F41" s="332">
        <v>12.010487536403307</v>
      </c>
      <c r="G41" s="332">
        <v>15.579757000000001</v>
      </c>
      <c r="H41" s="332">
        <v>22.408439552400001</v>
      </c>
      <c r="I41" s="332">
        <v>25.975307600000001</v>
      </c>
      <c r="J41" s="332">
        <v>24.002694200000001</v>
      </c>
      <c r="K41" s="542">
        <v>19.642218</v>
      </c>
      <c r="L41" s="603">
        <v>12.897640000000001</v>
      </c>
      <c r="M41" s="604">
        <v>9.9384420000000002</v>
      </c>
      <c r="N41" s="604">
        <v>11.395908</v>
      </c>
      <c r="O41" s="604">
        <v>13.036479</v>
      </c>
      <c r="P41" s="604">
        <v>14.049343</v>
      </c>
      <c r="Q41" s="604">
        <v>14.694448</v>
      </c>
      <c r="R41" s="604">
        <v>15.143129999999999</v>
      </c>
      <c r="S41" s="604">
        <v>15.531385</v>
      </c>
      <c r="T41" s="604">
        <v>15.887290999999999</v>
      </c>
      <c r="U41" s="604">
        <v>16.184811</v>
      </c>
      <c r="V41" s="604">
        <v>16.555434999999999</v>
      </c>
      <c r="W41" s="604">
        <v>16.909331999999999</v>
      </c>
      <c r="X41" s="604">
        <v>17.097304999999999</v>
      </c>
      <c r="Y41" s="604">
        <v>17.138271</v>
      </c>
      <c r="Z41" s="604">
        <v>17.366914999999999</v>
      </c>
      <c r="AA41" s="604">
        <v>17.764690000000002</v>
      </c>
      <c r="AB41" s="604">
        <v>18.128976999999999</v>
      </c>
      <c r="AC41" s="604">
        <v>18.470592</v>
      </c>
      <c r="AD41" s="604">
        <v>18.441776000000001</v>
      </c>
      <c r="AE41" s="604">
        <v>18.701218000000001</v>
      </c>
      <c r="AF41" s="604">
        <v>18.838215000000002</v>
      </c>
      <c r="AG41" s="604">
        <v>19.266953000000001</v>
      </c>
      <c r="AH41" s="604">
        <v>19.418275999999999</v>
      </c>
      <c r="AI41" s="604">
        <v>19.462654000000001</v>
      </c>
      <c r="AJ41" s="604">
        <v>19.830933000000002</v>
      </c>
      <c r="AK41" s="604">
        <v>20.033041000000001</v>
      </c>
    </row>
    <row r="42" spans="1:37">
      <c r="A42" s="57" t="s">
        <v>26</v>
      </c>
      <c r="B42" s="332">
        <v>8.8587806092391812</v>
      </c>
      <c r="C42" s="332">
        <v>7.2187537219205105</v>
      </c>
      <c r="D42" s="332">
        <v>7.365604152788511</v>
      </c>
      <c r="E42" s="332">
        <v>8.8873175920093885</v>
      </c>
      <c r="F42" s="332">
        <v>4.8130168071388626</v>
      </c>
      <c r="G42" s="332">
        <v>4.9287729999999996</v>
      </c>
      <c r="H42" s="332">
        <v>4.9588802021999996</v>
      </c>
      <c r="I42" s="332">
        <v>3.7503248000000005</v>
      </c>
      <c r="J42" s="332">
        <v>4.4909524000000003</v>
      </c>
      <c r="K42" s="542">
        <v>4.9945050000000002</v>
      </c>
      <c r="L42" s="603">
        <v>3.309901</v>
      </c>
      <c r="M42" s="604">
        <v>2.827858</v>
      </c>
      <c r="N42" s="604">
        <v>3.6811129999999999</v>
      </c>
      <c r="O42" s="604">
        <v>4.0578329999999996</v>
      </c>
      <c r="P42" s="604">
        <v>4.3550709999999997</v>
      </c>
      <c r="Q42" s="604">
        <v>4.4721570000000002</v>
      </c>
      <c r="R42" s="604">
        <v>4.5038520000000002</v>
      </c>
      <c r="S42" s="604">
        <v>4.4875860000000003</v>
      </c>
      <c r="T42" s="604">
        <v>4.3704020000000003</v>
      </c>
      <c r="U42" s="604">
        <v>4.3667860000000003</v>
      </c>
      <c r="V42" s="604">
        <v>4.5325610000000003</v>
      </c>
      <c r="W42" s="604">
        <v>4.8157269999999999</v>
      </c>
      <c r="X42" s="604">
        <v>4.9880979999999999</v>
      </c>
      <c r="Y42" s="604">
        <v>5.0613770000000002</v>
      </c>
      <c r="Z42" s="604">
        <v>5.1627409999999996</v>
      </c>
      <c r="AA42" s="604">
        <v>5.1275639999999996</v>
      </c>
      <c r="AB42" s="604">
        <v>5.1379359999999998</v>
      </c>
      <c r="AC42" s="604">
        <v>5.187843</v>
      </c>
      <c r="AD42" s="604">
        <v>5.2003599999999999</v>
      </c>
      <c r="AE42" s="604">
        <v>5.1778310000000003</v>
      </c>
      <c r="AF42" s="604">
        <v>5.1611079999999996</v>
      </c>
      <c r="AG42" s="604">
        <v>5.2320190000000002</v>
      </c>
      <c r="AH42" s="604">
        <v>5.2291489999999996</v>
      </c>
      <c r="AI42" s="604">
        <v>5.2417059999999998</v>
      </c>
      <c r="AJ42" s="604">
        <v>5.3261279999999998</v>
      </c>
      <c r="AK42" s="604">
        <v>5.3749840000000004</v>
      </c>
    </row>
    <row r="43" spans="1:37">
      <c r="A43" s="57" t="s">
        <v>41</v>
      </c>
      <c r="B43" s="332">
        <v>1.7320665011297836</v>
      </c>
      <c r="C43" s="332">
        <v>1.9023175526905256</v>
      </c>
      <c r="D43" s="332">
        <v>2.1303159268487466</v>
      </c>
      <c r="E43" s="332">
        <v>2.6336036357309429</v>
      </c>
      <c r="F43" s="332">
        <v>2.7189923274487202</v>
      </c>
      <c r="G43" s="332">
        <v>1.8096479999999999</v>
      </c>
      <c r="H43" s="332">
        <v>2.0108612675999997</v>
      </c>
      <c r="I43" s="332">
        <v>1.9531232000000001</v>
      </c>
      <c r="J43" s="332">
        <v>2.0813481999999999</v>
      </c>
      <c r="K43" s="542">
        <v>2.1934130000000001</v>
      </c>
      <c r="L43" s="603">
        <v>2.1289380000000002</v>
      </c>
      <c r="M43" s="604">
        <v>2.0288729999999999</v>
      </c>
      <c r="N43" s="604">
        <v>2.1047889999999998</v>
      </c>
      <c r="O43" s="604">
        <v>2.193486</v>
      </c>
      <c r="P43" s="604">
        <v>2.2496079999999998</v>
      </c>
      <c r="Q43" s="604">
        <v>2.2201209999999998</v>
      </c>
      <c r="R43" s="604">
        <v>2.2107649999999999</v>
      </c>
      <c r="S43" s="604">
        <v>2.2121650000000002</v>
      </c>
      <c r="T43" s="604">
        <v>2.2164290000000002</v>
      </c>
      <c r="U43" s="604">
        <v>2.2262819999999999</v>
      </c>
      <c r="V43" s="604">
        <v>2.2442340000000001</v>
      </c>
      <c r="W43" s="604">
        <v>2.2376490000000002</v>
      </c>
      <c r="X43" s="604">
        <v>2.2237979999999999</v>
      </c>
      <c r="Y43" s="604">
        <v>2.1945329999999998</v>
      </c>
      <c r="Z43" s="604">
        <v>2.1725379999999999</v>
      </c>
      <c r="AA43" s="604">
        <v>2.3153459999999999</v>
      </c>
      <c r="AB43" s="604">
        <v>2.3180390000000002</v>
      </c>
      <c r="AC43" s="604">
        <v>2.3351959999999998</v>
      </c>
      <c r="AD43" s="604">
        <v>2.337466</v>
      </c>
      <c r="AE43" s="604">
        <v>2.3508450000000001</v>
      </c>
      <c r="AF43" s="604">
        <v>2.3783970000000001</v>
      </c>
      <c r="AG43" s="604">
        <v>2.406714</v>
      </c>
      <c r="AH43" s="604">
        <v>2.4162509999999999</v>
      </c>
      <c r="AI43" s="604">
        <v>2.4336929999999999</v>
      </c>
      <c r="AJ43" s="604">
        <v>2.4612180000000001</v>
      </c>
      <c r="AK43" s="604">
        <v>2.460426</v>
      </c>
    </row>
    <row r="44" spans="1:37">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row>
    <row r="45" spans="1:37" ht="16.5">
      <c r="A45" s="113"/>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AK45"/>
  <sheetViews>
    <sheetView showGridLines="0" workbookViewId="0">
      <pane xSplit="1" topLeftCell="B1" activePane="topRight" state="frozen"/>
      <selection pane="topRight" activeCell="B3" sqref="B3"/>
    </sheetView>
  </sheetViews>
  <sheetFormatPr defaultColWidth="9.140625" defaultRowHeight="12.75"/>
  <cols>
    <col min="1" max="1" width="33.28515625" style="57" customWidth="1"/>
    <col min="2" max="37" width="8.7109375" style="57" customWidth="1"/>
    <col min="38" max="16384" width="9.140625" style="57"/>
  </cols>
  <sheetData>
    <row r="1" spans="1:37" ht="27">
      <c r="A1" s="277" t="s">
        <v>459</v>
      </c>
    </row>
    <row r="2" spans="1:37" ht="15.75">
      <c r="A2" s="101" t="s">
        <v>454</v>
      </c>
      <c r="B2" s="58" t="s">
        <v>1076</v>
      </c>
      <c r="M2" s="425"/>
    </row>
    <row r="3" spans="1:37" ht="15.75">
      <c r="A3" s="101" t="s">
        <v>380</v>
      </c>
      <c r="B3" s="58" t="str">
        <f>'price scenario A'!B3</f>
        <v>forecast is in 2017 dollars per million Btu</v>
      </c>
      <c r="H3" s="2"/>
      <c r="L3" s="18"/>
      <c r="M3" s="315" t="s">
        <v>1210</v>
      </c>
    </row>
    <row r="4" spans="1:37">
      <c r="D4" s="57" t="s">
        <v>21</v>
      </c>
      <c r="E4" s="57" t="s">
        <v>21</v>
      </c>
      <c r="F4" s="57" t="s">
        <v>21</v>
      </c>
      <c r="L4" s="314" t="s">
        <v>363</v>
      </c>
      <c r="M4" s="303" t="s">
        <v>364</v>
      </c>
      <c r="N4" s="57" t="s">
        <v>21</v>
      </c>
      <c r="O4" s="57" t="s">
        <v>21</v>
      </c>
      <c r="P4" s="57" t="s">
        <v>21</v>
      </c>
      <c r="Q4" s="57" t="s">
        <v>21</v>
      </c>
      <c r="R4" s="57" t="s">
        <v>21</v>
      </c>
      <c r="S4" s="57" t="s">
        <v>21</v>
      </c>
      <c r="T4" s="57" t="s">
        <v>21</v>
      </c>
      <c r="U4" s="57" t="s">
        <v>21</v>
      </c>
      <c r="V4" s="57" t="s">
        <v>21</v>
      </c>
      <c r="W4" s="57" t="s">
        <v>21</v>
      </c>
      <c r="X4" s="57" t="s">
        <v>21</v>
      </c>
      <c r="Y4" s="57" t="s">
        <v>21</v>
      </c>
      <c r="Z4" s="57" t="s">
        <v>21</v>
      </c>
      <c r="AA4" s="57" t="s">
        <v>21</v>
      </c>
      <c r="AB4" s="57" t="s">
        <v>21</v>
      </c>
      <c r="AC4" s="57" t="s">
        <v>21</v>
      </c>
      <c r="AD4" s="57" t="s">
        <v>21</v>
      </c>
      <c r="AE4" s="57" t="s">
        <v>21</v>
      </c>
      <c r="AF4" s="57" t="s">
        <v>21</v>
      </c>
    </row>
    <row r="5" spans="1:37" ht="13.5">
      <c r="A5" s="57" t="s">
        <v>22</v>
      </c>
      <c r="B5" s="59">
        <v>2005</v>
      </c>
      <c r="C5" s="59">
        <v>2006</v>
      </c>
      <c r="D5" s="59">
        <v>2007</v>
      </c>
      <c r="E5" s="59">
        <v>2008</v>
      </c>
      <c r="F5" s="59">
        <v>2009</v>
      </c>
      <c r="G5" s="59">
        <v>2010</v>
      </c>
      <c r="H5" s="59">
        <v>2011</v>
      </c>
      <c r="I5" s="317">
        <v>2012</v>
      </c>
      <c r="J5" s="318">
        <v>2013</v>
      </c>
      <c r="K5" s="59">
        <v>2014</v>
      </c>
      <c r="L5" s="540">
        <v>2015</v>
      </c>
      <c r="M5" s="59">
        <v>2016</v>
      </c>
      <c r="N5" s="59">
        <v>2017</v>
      </c>
      <c r="O5" s="59">
        <v>2018</v>
      </c>
      <c r="P5" s="59">
        <v>2019</v>
      </c>
      <c r="Q5" s="59">
        <v>2020</v>
      </c>
      <c r="R5" s="59">
        <v>2021</v>
      </c>
      <c r="S5" s="59">
        <v>2022</v>
      </c>
      <c r="T5" s="59">
        <v>2023</v>
      </c>
      <c r="U5" s="59">
        <v>2024</v>
      </c>
      <c r="V5" s="59">
        <v>2025</v>
      </c>
      <c r="W5" s="59">
        <v>2026</v>
      </c>
      <c r="X5" s="59">
        <v>2027</v>
      </c>
      <c r="Y5" s="59">
        <v>2028</v>
      </c>
      <c r="Z5" s="59">
        <v>2029</v>
      </c>
      <c r="AA5" s="59">
        <v>2030</v>
      </c>
      <c r="AB5" s="59">
        <v>2031</v>
      </c>
      <c r="AC5" s="59">
        <v>2032</v>
      </c>
      <c r="AD5" s="59">
        <v>2033</v>
      </c>
      <c r="AE5" s="59">
        <v>2034</v>
      </c>
      <c r="AF5" s="59">
        <v>2035</v>
      </c>
      <c r="AG5" s="59">
        <v>2036</v>
      </c>
      <c r="AH5" s="59">
        <v>2037</v>
      </c>
      <c r="AI5" s="59">
        <v>2038</v>
      </c>
      <c r="AJ5" s="59">
        <v>2039</v>
      </c>
      <c r="AK5" s="59">
        <v>2040</v>
      </c>
    </row>
    <row r="6" spans="1:37">
      <c r="A6" s="57" t="s">
        <v>23</v>
      </c>
      <c r="H6" s="316"/>
      <c r="I6" s="406"/>
      <c r="J6" s="407"/>
      <c r="K6" s="536"/>
      <c r="L6" s="18"/>
    </row>
    <row r="7" spans="1:37">
      <c r="A7" s="57" t="s">
        <v>24</v>
      </c>
      <c r="B7" s="410">
        <v>26.051241846129606</v>
      </c>
      <c r="C7" s="410">
        <v>30.66863980999922</v>
      </c>
      <c r="D7" s="410">
        <v>33.494805329687082</v>
      </c>
      <c r="E7" s="410">
        <v>39.750843853397861</v>
      </c>
      <c r="F7" s="410">
        <v>33.68748039407636</v>
      </c>
      <c r="G7" s="410">
        <v>32.896204367100005</v>
      </c>
      <c r="H7" s="410">
        <v>26.402289025800002</v>
      </c>
      <c r="I7" s="410">
        <v>27.849444200000001</v>
      </c>
      <c r="J7" s="410">
        <v>26.999056000000003</v>
      </c>
      <c r="K7" s="535">
        <v>26.273474</v>
      </c>
      <c r="L7" s="411">
        <v>19.169197</v>
      </c>
      <c r="M7" s="464">
        <v>18.14432</v>
      </c>
      <c r="N7" s="464">
        <v>18.502699</v>
      </c>
      <c r="O7" s="464">
        <v>19.454567000000001</v>
      </c>
      <c r="P7" s="464">
        <v>19.425751000000002</v>
      </c>
      <c r="Q7" s="464">
        <v>19.347791999999998</v>
      </c>
      <c r="R7" s="464">
        <v>19.366802</v>
      </c>
      <c r="S7" s="464">
        <v>19.750731999999999</v>
      </c>
      <c r="T7" s="464">
        <v>19.87998</v>
      </c>
      <c r="U7" s="464">
        <v>19.847971000000001</v>
      </c>
      <c r="V7" s="464">
        <v>19.743465</v>
      </c>
      <c r="W7" s="464">
        <v>19.759717999999999</v>
      </c>
      <c r="X7" s="464">
        <v>19.907228</v>
      </c>
      <c r="Y7" s="464">
        <v>19.889127999999999</v>
      </c>
      <c r="Z7" s="464">
        <v>19.947098</v>
      </c>
      <c r="AA7" s="464">
        <v>20.080278</v>
      </c>
      <c r="AB7" s="464">
        <v>20.430264000000001</v>
      </c>
      <c r="AC7" s="464">
        <v>20.658677999999998</v>
      </c>
      <c r="AD7" s="464">
        <v>20.715295999999999</v>
      </c>
      <c r="AE7" s="464">
        <v>20.849007</v>
      </c>
      <c r="AF7" s="464">
        <v>20.857565000000001</v>
      </c>
      <c r="AG7" s="464">
        <v>21.160021</v>
      </c>
      <c r="AH7" s="464">
        <v>21.240393000000001</v>
      </c>
      <c r="AI7" s="464">
        <v>21.344175</v>
      </c>
      <c r="AJ7" s="464">
        <v>21.683724999999999</v>
      </c>
      <c r="AK7" s="464">
        <v>21.761095000000001</v>
      </c>
    </row>
    <row r="8" spans="1:37">
      <c r="A8" s="57" t="s">
        <v>25</v>
      </c>
      <c r="B8" s="410">
        <v>20.654778534439036</v>
      </c>
      <c r="C8" s="410">
        <v>21.813877535660978</v>
      </c>
      <c r="D8" s="410">
        <v>26.118203975052712</v>
      </c>
      <c r="E8" s="410">
        <v>28.360250296964857</v>
      </c>
      <c r="F8" s="410">
        <v>20.84400916446355</v>
      </c>
      <c r="G8" s="410">
        <v>23.640661560000002</v>
      </c>
      <c r="H8" s="410">
        <v>28.773628173599999</v>
      </c>
      <c r="I8" s="410">
        <v>28.642387600000003</v>
      </c>
      <c r="J8" s="410">
        <v>28.5695558</v>
      </c>
      <c r="K8" s="535">
        <v>27.557736999999999</v>
      </c>
      <c r="L8" s="411">
        <v>19.262710999999999</v>
      </c>
      <c r="M8" s="464">
        <v>15.112387</v>
      </c>
      <c r="N8" s="464">
        <v>18.202694000000001</v>
      </c>
      <c r="O8" s="464">
        <v>20.064147999999999</v>
      </c>
      <c r="P8" s="464">
        <v>21.191786</v>
      </c>
      <c r="Q8" s="464">
        <v>21.853217999999998</v>
      </c>
      <c r="R8" s="464">
        <v>22.298231000000001</v>
      </c>
      <c r="S8" s="464">
        <v>22.634084999999999</v>
      </c>
      <c r="T8" s="464">
        <v>22.899419999999999</v>
      </c>
      <c r="U8" s="464">
        <v>23.143626999999999</v>
      </c>
      <c r="V8" s="464">
        <v>23.575994000000001</v>
      </c>
      <c r="W8" s="464">
        <v>23.962599000000001</v>
      </c>
      <c r="X8" s="464">
        <v>24.169062</v>
      </c>
      <c r="Y8" s="464">
        <v>24.250484</v>
      </c>
      <c r="Z8" s="464">
        <v>24.513173999999999</v>
      </c>
      <c r="AA8" s="464">
        <v>24.901806000000001</v>
      </c>
      <c r="AB8" s="464">
        <v>25.310713</v>
      </c>
      <c r="AC8" s="464">
        <v>25.713446000000001</v>
      </c>
      <c r="AD8" s="464">
        <v>25.656178000000001</v>
      </c>
      <c r="AE8" s="464">
        <v>25.968848999999999</v>
      </c>
      <c r="AF8" s="464">
        <v>26.103373000000001</v>
      </c>
      <c r="AG8" s="464">
        <v>26.609524</v>
      </c>
      <c r="AH8" s="464">
        <v>26.680315</v>
      </c>
      <c r="AI8" s="464">
        <v>26.794027</v>
      </c>
      <c r="AJ8" s="464">
        <v>27.053331</v>
      </c>
      <c r="AK8" s="464">
        <v>27.251048999999998</v>
      </c>
    </row>
    <row r="9" spans="1:37">
      <c r="A9" s="57" t="s">
        <v>26</v>
      </c>
      <c r="B9" s="410">
        <v>14.064256366483393</v>
      </c>
      <c r="C9" s="410">
        <v>13.948068335222674</v>
      </c>
      <c r="D9" s="410">
        <v>13.786249584779203</v>
      </c>
      <c r="E9" s="410">
        <v>14.349725806705393</v>
      </c>
      <c r="F9" s="410">
        <v>13.021244137356957</v>
      </c>
      <c r="G9" s="410">
        <v>10.983029568600001</v>
      </c>
      <c r="H9" s="410">
        <v>10.777743023399999</v>
      </c>
      <c r="I9" s="410">
        <v>9.7963900000000006</v>
      </c>
      <c r="J9" s="410">
        <v>10.129775</v>
      </c>
      <c r="K9" s="535">
        <v>11.110224000000001</v>
      </c>
      <c r="L9" s="411">
        <v>11.529643</v>
      </c>
      <c r="M9" s="464">
        <v>10.936919</v>
      </c>
      <c r="N9" s="464">
        <v>11.824325</v>
      </c>
      <c r="O9" s="464">
        <v>11.700506000000001</v>
      </c>
      <c r="P9" s="464">
        <v>11.736591000000001</v>
      </c>
      <c r="Q9" s="464">
        <v>11.634199000000001</v>
      </c>
      <c r="R9" s="464">
        <v>11.699702</v>
      </c>
      <c r="S9" s="464">
        <v>11.752288999999999</v>
      </c>
      <c r="T9" s="464">
        <v>11.864615000000001</v>
      </c>
      <c r="U9" s="464">
        <v>11.958178</v>
      </c>
      <c r="V9" s="464">
        <v>12.231668000000001</v>
      </c>
      <c r="W9" s="464">
        <v>12.426078</v>
      </c>
      <c r="X9" s="464">
        <v>14.561356999999999</v>
      </c>
      <c r="Y9" s="464">
        <v>14.683954999999999</v>
      </c>
      <c r="Z9" s="464">
        <v>14.857435000000001</v>
      </c>
      <c r="AA9" s="464">
        <v>14.887257</v>
      </c>
      <c r="AB9" s="464">
        <v>15.186334</v>
      </c>
      <c r="AC9" s="464">
        <v>15.182797000000001</v>
      </c>
      <c r="AD9" s="464">
        <v>15.224045</v>
      </c>
      <c r="AE9" s="464">
        <v>15.25653</v>
      </c>
      <c r="AF9" s="464">
        <v>15.332331</v>
      </c>
      <c r="AG9" s="464">
        <v>15.419188</v>
      </c>
      <c r="AH9" s="464">
        <v>15.485969000000001</v>
      </c>
      <c r="AI9" s="464">
        <v>15.497983</v>
      </c>
      <c r="AJ9" s="464">
        <v>15.56249</v>
      </c>
      <c r="AK9" s="464">
        <v>15.587550999999999</v>
      </c>
    </row>
    <row r="10" spans="1:37">
      <c r="A10" s="77" t="s">
        <v>8</v>
      </c>
      <c r="B10" s="410">
        <v>24.437607720489037</v>
      </c>
      <c r="C10" s="410">
        <v>26.748142607449822</v>
      </c>
      <c r="D10" s="410">
        <v>26.864904992864833</v>
      </c>
      <c r="E10" s="410">
        <v>25.673123481965842</v>
      </c>
      <c r="F10" s="410">
        <v>24.417329661592778</v>
      </c>
      <c r="G10" s="410">
        <v>24.222396268240214</v>
      </c>
      <c r="H10" s="410">
        <v>24.41365919630044</v>
      </c>
      <c r="I10" s="410">
        <v>26.010139828997268</v>
      </c>
      <c r="J10" s="410">
        <v>26.187696540751123</v>
      </c>
      <c r="K10" s="535">
        <v>26.574448608041504</v>
      </c>
      <c r="L10" s="411">
        <v>26.505614811849888</v>
      </c>
      <c r="M10" s="464">
        <v>26.634169837255449</v>
      </c>
      <c r="N10" s="464">
        <v>26.770735763546863</v>
      </c>
      <c r="O10" s="464">
        <v>26.814639985509167</v>
      </c>
      <c r="P10" s="464">
        <v>27.051124146799939</v>
      </c>
      <c r="Q10" s="464">
        <v>27.4584952760001</v>
      </c>
      <c r="R10" s="464">
        <v>27.930163540249691</v>
      </c>
      <c r="S10" s="464">
        <v>28.855013326479074</v>
      </c>
      <c r="T10" s="464">
        <v>30.076210381637644</v>
      </c>
      <c r="U10" s="464">
        <v>29.656456617304581</v>
      </c>
      <c r="V10" s="464">
        <v>29.949128589559852</v>
      </c>
      <c r="W10" s="464">
        <v>30.626073385817179</v>
      </c>
      <c r="X10" s="464">
        <v>30.683171299907212</v>
      </c>
      <c r="Y10" s="464">
        <v>30.845578922337733</v>
      </c>
      <c r="Z10" s="464">
        <v>30.809409642544921</v>
      </c>
      <c r="AA10" s="464">
        <v>30.842618128254493</v>
      </c>
      <c r="AB10" s="464">
        <v>31.052062695863111</v>
      </c>
      <c r="AC10" s="464">
        <v>31.201167613128973</v>
      </c>
      <c r="AD10" s="464">
        <v>31.309405723107453</v>
      </c>
      <c r="AE10" s="464">
        <v>31.395598905290463</v>
      </c>
      <c r="AF10" s="464">
        <v>31.486092807513597</v>
      </c>
      <c r="AG10" s="464">
        <v>31.580253285367696</v>
      </c>
      <c r="AH10" s="464">
        <v>31.804932269155515</v>
      </c>
      <c r="AI10" s="464">
        <v>31.935281337683254</v>
      </c>
      <c r="AJ10" s="464">
        <v>32.0522093440348</v>
      </c>
      <c r="AK10" s="464">
        <v>32.209201821721877</v>
      </c>
    </row>
    <row r="11" spans="1:37">
      <c r="B11" s="410"/>
      <c r="C11" s="410"/>
      <c r="D11" s="410"/>
      <c r="E11" s="410"/>
      <c r="F11" s="410"/>
      <c r="G11" s="410"/>
      <c r="H11" s="410"/>
      <c r="I11" s="410"/>
      <c r="J11" s="410"/>
      <c r="K11" s="535"/>
      <c r="L11" s="584"/>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row>
    <row r="12" spans="1:37">
      <c r="A12" s="57" t="s">
        <v>79</v>
      </c>
      <c r="B12" s="410"/>
      <c r="C12" s="410"/>
      <c r="D12" s="410"/>
      <c r="E12" s="410"/>
      <c r="F12" s="410"/>
      <c r="G12" s="410"/>
      <c r="H12" s="410"/>
      <c r="I12" s="410"/>
      <c r="J12" s="410"/>
      <c r="K12" s="535"/>
      <c r="L12" s="584"/>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row>
    <row r="13" spans="1:37">
      <c r="A13" s="57" t="s">
        <v>24</v>
      </c>
      <c r="B13" s="410">
        <v>22.273055432643208</v>
      </c>
      <c r="C13" s="410">
        <v>27.821644812554112</v>
      </c>
      <c r="D13" s="410">
        <v>27.880069095901991</v>
      </c>
      <c r="E13" s="410">
        <v>31.033551188957645</v>
      </c>
      <c r="F13" s="410">
        <v>23.517310056456335</v>
      </c>
      <c r="G13" s="410">
        <v>26.521402959300005</v>
      </c>
      <c r="H13" s="410">
        <v>23.188544743200001</v>
      </c>
      <c r="I13" s="410">
        <v>22.487587600000001</v>
      </c>
      <c r="J13" s="410">
        <v>21.482303600000002</v>
      </c>
      <c r="K13" s="535">
        <v>21.674036000000001</v>
      </c>
      <c r="L13" s="411">
        <v>16.138399</v>
      </c>
      <c r="M13" s="464">
        <v>15.315327</v>
      </c>
      <c r="N13" s="464">
        <v>15.568035999999999</v>
      </c>
      <c r="O13" s="464">
        <v>16.317761999999998</v>
      </c>
      <c r="P13" s="464">
        <v>16.294281000000002</v>
      </c>
      <c r="Q13" s="464">
        <v>16.231480000000001</v>
      </c>
      <c r="R13" s="464">
        <v>16.246891000000002</v>
      </c>
      <c r="S13" s="464">
        <v>16.560116000000001</v>
      </c>
      <c r="T13" s="464">
        <v>16.669246999999999</v>
      </c>
      <c r="U13" s="464">
        <v>16.64875</v>
      </c>
      <c r="V13" s="464">
        <v>16.569714999999999</v>
      </c>
      <c r="W13" s="464">
        <v>16.587389000000002</v>
      </c>
      <c r="X13" s="464">
        <v>16.710685999999999</v>
      </c>
      <c r="Y13" s="464">
        <v>16.700171999999998</v>
      </c>
      <c r="Z13" s="464">
        <v>16.750834000000001</v>
      </c>
      <c r="AA13" s="464">
        <v>16.862497000000001</v>
      </c>
      <c r="AB13" s="464">
        <v>17.148022000000001</v>
      </c>
      <c r="AC13" s="464">
        <v>17.336006000000001</v>
      </c>
      <c r="AD13" s="464">
        <v>17.385428999999998</v>
      </c>
      <c r="AE13" s="464">
        <v>17.496898999999999</v>
      </c>
      <c r="AF13" s="464">
        <v>17.507536000000002</v>
      </c>
      <c r="AG13" s="464">
        <v>17.754833000000001</v>
      </c>
      <c r="AH13" s="464">
        <v>17.823198000000001</v>
      </c>
      <c r="AI13" s="464">
        <v>17.910446</v>
      </c>
      <c r="AJ13" s="464">
        <v>18.188320000000001</v>
      </c>
      <c r="AK13" s="464">
        <v>18.255013000000002</v>
      </c>
    </row>
    <row r="14" spans="1:37">
      <c r="A14" s="57" t="s">
        <v>25</v>
      </c>
      <c r="B14" s="410">
        <v>18.336578255962607</v>
      </c>
      <c r="C14" s="410">
        <v>19.362665933700775</v>
      </c>
      <c r="D14" s="410">
        <v>21.16174832675086</v>
      </c>
      <c r="E14" s="410">
        <v>25.764433837219542</v>
      </c>
      <c r="F14" s="410">
        <v>18.926205218183977</v>
      </c>
      <c r="G14" s="410">
        <v>23.231780717700001</v>
      </c>
      <c r="H14" s="410">
        <v>28.271112897599998</v>
      </c>
      <c r="I14" s="410">
        <v>28.130513399999998</v>
      </c>
      <c r="J14" s="410">
        <v>28.057681600000002</v>
      </c>
      <c r="K14" s="535">
        <v>27.081340999999998</v>
      </c>
      <c r="L14" s="411">
        <v>17.792418000000001</v>
      </c>
      <c r="M14" s="464">
        <v>13.958486000000001</v>
      </c>
      <c r="N14" s="464">
        <v>16.829533000000001</v>
      </c>
      <c r="O14" s="464">
        <v>18.17268</v>
      </c>
      <c r="P14" s="464">
        <v>18.934853</v>
      </c>
      <c r="Q14" s="464">
        <v>19.224706999999999</v>
      </c>
      <c r="R14" s="464">
        <v>19.380977999999999</v>
      </c>
      <c r="S14" s="464">
        <v>19.398315</v>
      </c>
      <c r="T14" s="464">
        <v>19.65682</v>
      </c>
      <c r="U14" s="464">
        <v>19.960702999999999</v>
      </c>
      <c r="V14" s="464">
        <v>20.515034</v>
      </c>
      <c r="W14" s="464">
        <v>20.918210999999999</v>
      </c>
      <c r="X14" s="464">
        <v>21.210225999999999</v>
      </c>
      <c r="Y14" s="464">
        <v>21.295477000000002</v>
      </c>
      <c r="Z14" s="464">
        <v>21.584500999999999</v>
      </c>
      <c r="AA14" s="464">
        <v>22.002068999999999</v>
      </c>
      <c r="AB14" s="464">
        <v>22.396540000000002</v>
      </c>
      <c r="AC14" s="464">
        <v>22.815000999999999</v>
      </c>
      <c r="AD14" s="464">
        <v>22.787182000000001</v>
      </c>
      <c r="AE14" s="464">
        <v>23.066140999999998</v>
      </c>
      <c r="AF14" s="464">
        <v>23.205317999999998</v>
      </c>
      <c r="AG14" s="464">
        <v>23.725041999999998</v>
      </c>
      <c r="AH14" s="464">
        <v>23.797692999999999</v>
      </c>
      <c r="AI14" s="464">
        <v>23.881218000000001</v>
      </c>
      <c r="AJ14" s="464">
        <v>24.128677</v>
      </c>
      <c r="AK14" s="464">
        <v>24.314288999999999</v>
      </c>
    </row>
    <row r="15" spans="1:37">
      <c r="A15" s="57" t="s">
        <v>45</v>
      </c>
      <c r="B15" s="410">
        <v>12.921112351189148</v>
      </c>
      <c r="C15" s="410">
        <v>6.0615216361345912</v>
      </c>
      <c r="D15" s="410">
        <v>5.8083483068085409</v>
      </c>
      <c r="E15" s="410">
        <v>10.712581042967264</v>
      </c>
      <c r="F15" s="410">
        <v>6.4120503501815724</v>
      </c>
      <c r="G15" s="410">
        <v>12.935456585700001</v>
      </c>
      <c r="H15" s="410">
        <v>21.757031170800001</v>
      </c>
      <c r="I15" s="410">
        <v>17.627347200000003</v>
      </c>
      <c r="J15" s="410">
        <v>17.024176799999999</v>
      </c>
      <c r="K15" s="535">
        <v>12.55123</v>
      </c>
      <c r="L15" s="411">
        <v>10.757339999999999</v>
      </c>
      <c r="M15" s="464">
        <v>7.947031</v>
      </c>
      <c r="N15" s="464">
        <v>10.334414000000001</v>
      </c>
      <c r="O15" s="464">
        <v>11.37847</v>
      </c>
      <c r="P15" s="464">
        <v>11.784003999999999</v>
      </c>
      <c r="Q15" s="464">
        <v>11.84008</v>
      </c>
      <c r="R15" s="464">
        <v>11.703958999999999</v>
      </c>
      <c r="S15" s="464">
        <v>11.58348</v>
      </c>
      <c r="T15" s="464">
        <v>11.848077</v>
      </c>
      <c r="U15" s="464">
        <v>12.063192000000001</v>
      </c>
      <c r="V15" s="464">
        <v>12.445573</v>
      </c>
      <c r="W15" s="464">
        <v>12.762446000000001</v>
      </c>
      <c r="X15" s="464">
        <v>12.899919000000001</v>
      </c>
      <c r="Y15" s="464">
        <v>12.990983999999999</v>
      </c>
      <c r="Z15" s="464">
        <v>13.260201</v>
      </c>
      <c r="AA15" s="464">
        <v>13.592950999999999</v>
      </c>
      <c r="AB15" s="464">
        <v>13.898376000000001</v>
      </c>
      <c r="AC15" s="464">
        <v>14.217608</v>
      </c>
      <c r="AD15" s="464">
        <v>14.256107999999999</v>
      </c>
      <c r="AE15" s="464">
        <v>14.43746</v>
      </c>
      <c r="AF15" s="464">
        <v>14.552527</v>
      </c>
      <c r="AG15" s="464">
        <v>14.963160999999999</v>
      </c>
      <c r="AH15" s="464">
        <v>15.028708</v>
      </c>
      <c r="AI15" s="464">
        <v>15.16474</v>
      </c>
      <c r="AJ15" s="464">
        <v>15.379087</v>
      </c>
      <c r="AK15" s="464">
        <v>15.499771000000001</v>
      </c>
    </row>
    <row r="16" spans="1:37">
      <c r="A16" s="57" t="s">
        <v>26</v>
      </c>
      <c r="B16" s="410">
        <v>12.4588911739857</v>
      </c>
      <c r="C16" s="410">
        <v>12.138027530451193</v>
      </c>
      <c r="D16" s="410">
        <v>12.253838968934737</v>
      </c>
      <c r="E16" s="410">
        <v>13.109720213375745</v>
      </c>
      <c r="F16" s="410">
        <v>10.911478280941965</v>
      </c>
      <c r="G16" s="410">
        <v>9.4729120800000004</v>
      </c>
      <c r="H16" s="410">
        <v>9.3063090174000003</v>
      </c>
      <c r="I16" s="410">
        <v>8.0032916000000007</v>
      </c>
      <c r="J16" s="410">
        <v>8.1879356000000012</v>
      </c>
      <c r="K16" s="535">
        <v>9.0168049999999997</v>
      </c>
      <c r="L16" s="411">
        <v>8.688383</v>
      </c>
      <c r="M16" s="464">
        <v>8.7686539999999997</v>
      </c>
      <c r="N16" s="464">
        <v>9.9448299999999996</v>
      </c>
      <c r="O16" s="464">
        <v>10.535062999999999</v>
      </c>
      <c r="P16" s="464">
        <v>11.025026</v>
      </c>
      <c r="Q16" s="464">
        <v>11.353588999999999</v>
      </c>
      <c r="R16" s="464">
        <v>11.392365</v>
      </c>
      <c r="S16" s="464">
        <v>11.450208999999999</v>
      </c>
      <c r="T16" s="464">
        <v>11.562726</v>
      </c>
      <c r="U16" s="464">
        <v>11.655046</v>
      </c>
      <c r="V16" s="464">
        <v>11.928322</v>
      </c>
      <c r="W16" s="464">
        <v>12.113251999999999</v>
      </c>
      <c r="X16" s="464">
        <v>14.120837999999999</v>
      </c>
      <c r="Y16" s="464">
        <v>14.241381000000001</v>
      </c>
      <c r="Z16" s="464">
        <v>14.414412</v>
      </c>
      <c r="AA16" s="464">
        <v>14.443761</v>
      </c>
      <c r="AB16" s="464">
        <v>14.717110999999999</v>
      </c>
      <c r="AC16" s="464">
        <v>14.706218</v>
      </c>
      <c r="AD16" s="464">
        <v>14.738483</v>
      </c>
      <c r="AE16" s="464">
        <v>14.763705</v>
      </c>
      <c r="AF16" s="464">
        <v>14.830247999999999</v>
      </c>
      <c r="AG16" s="464">
        <v>14.905333000000001</v>
      </c>
      <c r="AH16" s="464">
        <v>14.956051</v>
      </c>
      <c r="AI16" s="464">
        <v>14.951675</v>
      </c>
      <c r="AJ16" s="464">
        <v>15.000071</v>
      </c>
      <c r="AK16" s="464">
        <v>15.011822</v>
      </c>
    </row>
    <row r="17" spans="1:37">
      <c r="A17" s="77" t="s">
        <v>8</v>
      </c>
      <c r="B17" s="410">
        <v>23.1460737255574</v>
      </c>
      <c r="C17" s="410">
        <v>24.624666882854779</v>
      </c>
      <c r="D17" s="410">
        <v>24.228302186069008</v>
      </c>
      <c r="E17" s="410">
        <v>23.393087422468135</v>
      </c>
      <c r="F17" s="410">
        <v>22.521179950466806</v>
      </c>
      <c r="G17" s="410">
        <v>23.088380996261964</v>
      </c>
      <c r="H17" s="410">
        <v>21.771570740789318</v>
      </c>
      <c r="I17" s="410">
        <v>22.849315103117643</v>
      </c>
      <c r="J17" s="410">
        <v>23.973965877348391</v>
      </c>
      <c r="K17" s="535">
        <v>25.288633935720732</v>
      </c>
      <c r="L17" s="411">
        <v>24.267593195890928</v>
      </c>
      <c r="M17" s="464">
        <v>23.864884590003211</v>
      </c>
      <c r="N17" s="464">
        <v>23.619498399681781</v>
      </c>
      <c r="O17" s="464">
        <v>23.795486638730026</v>
      </c>
      <c r="P17" s="464">
        <v>23.788352164642138</v>
      </c>
      <c r="Q17" s="464">
        <v>24.042055485952606</v>
      </c>
      <c r="R17" s="464">
        <v>24.235918146496324</v>
      </c>
      <c r="S17" s="464">
        <v>25.719235479631788</v>
      </c>
      <c r="T17" s="464">
        <v>26.114438512073161</v>
      </c>
      <c r="U17" s="464">
        <v>25.638829037805046</v>
      </c>
      <c r="V17" s="464">
        <v>26.240924705069467</v>
      </c>
      <c r="W17" s="464">
        <v>26.526769617619756</v>
      </c>
      <c r="X17" s="464">
        <v>26.503925073087071</v>
      </c>
      <c r="Y17" s="464">
        <v>26.520894272984524</v>
      </c>
      <c r="Z17" s="464">
        <v>26.292389546609982</v>
      </c>
      <c r="AA17" s="464">
        <v>26.220581227938261</v>
      </c>
      <c r="AB17" s="464">
        <v>26.168589970694381</v>
      </c>
      <c r="AC17" s="464">
        <v>26.091304676027814</v>
      </c>
      <c r="AD17" s="464">
        <v>25.984191529412243</v>
      </c>
      <c r="AE17" s="464">
        <v>25.854204197740156</v>
      </c>
      <c r="AF17" s="464">
        <v>25.718591094643546</v>
      </c>
      <c r="AG17" s="464">
        <v>25.59037863753889</v>
      </c>
      <c r="AH17" s="464">
        <v>25.54949309176676</v>
      </c>
      <c r="AI17" s="464">
        <v>25.433942473635373</v>
      </c>
      <c r="AJ17" s="464">
        <v>25.305807674703171</v>
      </c>
      <c r="AK17" s="464">
        <v>25.179259829417283</v>
      </c>
    </row>
    <row r="18" spans="1:37">
      <c r="B18" s="410"/>
      <c r="C18" s="410"/>
      <c r="D18" s="410"/>
      <c r="E18" s="410"/>
      <c r="F18" s="410"/>
      <c r="G18" s="410"/>
      <c r="H18" s="410"/>
      <c r="I18" s="410"/>
      <c r="J18" s="410"/>
      <c r="K18" s="535"/>
      <c r="L18" s="584"/>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row>
    <row r="19" spans="1:37">
      <c r="A19" s="57" t="s">
        <v>80</v>
      </c>
      <c r="B19" s="410"/>
      <c r="C19" s="410"/>
      <c r="D19" s="410"/>
      <c r="E19" s="410"/>
      <c r="F19" s="410"/>
      <c r="G19" s="410"/>
      <c r="H19" s="410"/>
      <c r="I19" s="410"/>
      <c r="J19" s="410"/>
      <c r="K19" s="535"/>
      <c r="L19" s="584"/>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row>
    <row r="20" spans="1:37">
      <c r="A20" s="57" t="s">
        <v>24</v>
      </c>
      <c r="B20" s="410">
        <v>21.509851978559478</v>
      </c>
      <c r="C20" s="410">
        <v>26.868314656148534</v>
      </c>
      <c r="D20" s="410">
        <v>28.751324003003155</v>
      </c>
      <c r="E20" s="410">
        <v>26.965483053909633</v>
      </c>
      <c r="F20" s="410">
        <v>21.018354346330199</v>
      </c>
      <c r="G20" s="410">
        <v>29.179118348100001</v>
      </c>
      <c r="H20" s="410">
        <v>23.640283057799998</v>
      </c>
      <c r="I20" s="410">
        <v>21.868004400000004</v>
      </c>
      <c r="J20" s="410">
        <v>20.828869000000001</v>
      </c>
      <c r="K20" s="535">
        <v>18.848862</v>
      </c>
      <c r="L20" s="411">
        <v>12.432567000000001</v>
      </c>
      <c r="M20" s="464">
        <v>11.486302</v>
      </c>
      <c r="N20" s="464">
        <v>11.801394999999999</v>
      </c>
      <c r="O20" s="464">
        <v>12.66372</v>
      </c>
      <c r="P20" s="464">
        <v>12.640938999999999</v>
      </c>
      <c r="Q20" s="464">
        <v>12.573487</v>
      </c>
      <c r="R20" s="464">
        <v>12.595566</v>
      </c>
      <c r="S20" s="464">
        <v>12.954582</v>
      </c>
      <c r="T20" s="464">
        <v>13.079375000000001</v>
      </c>
      <c r="U20" s="464">
        <v>13.055614</v>
      </c>
      <c r="V20" s="464">
        <v>12.964608</v>
      </c>
      <c r="W20" s="464">
        <v>12.984591999999999</v>
      </c>
      <c r="X20" s="464">
        <v>13.125437</v>
      </c>
      <c r="Y20" s="464">
        <v>13.113346</v>
      </c>
      <c r="Z20" s="464">
        <v>13.171549000000001</v>
      </c>
      <c r="AA20" s="464">
        <v>13.298594</v>
      </c>
      <c r="AB20" s="464">
        <v>13.625622999999999</v>
      </c>
      <c r="AC20" s="464">
        <v>13.840564000000001</v>
      </c>
      <c r="AD20" s="464">
        <v>13.896770999999999</v>
      </c>
      <c r="AE20" s="464">
        <v>14.024145000000001</v>
      </c>
      <c r="AF20" s="464">
        <v>14.035492</v>
      </c>
      <c r="AG20" s="464">
        <v>14.318828</v>
      </c>
      <c r="AH20" s="464">
        <v>14.396893</v>
      </c>
      <c r="AI20" s="464">
        <v>14.496679</v>
      </c>
      <c r="AJ20" s="464">
        <v>14.814781999999999</v>
      </c>
      <c r="AK20" s="464">
        <v>14.890711</v>
      </c>
    </row>
    <row r="21" spans="1:37">
      <c r="A21" s="57" t="s">
        <v>25</v>
      </c>
      <c r="B21" s="410">
        <v>19.153648789949461</v>
      </c>
      <c r="C21" s="410">
        <v>20.236741970904106</v>
      </c>
      <c r="D21" s="410">
        <v>21.723221140235491</v>
      </c>
      <c r="E21" s="410">
        <v>25.880665116088384</v>
      </c>
      <c r="F21" s="410">
        <v>19.023063652554338</v>
      </c>
      <c r="G21" s="410">
        <v>23.027341889100001</v>
      </c>
      <c r="H21" s="410">
        <v>28.029164734799998</v>
      </c>
      <c r="I21" s="410">
        <v>27.893553600000001</v>
      </c>
      <c r="J21" s="410">
        <v>27.820721800000001</v>
      </c>
      <c r="K21" s="535">
        <v>26.843142</v>
      </c>
      <c r="L21" s="411">
        <v>17.866862999999999</v>
      </c>
      <c r="M21" s="464">
        <v>14.01432</v>
      </c>
      <c r="N21" s="464">
        <v>16.885954000000002</v>
      </c>
      <c r="O21" s="464">
        <v>18.309643000000001</v>
      </c>
      <c r="P21" s="464">
        <v>19.177292000000001</v>
      </c>
      <c r="Q21" s="464">
        <v>19.571626999999999</v>
      </c>
      <c r="R21" s="464">
        <v>19.845890000000001</v>
      </c>
      <c r="S21" s="464">
        <v>19.976365999999999</v>
      </c>
      <c r="T21" s="464">
        <v>20.233757000000001</v>
      </c>
      <c r="U21" s="464">
        <v>20.547374999999999</v>
      </c>
      <c r="V21" s="464">
        <v>21.121603</v>
      </c>
      <c r="W21" s="464">
        <v>21.527484999999999</v>
      </c>
      <c r="X21" s="464">
        <v>21.833456000000002</v>
      </c>
      <c r="Y21" s="464">
        <v>21.919331</v>
      </c>
      <c r="Z21" s="464">
        <v>22.212651999999999</v>
      </c>
      <c r="AA21" s="464">
        <v>22.634938999999999</v>
      </c>
      <c r="AB21" s="464">
        <v>23.027058</v>
      </c>
      <c r="AC21" s="464">
        <v>23.448084000000001</v>
      </c>
      <c r="AD21" s="464">
        <v>23.425070000000002</v>
      </c>
      <c r="AE21" s="464">
        <v>23.698528</v>
      </c>
      <c r="AF21" s="464">
        <v>23.838467000000001</v>
      </c>
      <c r="AG21" s="464">
        <v>24.360401</v>
      </c>
      <c r="AH21" s="464">
        <v>24.433354999999999</v>
      </c>
      <c r="AI21" s="464">
        <v>24.511956999999999</v>
      </c>
      <c r="AJ21" s="464">
        <v>24.757484000000002</v>
      </c>
      <c r="AK21" s="464">
        <v>24.941123999999999</v>
      </c>
    </row>
    <row r="22" spans="1:37">
      <c r="A22" s="57" t="s">
        <v>31</v>
      </c>
      <c r="B22" s="410">
        <v>12.712094069421742</v>
      </c>
      <c r="C22" s="410">
        <v>8.3987233696777679</v>
      </c>
      <c r="D22" s="410">
        <v>8.0348807831263542</v>
      </c>
      <c r="E22" s="410">
        <v>14.838764238637486</v>
      </c>
      <c r="F22" s="410">
        <v>8.8722638441839781</v>
      </c>
      <c r="G22" s="410">
        <v>12.8982843453</v>
      </c>
      <c r="H22" s="410">
        <v>21.682584618</v>
      </c>
      <c r="I22" s="410">
        <v>17.5545154</v>
      </c>
      <c r="J22" s="410">
        <v>16.969809399999999</v>
      </c>
      <c r="K22" s="535">
        <v>12.514585</v>
      </c>
      <c r="L22" s="411">
        <v>10.701506</v>
      </c>
      <c r="M22" s="464">
        <v>7.9098090000000001</v>
      </c>
      <c r="N22" s="464">
        <v>10.297192000000001</v>
      </c>
      <c r="O22" s="464">
        <v>11.348692</v>
      </c>
      <c r="P22" s="464">
        <v>11.761670000000001</v>
      </c>
      <c r="Q22" s="464">
        <v>11.825191999999999</v>
      </c>
      <c r="R22" s="464">
        <v>11.696512999999999</v>
      </c>
      <c r="S22" s="464">
        <v>11.58348</v>
      </c>
      <c r="T22" s="464">
        <v>11.848077</v>
      </c>
      <c r="U22" s="464">
        <v>12.063192000000001</v>
      </c>
      <c r="V22" s="464">
        <v>12.445573</v>
      </c>
      <c r="W22" s="464">
        <v>12.762446000000001</v>
      </c>
      <c r="X22" s="464">
        <v>12.899919000000001</v>
      </c>
      <c r="Y22" s="464">
        <v>12.990983999999999</v>
      </c>
      <c r="Z22" s="464">
        <v>13.260201</v>
      </c>
      <c r="AA22" s="464">
        <v>13.592950999999999</v>
      </c>
      <c r="AB22" s="464">
        <v>13.898376000000001</v>
      </c>
      <c r="AC22" s="464">
        <v>14.217608</v>
      </c>
      <c r="AD22" s="464">
        <v>14.256107999999999</v>
      </c>
      <c r="AE22" s="464">
        <v>14.43746</v>
      </c>
      <c r="AF22" s="464">
        <v>14.552527</v>
      </c>
      <c r="AG22" s="464">
        <v>14.963160999999999</v>
      </c>
      <c r="AH22" s="464">
        <v>15.028708</v>
      </c>
      <c r="AI22" s="464">
        <v>15.16474</v>
      </c>
      <c r="AJ22" s="464">
        <v>15.379087</v>
      </c>
      <c r="AK22" s="464">
        <v>15.499771000000001</v>
      </c>
    </row>
    <row r="23" spans="1:37">
      <c r="A23" s="57" t="s">
        <v>47</v>
      </c>
      <c r="B23" s="410">
        <v>9.6803827233946027</v>
      </c>
      <c r="C23" s="410">
        <v>8.7916513146663533</v>
      </c>
      <c r="D23" s="410">
        <v>9.4360966899852876</v>
      </c>
      <c r="E23" s="410">
        <v>10.9743303406492</v>
      </c>
      <c r="F23" s="410">
        <v>6.1526683944177361</v>
      </c>
      <c r="G23" s="410">
        <v>6.8424346047000011</v>
      </c>
      <c r="H23" s="410">
        <v>6.6316744380000001</v>
      </c>
      <c r="I23" s="410">
        <v>5.144387</v>
      </c>
      <c r="J23" s="410">
        <v>5.9116854000000005</v>
      </c>
      <c r="K23" s="535">
        <v>6.6199209999999997</v>
      </c>
      <c r="L23" s="411">
        <v>5.25047</v>
      </c>
      <c r="M23" s="464">
        <v>4.7906389999999996</v>
      </c>
      <c r="N23" s="464">
        <v>5.4078439999999999</v>
      </c>
      <c r="O23" s="464">
        <v>5.7558449999999999</v>
      </c>
      <c r="P23" s="464">
        <v>6.0347</v>
      </c>
      <c r="Q23" s="464">
        <v>6.1813659999999997</v>
      </c>
      <c r="R23" s="464">
        <v>6.214626</v>
      </c>
      <c r="S23" s="464">
        <v>6.2316919999999998</v>
      </c>
      <c r="T23" s="464">
        <v>6.2973939999999997</v>
      </c>
      <c r="U23" s="464">
        <v>6.3530439999999997</v>
      </c>
      <c r="V23" s="464">
        <v>6.6094819999999999</v>
      </c>
      <c r="W23" s="464">
        <v>6.762899</v>
      </c>
      <c r="X23" s="464">
        <v>6.8272029999999999</v>
      </c>
      <c r="Y23" s="464">
        <v>6.869224</v>
      </c>
      <c r="Z23" s="464">
        <v>6.9782120000000001</v>
      </c>
      <c r="AA23" s="464">
        <v>6.9520559999999998</v>
      </c>
      <c r="AB23" s="464">
        <v>6.8986850000000004</v>
      </c>
      <c r="AC23" s="464">
        <v>6.8410000000000002</v>
      </c>
      <c r="AD23" s="464">
        <v>6.8331809999999997</v>
      </c>
      <c r="AE23" s="464">
        <v>6.817151</v>
      </c>
      <c r="AF23" s="464">
        <v>6.8413659999999998</v>
      </c>
      <c r="AG23" s="464">
        <v>6.8720309999999998</v>
      </c>
      <c r="AH23" s="464">
        <v>6.8950839999999998</v>
      </c>
      <c r="AI23" s="464">
        <v>6.8615329999999997</v>
      </c>
      <c r="AJ23" s="464">
        <v>6.8753669999999998</v>
      </c>
      <c r="AK23" s="464">
        <v>6.8618730000000001</v>
      </c>
    </row>
    <row r="24" spans="1:37">
      <c r="A24" s="57" t="s">
        <v>36</v>
      </c>
      <c r="B24" s="410" t="s">
        <v>34</v>
      </c>
      <c r="C24" s="410" t="s">
        <v>34</v>
      </c>
      <c r="D24" s="410" t="s">
        <v>34</v>
      </c>
      <c r="E24" s="410" t="s">
        <v>34</v>
      </c>
      <c r="F24" s="410" t="s">
        <v>34</v>
      </c>
      <c r="G24" s="410" t="s">
        <v>34</v>
      </c>
      <c r="H24" s="410" t="s">
        <v>34</v>
      </c>
      <c r="I24" s="410">
        <v>0</v>
      </c>
      <c r="J24" s="410">
        <v>0</v>
      </c>
      <c r="K24" s="535">
        <v>0</v>
      </c>
      <c r="L24" s="411">
        <v>0</v>
      </c>
      <c r="M24" s="464">
        <v>0</v>
      </c>
      <c r="N24" s="464">
        <v>0</v>
      </c>
      <c r="O24" s="464">
        <v>0</v>
      </c>
      <c r="P24" s="464">
        <v>0</v>
      </c>
      <c r="Q24" s="464">
        <v>0</v>
      </c>
      <c r="R24" s="464">
        <v>0</v>
      </c>
      <c r="S24" s="464">
        <v>0</v>
      </c>
      <c r="T24" s="464">
        <v>0</v>
      </c>
      <c r="U24" s="464">
        <v>0</v>
      </c>
      <c r="V24" s="464">
        <v>0</v>
      </c>
      <c r="W24" s="464">
        <v>0</v>
      </c>
      <c r="X24" s="464">
        <v>0</v>
      </c>
      <c r="Y24" s="464">
        <v>0</v>
      </c>
      <c r="Z24" s="464">
        <v>0</v>
      </c>
      <c r="AA24" s="464">
        <v>0</v>
      </c>
      <c r="AB24" s="464">
        <v>0</v>
      </c>
      <c r="AC24" s="464">
        <v>0</v>
      </c>
      <c r="AD24" s="464">
        <v>0</v>
      </c>
      <c r="AE24" s="464">
        <v>0</v>
      </c>
      <c r="AF24" s="464">
        <v>0</v>
      </c>
      <c r="AG24" s="464">
        <v>0</v>
      </c>
      <c r="AH24" s="464">
        <v>0</v>
      </c>
      <c r="AI24" s="464">
        <v>0</v>
      </c>
      <c r="AJ24" s="464">
        <v>0</v>
      </c>
      <c r="AK24" s="464">
        <v>0</v>
      </c>
    </row>
    <row r="25" spans="1:37">
      <c r="A25" s="57" t="s">
        <v>37</v>
      </c>
      <c r="B25" s="410">
        <v>2.6853029392704197</v>
      </c>
      <c r="C25" s="410">
        <v>3.0562250666494064</v>
      </c>
      <c r="D25" s="410">
        <v>2.9300224949548581</v>
      </c>
      <c r="E25" s="410">
        <v>3.7140272312924871</v>
      </c>
      <c r="F25" s="410">
        <v>3.6157993272453006</v>
      </c>
      <c r="G25" s="410">
        <v>3.4432300593000003</v>
      </c>
      <c r="H25" s="410">
        <v>3.5423075435999998</v>
      </c>
      <c r="I25" s="410">
        <v>3.857008</v>
      </c>
      <c r="J25" s="410">
        <v>3.7451957999999999</v>
      </c>
      <c r="K25" s="535">
        <v>3.6507230000000002</v>
      </c>
      <c r="L25" s="411">
        <v>3.8752390000000001</v>
      </c>
      <c r="M25" s="464">
        <v>3.827636</v>
      </c>
      <c r="N25" s="464">
        <v>3.8425600000000002</v>
      </c>
      <c r="O25" s="464">
        <v>3.884989</v>
      </c>
      <c r="P25" s="464">
        <v>3.9007170000000002</v>
      </c>
      <c r="Q25" s="464">
        <v>3.9410880000000001</v>
      </c>
      <c r="R25" s="464">
        <v>3.9421400000000002</v>
      </c>
      <c r="S25" s="464">
        <v>3.9562010000000001</v>
      </c>
      <c r="T25" s="464">
        <v>3.9855260000000001</v>
      </c>
      <c r="U25" s="464">
        <v>3.9888849999999998</v>
      </c>
      <c r="V25" s="464">
        <v>3.9856440000000002</v>
      </c>
      <c r="W25" s="464">
        <v>3.9951150000000002</v>
      </c>
      <c r="X25" s="464">
        <v>3.9765359999999998</v>
      </c>
      <c r="Y25" s="464">
        <v>3.9776259999999999</v>
      </c>
      <c r="Z25" s="464">
        <v>3.9749310000000002</v>
      </c>
      <c r="AA25" s="464">
        <v>3.9837229999999999</v>
      </c>
      <c r="AB25" s="464">
        <v>3.9805700000000002</v>
      </c>
      <c r="AC25" s="464">
        <v>3.9656090000000002</v>
      </c>
      <c r="AD25" s="464">
        <v>3.9413800000000001</v>
      </c>
      <c r="AE25" s="464">
        <v>3.927152</v>
      </c>
      <c r="AF25" s="464">
        <v>3.9095490000000002</v>
      </c>
      <c r="AG25" s="464">
        <v>3.902018</v>
      </c>
      <c r="AH25" s="464">
        <v>3.8819309999999998</v>
      </c>
      <c r="AI25" s="464">
        <v>3.8689019999999998</v>
      </c>
      <c r="AJ25" s="464">
        <v>3.8507690000000001</v>
      </c>
      <c r="AK25" s="464">
        <v>3.8446980000000002</v>
      </c>
    </row>
    <row r="26" spans="1:37">
      <c r="A26" s="57" t="s">
        <v>48</v>
      </c>
      <c r="B26" s="410" t="s">
        <v>34</v>
      </c>
      <c r="C26" s="410" t="s">
        <v>34</v>
      </c>
      <c r="D26" s="410" t="s">
        <v>34</v>
      </c>
      <c r="E26" s="410" t="s">
        <v>34</v>
      </c>
      <c r="F26" s="410" t="s">
        <v>34</v>
      </c>
      <c r="G26" s="410" t="s">
        <v>34</v>
      </c>
      <c r="H26" s="410" t="s">
        <v>34</v>
      </c>
      <c r="I26" s="410">
        <v>0</v>
      </c>
      <c r="J26" s="410">
        <v>0</v>
      </c>
      <c r="K26" s="535">
        <v>0</v>
      </c>
      <c r="L26" s="411">
        <v>0</v>
      </c>
      <c r="M26" s="464">
        <v>0</v>
      </c>
      <c r="N26" s="464">
        <v>0</v>
      </c>
      <c r="O26" s="464">
        <v>0</v>
      </c>
      <c r="P26" s="464">
        <v>0</v>
      </c>
      <c r="Q26" s="464">
        <v>0</v>
      </c>
      <c r="R26" s="464">
        <v>0</v>
      </c>
      <c r="S26" s="464">
        <v>0</v>
      </c>
      <c r="T26" s="464">
        <v>0</v>
      </c>
      <c r="U26" s="464">
        <v>0</v>
      </c>
      <c r="V26" s="464">
        <v>0</v>
      </c>
      <c r="W26" s="464">
        <v>0</v>
      </c>
      <c r="X26" s="464">
        <v>0</v>
      </c>
      <c r="Y26" s="464">
        <v>0</v>
      </c>
      <c r="Z26" s="464">
        <v>0</v>
      </c>
      <c r="AA26" s="464">
        <v>0</v>
      </c>
      <c r="AB26" s="464">
        <v>0</v>
      </c>
      <c r="AC26" s="464">
        <v>0</v>
      </c>
      <c r="AD26" s="464">
        <v>0</v>
      </c>
      <c r="AE26" s="464">
        <v>0</v>
      </c>
      <c r="AF26" s="464">
        <v>0</v>
      </c>
      <c r="AG26" s="464">
        <v>0</v>
      </c>
      <c r="AH26" s="464">
        <v>0</v>
      </c>
      <c r="AI26" s="464">
        <v>0</v>
      </c>
      <c r="AJ26" s="464">
        <v>0</v>
      </c>
      <c r="AK26" s="464">
        <v>0</v>
      </c>
    </row>
    <row r="27" spans="1:37">
      <c r="A27" s="77" t="s">
        <v>8</v>
      </c>
      <c r="B27" s="410">
        <v>14.501129517650607</v>
      </c>
      <c r="C27" s="410">
        <v>14.97593173500983</v>
      </c>
      <c r="D27" s="410">
        <v>14.85010796351723</v>
      </c>
      <c r="E27" s="410">
        <v>14.628858094573284</v>
      </c>
      <c r="F27" s="410">
        <v>13.785994920885091</v>
      </c>
      <c r="G27" s="410">
        <v>13.017621405478318</v>
      </c>
      <c r="H27" s="410">
        <v>12.499403010805048</v>
      </c>
      <c r="I27" s="410">
        <v>13.049445744021567</v>
      </c>
      <c r="J27" s="410">
        <v>13.632119706637743</v>
      </c>
      <c r="K27" s="535">
        <v>14.718766471786052</v>
      </c>
      <c r="L27" s="411">
        <v>13.843276824630784</v>
      </c>
      <c r="M27" s="464">
        <v>14.187086657339165</v>
      </c>
      <c r="N27" s="464">
        <v>13.991675226616003</v>
      </c>
      <c r="O27" s="464">
        <v>13.777546401957858</v>
      </c>
      <c r="P27" s="464">
        <v>13.664135128635722</v>
      </c>
      <c r="Q27" s="464">
        <v>13.896025565410891</v>
      </c>
      <c r="R27" s="464">
        <v>14.021338670975755</v>
      </c>
      <c r="S27" s="464">
        <v>15.324218885043114</v>
      </c>
      <c r="T27" s="464">
        <v>15.289334380389334</v>
      </c>
      <c r="U27" s="464">
        <v>15.036138484489431</v>
      </c>
      <c r="V27" s="464">
        <v>15.633589938272435</v>
      </c>
      <c r="W27" s="464">
        <v>15.694226431886733</v>
      </c>
      <c r="X27" s="464">
        <v>15.712235158533614</v>
      </c>
      <c r="Y27" s="464">
        <v>15.732345890385904</v>
      </c>
      <c r="Z27" s="464">
        <v>15.613693644648531</v>
      </c>
      <c r="AA27" s="464">
        <v>15.613059520173156</v>
      </c>
      <c r="AB27" s="464">
        <v>15.611833648300873</v>
      </c>
      <c r="AC27" s="464">
        <v>15.57991707084142</v>
      </c>
      <c r="AD27" s="464">
        <v>15.537086098124245</v>
      </c>
      <c r="AE27" s="464">
        <v>15.465880863253696</v>
      </c>
      <c r="AF27" s="464">
        <v>15.393821449440072</v>
      </c>
      <c r="AG27" s="464">
        <v>15.330447294443358</v>
      </c>
      <c r="AH27" s="464">
        <v>15.308428062358415</v>
      </c>
      <c r="AI27" s="464">
        <v>15.238398153206315</v>
      </c>
      <c r="AJ27" s="464">
        <v>15.17703410131713</v>
      </c>
      <c r="AK27" s="464">
        <v>15.105625150129613</v>
      </c>
    </row>
    <row r="28" spans="1:37">
      <c r="B28" s="410"/>
      <c r="C28" s="410"/>
      <c r="D28" s="410"/>
      <c r="E28" s="410"/>
      <c r="F28" s="410"/>
      <c r="G28" s="410"/>
      <c r="H28" s="410"/>
      <c r="I28" s="410"/>
      <c r="J28" s="410"/>
      <c r="K28" s="535"/>
      <c r="L28" s="584"/>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row>
    <row r="29" spans="1:37">
      <c r="A29" s="57" t="s">
        <v>81</v>
      </c>
      <c r="B29" s="410"/>
      <c r="C29" s="410"/>
      <c r="D29" s="410"/>
      <c r="E29" s="410"/>
      <c r="F29" s="410"/>
      <c r="G29" s="410"/>
      <c r="H29" s="410"/>
      <c r="I29" s="410"/>
      <c r="J29" s="410"/>
      <c r="K29" s="535"/>
      <c r="L29" s="584"/>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row>
    <row r="30" spans="1:37">
      <c r="A30" s="57" t="s">
        <v>49</v>
      </c>
      <c r="B30" s="410">
        <v>23.581029927118582</v>
      </c>
      <c r="C30" s="410">
        <v>25.158165491875451</v>
      </c>
      <c r="D30" s="410">
        <v>26.679676788537343</v>
      </c>
      <c r="E30" s="410">
        <v>33.455022466836319</v>
      </c>
      <c r="F30" s="410">
        <v>28.166532270599728</v>
      </c>
      <c r="G30" s="410">
        <v>33.068190690999998</v>
      </c>
      <c r="H30" s="410">
        <v>27.4650159696</v>
      </c>
      <c r="I30" s="410">
        <v>25.942482000000002</v>
      </c>
      <c r="J30" s="410">
        <v>25.177235200000002</v>
      </c>
      <c r="K30" s="535">
        <v>24.355412999999999</v>
      </c>
      <c r="L30" s="411">
        <v>18.216526000000002</v>
      </c>
      <c r="M30" s="464">
        <v>17.299603999999999</v>
      </c>
      <c r="N30" s="464">
        <v>17.604868</v>
      </c>
      <c r="O30" s="464">
        <v>18.444811000000001</v>
      </c>
      <c r="P30" s="464">
        <v>18.418451000000001</v>
      </c>
      <c r="Q30" s="464">
        <v>18.353339999999999</v>
      </c>
      <c r="R30" s="464">
        <v>18.375464999999998</v>
      </c>
      <c r="S30" s="464">
        <v>18.725016</v>
      </c>
      <c r="T30" s="464">
        <v>18.847216</v>
      </c>
      <c r="U30" s="464">
        <v>18.824777999999998</v>
      </c>
      <c r="V30" s="464">
        <v>18.736934999999999</v>
      </c>
      <c r="W30" s="464">
        <v>18.756917999999999</v>
      </c>
      <c r="X30" s="464">
        <v>18.894617</v>
      </c>
      <c r="Y30" s="464">
        <v>18.883175000000001</v>
      </c>
      <c r="Z30" s="464">
        <v>18.940118999999999</v>
      </c>
      <c r="AA30" s="464">
        <v>19.063874999999999</v>
      </c>
      <c r="AB30" s="464">
        <v>19.381985</v>
      </c>
      <c r="AC30" s="464">
        <v>19.591384999999999</v>
      </c>
      <c r="AD30" s="464">
        <v>19.646281999999999</v>
      </c>
      <c r="AE30" s="464">
        <v>19.770477</v>
      </c>
      <c r="AF30" s="464">
        <v>19.781804999999999</v>
      </c>
      <c r="AG30" s="464">
        <v>20.057704999999999</v>
      </c>
      <c r="AH30" s="464">
        <v>20.134003</v>
      </c>
      <c r="AI30" s="464">
        <v>20.231490999999998</v>
      </c>
      <c r="AJ30" s="464">
        <v>20.541212000000002</v>
      </c>
      <c r="AK30" s="464">
        <v>20.615555000000001</v>
      </c>
    </row>
    <row r="31" spans="1:37">
      <c r="A31" s="57" t="s">
        <v>50</v>
      </c>
      <c r="B31" s="410">
        <v>28.50245344808981</v>
      </c>
      <c r="C31" s="410">
        <v>31.960750134705297</v>
      </c>
      <c r="D31" s="410">
        <v>33.572252010082465</v>
      </c>
      <c r="E31" s="410">
        <v>33.59062427495482</v>
      </c>
      <c r="F31" s="410">
        <v>30.529886172607366</v>
      </c>
      <c r="G31" s="410">
        <v>29.803621808999999</v>
      </c>
      <c r="H31" s="410">
        <v>48.911446820999998</v>
      </c>
      <c r="I31" s="410">
        <v>38.798833399999999</v>
      </c>
      <c r="J31" s="410">
        <v>36.077386000000004</v>
      </c>
      <c r="K31" s="535">
        <v>36.462696000000001</v>
      </c>
      <c r="L31" s="411">
        <v>30.690058000000001</v>
      </c>
      <c r="M31" s="464">
        <v>27.954194999999999</v>
      </c>
      <c r="N31" s="464">
        <v>34.198135000000001</v>
      </c>
      <c r="O31" s="464">
        <v>32.386344999999999</v>
      </c>
      <c r="P31" s="464">
        <v>34.475971000000001</v>
      </c>
      <c r="Q31" s="464">
        <v>33.360455000000002</v>
      </c>
      <c r="R31" s="464">
        <v>32.805489000000001</v>
      </c>
      <c r="S31" s="464">
        <v>31.970801999999999</v>
      </c>
      <c r="T31" s="464">
        <v>32.263129999999997</v>
      </c>
      <c r="U31" s="464">
        <v>30.336008</v>
      </c>
      <c r="V31" s="464">
        <v>27.487354</v>
      </c>
      <c r="W31" s="464">
        <v>27.039035999999999</v>
      </c>
      <c r="X31" s="464">
        <v>25.687657999999999</v>
      </c>
      <c r="Y31" s="464">
        <v>24.701616000000001</v>
      </c>
      <c r="Z31" s="464">
        <v>24.101206000000001</v>
      </c>
      <c r="AA31" s="464">
        <v>23.470735999999999</v>
      </c>
      <c r="AB31" s="464">
        <v>23.653905999999999</v>
      </c>
      <c r="AC31" s="464">
        <v>23.842531000000001</v>
      </c>
      <c r="AD31" s="464">
        <v>23.620239000000002</v>
      </c>
      <c r="AE31" s="464">
        <v>23.977947</v>
      </c>
      <c r="AF31" s="464">
        <v>23.960325000000001</v>
      </c>
      <c r="AG31" s="464">
        <v>24.096886000000001</v>
      </c>
      <c r="AH31" s="464">
        <v>23.907021</v>
      </c>
      <c r="AI31" s="464">
        <v>23.817207</v>
      </c>
      <c r="AJ31" s="464">
        <v>23.918026000000001</v>
      </c>
      <c r="AK31" s="464">
        <v>23.999077</v>
      </c>
    </row>
    <row r="32" spans="1:37">
      <c r="A32" s="57" t="s">
        <v>51</v>
      </c>
      <c r="B32" s="410">
        <v>25.215170995092052</v>
      </c>
      <c r="C32" s="410">
        <v>26.545286505964025</v>
      </c>
      <c r="D32" s="410">
        <v>28.731961754408683</v>
      </c>
      <c r="E32" s="410">
        <v>31.537219678181152</v>
      </c>
      <c r="F32" s="410">
        <v>22.548723397503924</v>
      </c>
      <c r="G32" s="410">
        <v>26.558251523999999</v>
      </c>
      <c r="H32" s="410">
        <v>32.520299452742321</v>
      </c>
      <c r="I32" s="410">
        <v>31.700946531883368</v>
      </c>
      <c r="J32" s="410">
        <v>30.011539011306155</v>
      </c>
      <c r="K32" s="535">
        <v>28.640116270973003</v>
      </c>
      <c r="L32" s="411">
        <v>20.793419703219829</v>
      </c>
      <c r="M32" s="465">
        <v>19.229570622218059</v>
      </c>
      <c r="N32" s="465">
        <v>19.996512721973637</v>
      </c>
      <c r="O32" s="465">
        <v>19.209865651812734</v>
      </c>
      <c r="P32" s="465">
        <v>20.916114429019387</v>
      </c>
      <c r="Q32" s="465">
        <v>21.683831922571251</v>
      </c>
      <c r="R32" s="465">
        <v>22.547192180207297</v>
      </c>
      <c r="S32" s="465">
        <v>23.298815220573392</v>
      </c>
      <c r="T32" s="465">
        <v>23.459943776669519</v>
      </c>
      <c r="U32" s="465">
        <v>23.567599873068517</v>
      </c>
      <c r="V32" s="465">
        <v>23.827566697472346</v>
      </c>
      <c r="W32" s="465">
        <v>24.165927847446113</v>
      </c>
      <c r="X32" s="465">
        <v>24.376755407892034</v>
      </c>
      <c r="Y32" s="465">
        <v>24.367488062259991</v>
      </c>
      <c r="Z32" s="465">
        <v>24.540090337930131</v>
      </c>
      <c r="AA32" s="465">
        <v>24.815777816285426</v>
      </c>
      <c r="AB32" s="465">
        <v>25.21338326951782</v>
      </c>
      <c r="AC32" s="465">
        <v>25.531612934575325</v>
      </c>
      <c r="AD32" s="465">
        <v>25.482256100293856</v>
      </c>
      <c r="AE32" s="465">
        <v>25.678579291989163</v>
      </c>
      <c r="AF32" s="465">
        <v>25.759831744012175</v>
      </c>
      <c r="AG32" s="465">
        <v>26.197943615809184</v>
      </c>
      <c r="AH32" s="465">
        <v>26.234408210345428</v>
      </c>
      <c r="AI32" s="465">
        <v>26.308070620992901</v>
      </c>
      <c r="AJ32" s="465">
        <v>26.517410652178196</v>
      </c>
      <c r="AK32" s="465">
        <v>26.625124256151707</v>
      </c>
    </row>
    <row r="33" spans="1:37">
      <c r="A33" s="57" t="s">
        <v>52</v>
      </c>
      <c r="B33" s="410">
        <v>16.702437187989137</v>
      </c>
      <c r="C33" s="410">
        <v>17.975547195644388</v>
      </c>
      <c r="D33" s="410">
        <v>18.52862945579167</v>
      </c>
      <c r="E33" s="410">
        <v>26.326216229440853</v>
      </c>
      <c r="F33" s="410">
        <v>14.548188935526408</v>
      </c>
      <c r="G33" s="410">
        <v>18.012754261000001</v>
      </c>
      <c r="H33" s="410">
        <v>23.841538827600001</v>
      </c>
      <c r="I33" s="410">
        <v>23.3636208</v>
      </c>
      <c r="J33" s="410">
        <v>22.157280000000004</v>
      </c>
      <c r="K33" s="535">
        <v>20.741593999999999</v>
      </c>
      <c r="L33" s="411">
        <v>12.171799999999999</v>
      </c>
      <c r="M33" s="464">
        <v>9.7151060000000005</v>
      </c>
      <c r="N33" s="464">
        <v>11.868849000000001</v>
      </c>
      <c r="O33" s="464">
        <v>13.633241999999999</v>
      </c>
      <c r="P33" s="464">
        <v>14.803205999999999</v>
      </c>
      <c r="Q33" s="464">
        <v>15.498574</v>
      </c>
      <c r="R33" s="464">
        <v>15.97486</v>
      </c>
      <c r="S33" s="464">
        <v>16.354880999999999</v>
      </c>
      <c r="T33" s="464">
        <v>16.660318</v>
      </c>
      <c r="U33" s="464">
        <v>16.961186999999999</v>
      </c>
      <c r="V33" s="464">
        <v>17.405557999999999</v>
      </c>
      <c r="W33" s="464">
        <v>17.858553000000001</v>
      </c>
      <c r="X33" s="464">
        <v>18.288891</v>
      </c>
      <c r="Y33" s="464">
        <v>18.407793000000002</v>
      </c>
      <c r="Z33" s="464">
        <v>18.704241</v>
      </c>
      <c r="AA33" s="464">
        <v>19.132448</v>
      </c>
      <c r="AB33" s="464">
        <v>19.573885000000001</v>
      </c>
      <c r="AC33" s="464">
        <v>20.011220999999999</v>
      </c>
      <c r="AD33" s="464">
        <v>20.045142999999999</v>
      </c>
      <c r="AE33" s="464">
        <v>20.386564</v>
      </c>
      <c r="AF33" s="464">
        <v>20.575050000000001</v>
      </c>
      <c r="AG33" s="464">
        <v>21.109949</v>
      </c>
      <c r="AH33" s="464">
        <v>21.201637000000002</v>
      </c>
      <c r="AI33" s="464">
        <v>21.376494999999998</v>
      </c>
      <c r="AJ33" s="464">
        <v>21.676752</v>
      </c>
      <c r="AK33" s="464">
        <v>21.858035999999998</v>
      </c>
    </row>
    <row r="34" spans="1:37">
      <c r="A34" s="57" t="s">
        <v>53</v>
      </c>
      <c r="B34" s="410">
        <v>23.581029927118582</v>
      </c>
      <c r="C34" s="410">
        <v>24.455105964321913</v>
      </c>
      <c r="D34" s="410">
        <v>25.885869718822821</v>
      </c>
      <c r="E34" s="410">
        <v>33.59062427495482</v>
      </c>
      <c r="F34" s="410">
        <v>21.580136738551513</v>
      </c>
      <c r="G34" s="410">
        <v>24.676323889999999</v>
      </c>
      <c r="H34" s="410">
        <v>29.8158830466</v>
      </c>
      <c r="I34" s="410">
        <v>28.990683132407945</v>
      </c>
      <c r="J34" s="410">
        <v>28.300006174169095</v>
      </c>
      <c r="K34" s="535">
        <v>27.189613730608126</v>
      </c>
      <c r="L34" s="411">
        <v>19.487834277933494</v>
      </c>
      <c r="M34" s="464">
        <v>16.794656061523451</v>
      </c>
      <c r="N34" s="464">
        <v>19.16682150825681</v>
      </c>
      <c r="O34" s="464">
        <v>20.998660665796134</v>
      </c>
      <c r="P34" s="464">
        <v>22.39704914660749</v>
      </c>
      <c r="Q34" s="464">
        <v>23.356512647593558</v>
      </c>
      <c r="R34" s="464">
        <v>24.153355494891358</v>
      </c>
      <c r="S34" s="464">
        <v>24.805047098844351</v>
      </c>
      <c r="T34" s="464">
        <v>25.05150680118734</v>
      </c>
      <c r="U34" s="464">
        <v>25.368951579011295</v>
      </c>
      <c r="V34" s="464">
        <v>25.943032846667649</v>
      </c>
      <c r="W34" s="464">
        <v>26.350320029917555</v>
      </c>
      <c r="X34" s="464">
        <v>26.903803990372371</v>
      </c>
      <c r="Y34" s="464">
        <v>26.956389217421606</v>
      </c>
      <c r="Z34" s="464">
        <v>27.251093391990363</v>
      </c>
      <c r="AA34" s="464">
        <v>27.653106480754445</v>
      </c>
      <c r="AB34" s="464">
        <v>28.061536884191813</v>
      </c>
      <c r="AC34" s="464">
        <v>28.448062337708983</v>
      </c>
      <c r="AD34" s="464">
        <v>28.44606992350748</v>
      </c>
      <c r="AE34" s="464">
        <v>28.700863913799179</v>
      </c>
      <c r="AF34" s="464">
        <v>28.864407268044836</v>
      </c>
      <c r="AG34" s="464">
        <v>29.367058552194653</v>
      </c>
      <c r="AH34" s="464">
        <v>29.433937900352621</v>
      </c>
      <c r="AI34" s="464">
        <v>29.50394611256003</v>
      </c>
      <c r="AJ34" s="464">
        <v>29.753579169755024</v>
      </c>
      <c r="AK34" s="464">
        <v>29.912780801985853</v>
      </c>
    </row>
    <row r="35" spans="1:37">
      <c r="A35" s="57" t="s">
        <v>31</v>
      </c>
      <c r="B35" s="410">
        <v>10.868934719680732</v>
      </c>
      <c r="C35" s="410">
        <v>11.781013667017787</v>
      </c>
      <c r="D35" s="410">
        <v>11.945835170871824</v>
      </c>
      <c r="E35" s="410">
        <v>20.824636319965069</v>
      </c>
      <c r="F35" s="410">
        <v>11.526194206927102</v>
      </c>
      <c r="G35" s="410">
        <v>15.439504906</v>
      </c>
      <c r="H35" s="410">
        <v>25.107132314400001</v>
      </c>
      <c r="I35" s="410">
        <v>20.331356</v>
      </c>
      <c r="J35" s="410">
        <v>19.161000000000001</v>
      </c>
      <c r="K35" s="535">
        <v>14.493463999999999</v>
      </c>
      <c r="L35" s="411">
        <v>12.395135</v>
      </c>
      <c r="M35" s="464">
        <v>9.1753780000000003</v>
      </c>
      <c r="N35" s="464">
        <v>13.313644999999999</v>
      </c>
      <c r="O35" s="464">
        <v>14.836287</v>
      </c>
      <c r="P35" s="464">
        <v>15.752774</v>
      </c>
      <c r="Q35" s="464">
        <v>16.346523000000001</v>
      </c>
      <c r="R35" s="464">
        <v>16.775845</v>
      </c>
      <c r="S35" s="464">
        <v>17.158508000000001</v>
      </c>
      <c r="T35" s="464">
        <v>17.382415999999999</v>
      </c>
      <c r="U35" s="464">
        <v>17.589302</v>
      </c>
      <c r="V35" s="464">
        <v>17.922816999999998</v>
      </c>
      <c r="W35" s="464">
        <v>18.233647999999999</v>
      </c>
      <c r="X35" s="464">
        <v>18.384096</v>
      </c>
      <c r="Y35" s="464">
        <v>18.470766000000001</v>
      </c>
      <c r="Z35" s="464">
        <v>18.681507</v>
      </c>
      <c r="AA35" s="464">
        <v>18.977495000000001</v>
      </c>
      <c r="AB35" s="464">
        <v>19.288277000000001</v>
      </c>
      <c r="AC35" s="464">
        <v>19.585773</v>
      </c>
      <c r="AD35" s="464">
        <v>19.580034000000001</v>
      </c>
      <c r="AE35" s="464">
        <v>19.804442999999999</v>
      </c>
      <c r="AF35" s="464">
        <v>19.917308999999999</v>
      </c>
      <c r="AG35" s="464">
        <v>20.291557000000001</v>
      </c>
      <c r="AH35" s="464">
        <v>20.358297</v>
      </c>
      <c r="AI35" s="464">
        <v>20.467974000000002</v>
      </c>
      <c r="AJ35" s="464">
        <v>20.669056000000001</v>
      </c>
      <c r="AK35" s="464">
        <v>20.804379000000001</v>
      </c>
    </row>
    <row r="36" spans="1:37">
      <c r="A36" s="57" t="s">
        <v>54</v>
      </c>
      <c r="B36" s="410">
        <v>14.347516543540372</v>
      </c>
      <c r="C36" s="410">
        <v>13.450918029411255</v>
      </c>
      <c r="D36" s="410">
        <v>12.714585281051809</v>
      </c>
      <c r="E36" s="410">
        <v>15.022166673886632</v>
      </c>
      <c r="F36" s="410">
        <v>10.607329831625647</v>
      </c>
      <c r="G36" s="410">
        <v>15.702759674999999</v>
      </c>
      <c r="H36" s="410">
        <v>16.275761133</v>
      </c>
      <c r="I36" s="410">
        <v>15.559334399999999</v>
      </c>
      <c r="J36" s="410">
        <v>14.978999999999999</v>
      </c>
      <c r="K36" s="535">
        <v>19.085505000000001</v>
      </c>
      <c r="L36" s="411">
        <v>17.802188999999998</v>
      </c>
      <c r="M36" s="464">
        <v>17.856380000000001</v>
      </c>
      <c r="N36" s="464">
        <v>18.421198</v>
      </c>
      <c r="O36" s="464">
        <v>18.736637000000002</v>
      </c>
      <c r="P36" s="464">
        <v>18.963137</v>
      </c>
      <c r="Q36" s="464">
        <v>18.904178999999999</v>
      </c>
      <c r="R36" s="464">
        <v>18.839251000000001</v>
      </c>
      <c r="S36" s="464">
        <v>18.719576</v>
      </c>
      <c r="T36" s="464">
        <v>18.649017000000001</v>
      </c>
      <c r="U36" s="464">
        <v>18.548603</v>
      </c>
      <c r="V36" s="464">
        <v>18.658024000000001</v>
      </c>
      <c r="W36" s="464">
        <v>18.626912999999998</v>
      </c>
      <c r="X36" s="464">
        <v>21.084530000000001</v>
      </c>
      <c r="Y36" s="464">
        <v>20.896325999999998</v>
      </c>
      <c r="Z36" s="464">
        <v>20.793047000000001</v>
      </c>
      <c r="AA36" s="464">
        <v>20.572811000000002</v>
      </c>
      <c r="AB36" s="464">
        <v>20.726780000000002</v>
      </c>
      <c r="AC36" s="464">
        <v>20.514423000000001</v>
      </c>
      <c r="AD36" s="464">
        <v>20.363792</v>
      </c>
      <c r="AE36" s="464">
        <v>20.213449000000001</v>
      </c>
      <c r="AF36" s="464">
        <v>20.115383000000001</v>
      </c>
      <c r="AG36" s="464">
        <v>20.044346000000001</v>
      </c>
      <c r="AH36" s="464">
        <v>19.979122</v>
      </c>
      <c r="AI36" s="464">
        <v>19.858585000000001</v>
      </c>
      <c r="AJ36" s="464">
        <v>19.800684</v>
      </c>
      <c r="AK36" s="464">
        <v>19.721333999999999</v>
      </c>
    </row>
    <row r="37" spans="1:37">
      <c r="A37" s="77" t="s">
        <v>8</v>
      </c>
      <c r="B37" s="410">
        <v>25.273055569087418</v>
      </c>
      <c r="C37" s="410">
        <v>23.968927249238199</v>
      </c>
      <c r="D37" s="410">
        <v>23.728557758441507</v>
      </c>
      <c r="E37" s="410">
        <v>24.586978211291097</v>
      </c>
      <c r="F37" s="410">
        <v>23.563944028004737</v>
      </c>
      <c r="G37" s="410">
        <v>25.051514399860356</v>
      </c>
      <c r="H37" s="410">
        <v>24.211661054755247</v>
      </c>
      <c r="I37" s="410">
        <v>21.242036654265814</v>
      </c>
      <c r="J37" s="410">
        <v>21.485177834325871</v>
      </c>
      <c r="K37" s="535">
        <v>22.631162053794682</v>
      </c>
      <c r="L37" s="411">
        <v>20.007391112347658</v>
      </c>
      <c r="M37" s="464">
        <v>26.260185002497316</v>
      </c>
      <c r="N37" s="464">
        <v>27.65430614530365</v>
      </c>
      <c r="O37" s="464">
        <v>28.450818716372304</v>
      </c>
      <c r="P37" s="464">
        <v>29.772410941374854</v>
      </c>
      <c r="Q37" s="464">
        <v>31.066044240620084</v>
      </c>
      <c r="R37" s="464">
        <v>32.2894520723939</v>
      </c>
      <c r="S37" s="464">
        <v>34.114883304250107</v>
      </c>
      <c r="T37" s="464">
        <v>35.756750807234965</v>
      </c>
      <c r="U37" s="464">
        <v>35.296873681540028</v>
      </c>
      <c r="V37" s="464">
        <v>35.646262445461637</v>
      </c>
      <c r="W37" s="464">
        <v>36.225772276372432</v>
      </c>
      <c r="X37" s="464">
        <v>36.09988552631571</v>
      </c>
      <c r="Y37" s="464">
        <v>36.079810779480624</v>
      </c>
      <c r="Z37" s="464">
        <v>35.748380423104109</v>
      </c>
      <c r="AA37" s="464">
        <v>35.491768259784784</v>
      </c>
      <c r="AB37" s="464">
        <v>35.338739777273268</v>
      </c>
      <c r="AC37" s="464">
        <v>35.164265817790422</v>
      </c>
      <c r="AD37" s="464">
        <v>34.92186487989089</v>
      </c>
      <c r="AE37" s="464">
        <v>34.67795713109701</v>
      </c>
      <c r="AF37" s="464">
        <v>34.423135280251401</v>
      </c>
      <c r="AG37" s="464">
        <v>34.171828140236009</v>
      </c>
      <c r="AH37" s="464">
        <v>34.087492090405476</v>
      </c>
      <c r="AI37" s="464">
        <v>33.889747612534116</v>
      </c>
      <c r="AJ37" s="464">
        <v>33.659255867229902</v>
      </c>
      <c r="AK37" s="464">
        <v>33.464845367931915</v>
      </c>
    </row>
    <row r="38" spans="1:37">
      <c r="B38" s="410"/>
      <c r="C38" s="410"/>
      <c r="D38" s="410"/>
      <c r="E38" s="410"/>
      <c r="F38" s="410"/>
      <c r="G38" s="410"/>
      <c r="H38" s="410"/>
      <c r="I38" s="410"/>
      <c r="J38" s="410"/>
      <c r="K38" s="535"/>
      <c r="L38" s="584"/>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row>
    <row r="39" spans="1:37">
      <c r="A39" s="57" t="s">
        <v>456</v>
      </c>
      <c r="B39" s="410" t="s">
        <v>439</v>
      </c>
      <c r="C39" s="410"/>
      <c r="D39" s="410"/>
      <c r="E39" s="410"/>
      <c r="F39" s="410"/>
      <c r="G39" s="410"/>
      <c r="H39" s="410"/>
      <c r="I39" s="410"/>
      <c r="J39" s="410"/>
      <c r="K39" s="535"/>
      <c r="L39" s="584"/>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row>
    <row r="40" spans="1:37">
      <c r="A40" s="57" t="s">
        <v>25</v>
      </c>
      <c r="B40" s="410">
        <v>16.854451104556041</v>
      </c>
      <c r="C40" s="410">
        <v>17.804532962026791</v>
      </c>
      <c r="D40" s="410">
        <v>19.128826766465245</v>
      </c>
      <c r="E40" s="410">
        <v>22.761811953118713</v>
      </c>
      <c r="F40" s="410">
        <v>16.737196498042987</v>
      </c>
      <c r="G40" s="410">
        <v>20.931666121999999</v>
      </c>
      <c r="H40" s="410">
        <v>24.660451953000003</v>
      </c>
      <c r="I40" s="410">
        <v>24.550471399999999</v>
      </c>
      <c r="J40" s="410">
        <v>24.4776396</v>
      </c>
      <c r="K40" s="535">
        <v>23.618300999999999</v>
      </c>
      <c r="L40" s="411">
        <v>15.726561</v>
      </c>
      <c r="M40" s="464">
        <v>12.320690000000001</v>
      </c>
      <c r="N40" s="464">
        <v>14.871268000000001</v>
      </c>
      <c r="O40" s="464">
        <v>16.576387</v>
      </c>
      <c r="P40" s="464">
        <v>17.547691</v>
      </c>
      <c r="Q40" s="464">
        <v>18.052788</v>
      </c>
      <c r="R40" s="464">
        <v>18.341467000000002</v>
      </c>
      <c r="S40" s="464">
        <v>18.520983000000001</v>
      </c>
      <c r="T40" s="464">
        <v>18.786318000000001</v>
      </c>
      <c r="U40" s="464">
        <v>19.030526999999999</v>
      </c>
      <c r="V40" s="464">
        <v>19.462893999999999</v>
      </c>
      <c r="W40" s="464">
        <v>19.849497</v>
      </c>
      <c r="X40" s="464">
        <v>20.055962000000001</v>
      </c>
      <c r="Y40" s="464">
        <v>20.137384000000001</v>
      </c>
      <c r="Z40" s="464">
        <v>20.400072000000002</v>
      </c>
      <c r="AA40" s="464">
        <v>20.788703999999999</v>
      </c>
      <c r="AB40" s="464">
        <v>21.197610999999998</v>
      </c>
      <c r="AC40" s="464">
        <v>21.600345999999998</v>
      </c>
      <c r="AD40" s="464">
        <v>21.543077</v>
      </c>
      <c r="AE40" s="464">
        <v>21.855748999999999</v>
      </c>
      <c r="AF40" s="464">
        <v>21.990271</v>
      </c>
      <c r="AG40" s="464">
        <v>22.496426</v>
      </c>
      <c r="AH40" s="464">
        <v>22.567212999999999</v>
      </c>
      <c r="AI40" s="464">
        <v>22.680924999999998</v>
      </c>
      <c r="AJ40" s="464">
        <v>22.940228999999999</v>
      </c>
      <c r="AK40" s="464">
        <v>23.137951000000001</v>
      </c>
    </row>
    <row r="41" spans="1:37">
      <c r="A41" s="57" t="s">
        <v>31</v>
      </c>
      <c r="B41" s="410">
        <v>10.260883605477513</v>
      </c>
      <c r="C41" s="410">
        <v>11.514991020049854</v>
      </c>
      <c r="D41" s="410">
        <v>12.429864774934828</v>
      </c>
      <c r="E41" s="410">
        <v>19.642959947773459</v>
      </c>
      <c r="F41" s="410">
        <v>12.010487536403307</v>
      </c>
      <c r="G41" s="410">
        <v>15.579757000000001</v>
      </c>
      <c r="H41" s="410">
        <v>22.408439552400001</v>
      </c>
      <c r="I41" s="410">
        <v>25.975307600000001</v>
      </c>
      <c r="J41" s="410">
        <v>24.002694200000001</v>
      </c>
      <c r="K41" s="535">
        <v>19.642218</v>
      </c>
      <c r="L41" s="411">
        <v>12.897640000000001</v>
      </c>
      <c r="M41" s="464">
        <v>9.9384420000000002</v>
      </c>
      <c r="N41" s="464">
        <v>11.39526</v>
      </c>
      <c r="O41" s="464">
        <v>13.012543000000001</v>
      </c>
      <c r="P41" s="464">
        <v>13.991305000000001</v>
      </c>
      <c r="Q41" s="464">
        <v>14.620611999999999</v>
      </c>
      <c r="R41" s="464">
        <v>15.057715999999999</v>
      </c>
      <c r="S41" s="464">
        <v>15.510467</v>
      </c>
      <c r="T41" s="464">
        <v>15.775064</v>
      </c>
      <c r="U41" s="464">
        <v>15.990178999999999</v>
      </c>
      <c r="V41" s="464">
        <v>16.372558999999999</v>
      </c>
      <c r="W41" s="464">
        <v>16.689433999999999</v>
      </c>
      <c r="X41" s="464">
        <v>16.826906000000001</v>
      </c>
      <c r="Y41" s="464">
        <v>16.917973</v>
      </c>
      <c r="Z41" s="464">
        <v>17.187189</v>
      </c>
      <c r="AA41" s="464">
        <v>17.519938</v>
      </c>
      <c r="AB41" s="464">
        <v>17.825365000000001</v>
      </c>
      <c r="AC41" s="464">
        <v>18.144597999999998</v>
      </c>
      <c r="AD41" s="464">
        <v>18.183095999999999</v>
      </c>
      <c r="AE41" s="464">
        <v>18.364449</v>
      </c>
      <c r="AF41" s="464">
        <v>18.479517000000001</v>
      </c>
      <c r="AG41" s="464">
        <v>18.890149999999998</v>
      </c>
      <c r="AH41" s="464">
        <v>18.955698000000002</v>
      </c>
      <c r="AI41" s="464">
        <v>19.091726000000001</v>
      </c>
      <c r="AJ41" s="464">
        <v>19.306073999999999</v>
      </c>
      <c r="AK41" s="464">
        <v>19.426760000000002</v>
      </c>
    </row>
    <row r="42" spans="1:37">
      <c r="A42" s="57" t="s">
        <v>26</v>
      </c>
      <c r="B42" s="410">
        <v>8.8587806092391812</v>
      </c>
      <c r="C42" s="410">
        <v>7.2187537219205105</v>
      </c>
      <c r="D42" s="410">
        <v>7.365604152788511</v>
      </c>
      <c r="E42" s="410">
        <v>8.8873175920093885</v>
      </c>
      <c r="F42" s="410">
        <v>4.8130168071388626</v>
      </c>
      <c r="G42" s="410">
        <v>4.9287729999999996</v>
      </c>
      <c r="H42" s="410">
        <v>4.9588802021999996</v>
      </c>
      <c r="I42" s="410">
        <v>3.7503248000000005</v>
      </c>
      <c r="J42" s="410">
        <v>4.4909524000000003</v>
      </c>
      <c r="K42" s="535">
        <v>4.9945050000000002</v>
      </c>
      <c r="L42" s="411">
        <v>3.309901</v>
      </c>
      <c r="M42" s="464">
        <v>2.822327</v>
      </c>
      <c r="N42" s="464">
        <v>3.6542590000000001</v>
      </c>
      <c r="O42" s="464">
        <v>3.9704090000000001</v>
      </c>
      <c r="P42" s="464">
        <v>4.2284949999999997</v>
      </c>
      <c r="Q42" s="464">
        <v>4.2865200000000003</v>
      </c>
      <c r="R42" s="464">
        <v>4.3150950000000003</v>
      </c>
      <c r="S42" s="464">
        <v>4.2688829999999998</v>
      </c>
      <c r="T42" s="464">
        <v>4.2836109999999996</v>
      </c>
      <c r="U42" s="464">
        <v>4.3348459999999998</v>
      </c>
      <c r="V42" s="464">
        <v>4.657006</v>
      </c>
      <c r="W42" s="464">
        <v>4.857615</v>
      </c>
      <c r="X42" s="464">
        <v>4.9019149999999998</v>
      </c>
      <c r="Y42" s="464">
        <v>4.9470939999999999</v>
      </c>
      <c r="Z42" s="464">
        <v>5.0654310000000002</v>
      </c>
      <c r="AA42" s="464">
        <v>5.0314100000000002</v>
      </c>
      <c r="AB42" s="464">
        <v>4.9841740000000003</v>
      </c>
      <c r="AC42" s="464">
        <v>4.936769</v>
      </c>
      <c r="AD42" s="464">
        <v>4.9356660000000003</v>
      </c>
      <c r="AE42" s="464">
        <v>4.9357329999999999</v>
      </c>
      <c r="AF42" s="464">
        <v>4.9748520000000003</v>
      </c>
      <c r="AG42" s="464">
        <v>5.0186799999999998</v>
      </c>
      <c r="AH42" s="464">
        <v>5.0566940000000002</v>
      </c>
      <c r="AI42" s="464">
        <v>5.0336809999999996</v>
      </c>
      <c r="AJ42" s="464">
        <v>5.066058</v>
      </c>
      <c r="AK42" s="464">
        <v>5.0678210000000004</v>
      </c>
    </row>
    <row r="43" spans="1:37">
      <c r="A43" s="57" t="s">
        <v>41</v>
      </c>
      <c r="B43" s="410">
        <v>1.7320665011297836</v>
      </c>
      <c r="C43" s="410">
        <v>1.9023175526905256</v>
      </c>
      <c r="D43" s="410">
        <v>2.1303159268487466</v>
      </c>
      <c r="E43" s="410">
        <v>2.6336036357309429</v>
      </c>
      <c r="F43" s="410">
        <v>2.7189923274487202</v>
      </c>
      <c r="G43" s="410">
        <v>1.8096479999999999</v>
      </c>
      <c r="H43" s="410">
        <v>2.0108612675999997</v>
      </c>
      <c r="I43" s="410">
        <v>1.9531232000000001</v>
      </c>
      <c r="J43" s="410">
        <v>2.0813481999999999</v>
      </c>
      <c r="K43" s="535">
        <v>2.1933699999999998</v>
      </c>
      <c r="L43" s="411">
        <v>2.128514</v>
      </c>
      <c r="M43" s="464">
        <v>2.0289380000000001</v>
      </c>
      <c r="N43" s="464">
        <v>2.105111</v>
      </c>
      <c r="O43" s="464">
        <v>2.1813929999999999</v>
      </c>
      <c r="P43" s="464">
        <v>2.2403469999999999</v>
      </c>
      <c r="Q43" s="464">
        <v>2.2447249999999999</v>
      </c>
      <c r="R43" s="464">
        <v>2.2239840000000002</v>
      </c>
      <c r="S43" s="464">
        <v>2.2312249999999998</v>
      </c>
      <c r="T43" s="464">
        <v>2.2460200000000001</v>
      </c>
      <c r="U43" s="464">
        <v>2.265733</v>
      </c>
      <c r="V43" s="464">
        <v>2.2925260000000001</v>
      </c>
      <c r="W43" s="464">
        <v>2.277631</v>
      </c>
      <c r="X43" s="464">
        <v>2.2636470000000002</v>
      </c>
      <c r="Y43" s="464">
        <v>2.2351350000000001</v>
      </c>
      <c r="Z43" s="464">
        <v>2.2149740000000002</v>
      </c>
      <c r="AA43" s="464">
        <v>2.3379189999999999</v>
      </c>
      <c r="AB43" s="464">
        <v>2.348468</v>
      </c>
      <c r="AC43" s="464">
        <v>2.3571840000000002</v>
      </c>
      <c r="AD43" s="464">
        <v>2.3613710000000001</v>
      </c>
      <c r="AE43" s="464">
        <v>2.3798699999999999</v>
      </c>
      <c r="AF43" s="464">
        <v>2.4085230000000002</v>
      </c>
      <c r="AG43" s="464">
        <v>2.437916</v>
      </c>
      <c r="AH43" s="464">
        <v>2.4497149999999999</v>
      </c>
      <c r="AI43" s="464">
        <v>2.476324</v>
      </c>
      <c r="AJ43" s="464">
        <v>2.4795340000000001</v>
      </c>
      <c r="AK43" s="464">
        <v>2.4456229999999999</v>
      </c>
    </row>
    <row r="44" spans="1:37">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row>
    <row r="45" spans="1:37" ht="16.5">
      <c r="A45" s="113"/>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AU86"/>
  <sheetViews>
    <sheetView showGridLines="0" zoomScaleNormal="100" workbookViewId="0">
      <pane xSplit="1" ySplit="5" topLeftCell="B54" activePane="bottomRight" state="frozen"/>
      <selection pane="topRight" activeCell="B1" sqref="B1"/>
      <selection pane="bottomLeft" activeCell="A6" sqref="A6"/>
      <selection pane="bottomRight" activeCell="N60" sqref="N60:AU72"/>
    </sheetView>
  </sheetViews>
  <sheetFormatPr defaultColWidth="9.140625" defaultRowHeight="12.75"/>
  <cols>
    <col min="1" max="1" width="35.5703125" style="57" customWidth="1"/>
    <col min="2" max="3" width="8.7109375" style="57" customWidth="1"/>
    <col min="4" max="4" width="8.140625" style="57" customWidth="1"/>
    <col min="5" max="8" width="8.7109375" style="57" customWidth="1"/>
    <col min="9" max="9" width="8.7109375" style="70" customWidth="1"/>
    <col min="10" max="10" width="8.7109375" style="60" customWidth="1"/>
    <col min="11" max="15" width="8.7109375" style="57" customWidth="1"/>
    <col min="16" max="16" width="9.85546875" style="57" customWidth="1"/>
    <col min="17" max="17" width="10.28515625" style="57" customWidth="1"/>
    <col min="18" max="26" width="8.7109375" style="57" customWidth="1"/>
    <col min="27" max="27" width="10.85546875" style="57" customWidth="1"/>
    <col min="28" max="36" width="8.7109375" style="57" customWidth="1"/>
    <col min="37" max="37" width="10.42578125" style="57" customWidth="1"/>
    <col min="38" max="16384" width="9.140625" style="57"/>
  </cols>
  <sheetData>
    <row r="1" spans="1:47" ht="27">
      <c r="A1" s="110" t="s">
        <v>455</v>
      </c>
    </row>
    <row r="2" spans="1:47" ht="15.75">
      <c r="A2" s="64" t="s">
        <v>454</v>
      </c>
      <c r="C2" s="58" t="s">
        <v>1369</v>
      </c>
      <c r="F2" s="194" t="s">
        <v>1392</v>
      </c>
    </row>
    <row r="3" spans="1:47" ht="15.75">
      <c r="A3" s="64" t="s">
        <v>380</v>
      </c>
      <c r="C3" s="58" t="s">
        <v>326</v>
      </c>
      <c r="H3" s="2"/>
      <c r="K3" s="2"/>
      <c r="L3" s="2"/>
      <c r="M3" s="18"/>
    </row>
    <row r="4" spans="1:47">
      <c r="B4" s="57" t="s">
        <v>21</v>
      </c>
      <c r="C4" s="57" t="s">
        <v>21</v>
      </c>
      <c r="D4" s="57" t="s">
        <v>21</v>
      </c>
      <c r="E4" s="57" t="s">
        <v>21</v>
      </c>
      <c r="F4" s="57" t="s">
        <v>21</v>
      </c>
      <c r="G4" s="57" t="s">
        <v>21</v>
      </c>
      <c r="M4" s="18" t="s">
        <v>363</v>
      </c>
      <c r="N4" s="356" t="s">
        <v>364</v>
      </c>
    </row>
    <row r="5" spans="1:47" ht="13.5">
      <c r="A5" s="59" t="s">
        <v>22</v>
      </c>
      <c r="B5" s="59">
        <v>2005</v>
      </c>
      <c r="C5" s="59">
        <v>2006</v>
      </c>
      <c r="D5" s="59">
        <v>2007</v>
      </c>
      <c r="E5" s="59">
        <v>2008</v>
      </c>
      <c r="F5" s="59">
        <v>2009</v>
      </c>
      <c r="G5" s="59">
        <v>2010</v>
      </c>
      <c r="H5" s="59">
        <v>2011</v>
      </c>
      <c r="I5" s="357">
        <v>2012</v>
      </c>
      <c r="J5" s="388">
        <v>2013</v>
      </c>
      <c r="K5" s="467">
        <v>2014</v>
      </c>
      <c r="L5" s="472">
        <v>2015</v>
      </c>
      <c r="M5" s="735">
        <v>2016</v>
      </c>
      <c r="N5" s="59">
        <v>2017</v>
      </c>
      <c r="O5" s="59">
        <v>2018</v>
      </c>
      <c r="P5" s="59">
        <v>2019</v>
      </c>
      <c r="Q5" s="59">
        <v>2020</v>
      </c>
      <c r="R5" s="59">
        <v>2021</v>
      </c>
      <c r="S5" s="59">
        <v>2022</v>
      </c>
      <c r="T5" s="59">
        <v>2023</v>
      </c>
      <c r="U5" s="59">
        <v>2024</v>
      </c>
      <c r="V5" s="59">
        <v>2025</v>
      </c>
      <c r="W5" s="59">
        <v>2026</v>
      </c>
      <c r="X5" s="59">
        <v>2027</v>
      </c>
      <c r="Y5" s="59">
        <v>2028</v>
      </c>
      <c r="Z5" s="59">
        <v>2029</v>
      </c>
      <c r="AA5" s="59">
        <v>2030</v>
      </c>
      <c r="AB5" s="59">
        <v>2031</v>
      </c>
      <c r="AC5" s="59">
        <v>2032</v>
      </c>
      <c r="AD5" s="59">
        <v>2033</v>
      </c>
      <c r="AE5" s="59">
        <v>2034</v>
      </c>
      <c r="AF5" s="59">
        <v>2035</v>
      </c>
      <c r="AG5" s="59">
        <v>2036</v>
      </c>
      <c r="AH5" s="59">
        <v>2037</v>
      </c>
      <c r="AI5" s="59">
        <v>2038</v>
      </c>
      <c r="AJ5" s="59">
        <v>2039</v>
      </c>
      <c r="AK5" s="59">
        <v>2040</v>
      </c>
      <c r="AL5" s="59">
        <v>2041</v>
      </c>
      <c r="AM5" s="59">
        <v>2042</v>
      </c>
      <c r="AN5" s="59">
        <v>2043</v>
      </c>
      <c r="AO5" s="59">
        <v>2044</v>
      </c>
      <c r="AP5" s="59">
        <v>2045</v>
      </c>
      <c r="AQ5" s="59">
        <v>2046</v>
      </c>
      <c r="AR5" s="59">
        <v>2047</v>
      </c>
      <c r="AS5" s="59">
        <v>2048</v>
      </c>
      <c r="AT5" s="59">
        <v>2049</v>
      </c>
      <c r="AU5" s="59">
        <v>2050</v>
      </c>
    </row>
    <row r="6" spans="1:47">
      <c r="A6" s="57" t="s">
        <v>78</v>
      </c>
      <c r="K6" s="2"/>
      <c r="L6" s="2"/>
      <c r="M6" s="18"/>
      <c r="N6" s="546"/>
      <c r="O6" s="546"/>
      <c r="P6" s="546"/>
      <c r="Q6" s="546"/>
      <c r="R6" s="546"/>
      <c r="S6" s="546"/>
      <c r="T6" s="546"/>
      <c r="U6" s="546"/>
      <c r="V6" s="546"/>
      <c r="W6" s="546"/>
      <c r="X6" s="546"/>
      <c r="Y6" s="546"/>
      <c r="Z6" s="546"/>
      <c r="AA6" s="546"/>
      <c r="AB6" s="546"/>
      <c r="AC6" s="546"/>
      <c r="AD6" s="546"/>
      <c r="AE6" s="546"/>
      <c r="AF6" s="546"/>
      <c r="AG6" s="546"/>
      <c r="AH6" s="546"/>
      <c r="AI6" s="546"/>
      <c r="AJ6" s="546"/>
      <c r="AK6" s="546"/>
    </row>
    <row r="7" spans="1:47">
      <c r="A7" s="57" t="s">
        <v>24</v>
      </c>
      <c r="B7" s="537">
        <v>5.8942762385447468E-3</v>
      </c>
      <c r="C7" s="537">
        <v>6.2467946001240303E-3</v>
      </c>
      <c r="D7" s="537">
        <v>7.438418335187668E-3</v>
      </c>
      <c r="E7" s="537">
        <v>7.3868315449196285E-3</v>
      </c>
      <c r="F7" s="537">
        <v>8.1507128623502095E-3</v>
      </c>
      <c r="G7" s="537">
        <v>8.8649914968307545E-3</v>
      </c>
      <c r="H7" s="537">
        <v>8.755865594340672E-3</v>
      </c>
      <c r="I7" s="537">
        <v>6.7459648812051402E-3</v>
      </c>
      <c r="J7" s="537">
        <v>5.5555004904042334E-3</v>
      </c>
      <c r="K7" s="538">
        <v>6.0346624077015978E-3</v>
      </c>
      <c r="L7" s="538">
        <v>6.9229472539708743E-3</v>
      </c>
      <c r="M7" s="512">
        <v>6.9436813729269577E-3</v>
      </c>
      <c r="N7" s="511">
        <v>7.8830858530304741E-3</v>
      </c>
      <c r="O7" s="511">
        <v>7.2990994032712505E-3</v>
      </c>
      <c r="P7" s="511">
        <v>7.0793962345302823E-3</v>
      </c>
      <c r="Q7" s="511">
        <v>6.9979067417425128E-3</v>
      </c>
      <c r="R7" s="511">
        <v>6.9105101093971831E-3</v>
      </c>
      <c r="S7" s="511">
        <v>6.831312222061672E-3</v>
      </c>
      <c r="T7" s="511">
        <v>6.7670717530839064E-3</v>
      </c>
      <c r="U7" s="511">
        <v>6.7071470211492812E-3</v>
      </c>
      <c r="V7" s="511">
        <v>6.6536933821358911E-3</v>
      </c>
      <c r="W7" s="511">
        <v>6.605414726831107E-3</v>
      </c>
      <c r="X7" s="511">
        <v>6.5619681610023257E-3</v>
      </c>
      <c r="Y7" s="511">
        <v>6.5173036023832972E-3</v>
      </c>
      <c r="Z7" s="511">
        <v>6.4693568771254113E-3</v>
      </c>
      <c r="AA7" s="511">
        <v>6.4238419051614402E-3</v>
      </c>
      <c r="AB7" s="511">
        <v>6.3771559221797412E-3</v>
      </c>
      <c r="AC7" s="511">
        <v>6.3266970881771479E-3</v>
      </c>
      <c r="AD7" s="511">
        <v>6.2766567855252016E-3</v>
      </c>
      <c r="AE7" s="511">
        <v>6.2298419389458688E-3</v>
      </c>
      <c r="AF7" s="511">
        <v>6.1870349899196464E-3</v>
      </c>
      <c r="AG7" s="511">
        <v>6.1429703449010055E-3</v>
      </c>
      <c r="AH7" s="511">
        <v>6.1031932758062362E-3</v>
      </c>
      <c r="AI7" s="511">
        <v>6.0596179123288147E-3</v>
      </c>
      <c r="AJ7" s="511">
        <v>6.0196625983172979E-3</v>
      </c>
      <c r="AK7" s="511">
        <v>5.9846438757390312E-3</v>
      </c>
      <c r="AL7" s="511">
        <v>5.9721562463777743E-3</v>
      </c>
      <c r="AM7" s="511">
        <v>5.9415840730106945E-3</v>
      </c>
      <c r="AN7" s="511">
        <v>5.9122650422867833E-3</v>
      </c>
      <c r="AO7" s="511">
        <v>5.8864054711915987E-3</v>
      </c>
      <c r="AP7" s="511">
        <v>5.8609218098175861E-3</v>
      </c>
      <c r="AQ7" s="511">
        <v>5.838388824782899E-3</v>
      </c>
      <c r="AR7" s="511">
        <v>5.8169960846984276E-3</v>
      </c>
      <c r="AS7" s="511">
        <v>5.7957387061408523E-3</v>
      </c>
      <c r="AT7" s="511">
        <v>5.7762438074964451E-3</v>
      </c>
      <c r="AU7" s="60">
        <v>5.7587149728265032E-3</v>
      </c>
    </row>
    <row r="8" spans="1:47">
      <c r="A8" s="57" t="s">
        <v>56</v>
      </c>
      <c r="B8" s="537">
        <v>5.8034862224497956E-4</v>
      </c>
      <c r="C8" s="537">
        <v>6.231536076880495E-4</v>
      </c>
      <c r="D8" s="537">
        <v>3.5001391495894139E-4</v>
      </c>
      <c r="E8" s="537">
        <v>2.6297341758819938E-4</v>
      </c>
      <c r="F8" s="537">
        <v>2.7778882139598525E-4</v>
      </c>
      <c r="G8" s="537">
        <v>2.5186186473235997E-4</v>
      </c>
      <c r="H8" s="537">
        <v>2.2037913164081496E-4</v>
      </c>
      <c r="I8" s="537">
        <v>1.8519254759732348E-4</v>
      </c>
      <c r="J8" s="537">
        <v>0</v>
      </c>
      <c r="K8" s="538">
        <v>5.5187379184002392E-5</v>
      </c>
      <c r="L8" s="538">
        <v>7.1113938277372215E-5</v>
      </c>
      <c r="M8" s="512">
        <v>3.0731504072374513E-5</v>
      </c>
      <c r="N8" s="511">
        <v>3.4907011298912025E-5</v>
      </c>
      <c r="O8" s="511">
        <v>2.9646378925431336E-5</v>
      </c>
      <c r="P8" s="511">
        <v>2.7647205489539099E-5</v>
      </c>
      <c r="Q8" s="511">
        <v>2.6822887366579727E-5</v>
      </c>
      <c r="R8" s="511">
        <v>2.5826512738924252E-5</v>
      </c>
      <c r="S8" s="511">
        <v>2.4952795806252996E-5</v>
      </c>
      <c r="T8" s="511">
        <v>2.4335467601580781E-5</v>
      </c>
      <c r="U8" s="511">
        <v>2.3786270592477169E-5</v>
      </c>
      <c r="V8" s="511">
        <v>2.3284316957968829E-5</v>
      </c>
      <c r="W8" s="511">
        <v>2.2817106559677611E-5</v>
      </c>
      <c r="X8" s="511">
        <v>2.2361616227370321E-5</v>
      </c>
      <c r="Y8" s="511">
        <v>2.1902854972253539E-5</v>
      </c>
      <c r="Z8" s="511">
        <v>2.1437727164427374E-5</v>
      </c>
      <c r="AA8" s="511">
        <v>2.0991230305639996E-5</v>
      </c>
      <c r="AB8" s="511">
        <v>2.053985958367691E-5</v>
      </c>
      <c r="AC8" s="511">
        <v>2.0098818532389736E-5</v>
      </c>
      <c r="AD8" s="511">
        <v>1.9678075861826732E-5</v>
      </c>
      <c r="AE8" s="511">
        <v>1.9271139450288121E-5</v>
      </c>
      <c r="AF8" s="511">
        <v>1.8887971760538706E-5</v>
      </c>
      <c r="AG8" s="511">
        <v>1.8515224763749369E-5</v>
      </c>
      <c r="AH8" s="511">
        <v>1.8119648897423527E-5</v>
      </c>
      <c r="AI8" s="511">
        <v>1.7739434755977977E-5</v>
      </c>
      <c r="AJ8" s="511">
        <v>1.73812023797757E-5</v>
      </c>
      <c r="AK8" s="511">
        <v>1.7039957700635295E-5</v>
      </c>
      <c r="AL8" s="511">
        <v>1.6768328686949405E-5</v>
      </c>
      <c r="AM8" s="511">
        <v>1.6460830698065939E-5</v>
      </c>
      <c r="AN8" s="511">
        <v>1.6172335646816144E-5</v>
      </c>
      <c r="AO8" s="511">
        <v>1.5896181173978396E-5</v>
      </c>
      <c r="AP8" s="511">
        <v>1.562225427459264E-5</v>
      </c>
      <c r="AQ8" s="511">
        <v>1.5364186455121156E-5</v>
      </c>
      <c r="AR8" s="511">
        <v>1.5098202911762295E-5</v>
      </c>
      <c r="AS8" s="511">
        <v>1.4834511280243966E-5</v>
      </c>
      <c r="AT8" s="511">
        <v>1.4590249313579768E-5</v>
      </c>
      <c r="AU8" s="60">
        <v>1.4355243917923912E-5</v>
      </c>
    </row>
    <row r="9" spans="1:47">
      <c r="A9" s="57" t="s">
        <v>25</v>
      </c>
      <c r="B9" s="537">
        <v>6.8304536086320998E-3</v>
      </c>
      <c r="C9" s="537">
        <v>7.422900146842013E-3</v>
      </c>
      <c r="D9" s="537">
        <v>5.5950143999999999E-3</v>
      </c>
      <c r="E9" s="537">
        <v>5.7114527999999999E-3</v>
      </c>
      <c r="F9" s="537">
        <v>6.0786816E-3</v>
      </c>
      <c r="G9" s="537">
        <v>5.4427488000000001E-3</v>
      </c>
      <c r="H9" s="537">
        <v>4.8157727999999997E-3</v>
      </c>
      <c r="I9" s="537">
        <v>4.1798399999999998E-3</v>
      </c>
      <c r="J9" s="537">
        <v>3.2841599999999995E-3</v>
      </c>
      <c r="K9" s="538">
        <v>3.5397273600000002E-3</v>
      </c>
      <c r="L9" s="538">
        <v>3.75409344E-3</v>
      </c>
      <c r="M9" s="512">
        <v>3.4485312173642047E-3</v>
      </c>
      <c r="N9" s="511">
        <v>3.7721319206290398E-3</v>
      </c>
      <c r="O9" s="511">
        <v>4.085070983887126E-3</v>
      </c>
      <c r="P9" s="511">
        <v>3.7832362048257975E-3</v>
      </c>
      <c r="Q9" s="511">
        <v>3.6621040549065431E-3</v>
      </c>
      <c r="R9" s="511">
        <v>3.5377143710242443E-3</v>
      </c>
      <c r="S9" s="511">
        <v>3.4373625672923184E-3</v>
      </c>
      <c r="T9" s="511">
        <v>3.358631391621846E-3</v>
      </c>
      <c r="U9" s="511">
        <v>3.2916380471790328E-3</v>
      </c>
      <c r="V9" s="511">
        <v>3.2293962318493191E-3</v>
      </c>
      <c r="W9" s="511">
        <v>3.1709927462578828E-3</v>
      </c>
      <c r="X9" s="511">
        <v>3.1122373810134499E-3</v>
      </c>
      <c r="Y9" s="511">
        <v>3.0532985191880223E-3</v>
      </c>
      <c r="Z9" s="511">
        <v>2.9938200089154095E-3</v>
      </c>
      <c r="AA9" s="511">
        <v>2.9360306533115998E-3</v>
      </c>
      <c r="AB9" s="511">
        <v>2.8801586583511382E-3</v>
      </c>
      <c r="AC9" s="511">
        <v>2.8264148864847421E-3</v>
      </c>
      <c r="AD9" s="511">
        <v>2.7747462920475496E-3</v>
      </c>
      <c r="AE9" s="511">
        <v>2.7249286112653957E-3</v>
      </c>
      <c r="AF9" s="511">
        <v>2.677669590372648E-3</v>
      </c>
      <c r="AG9" s="511">
        <v>2.6322373614181011E-3</v>
      </c>
      <c r="AH9" s="511">
        <v>2.5855459218339788E-3</v>
      </c>
      <c r="AI9" s="511">
        <v>2.5416482389197729E-3</v>
      </c>
      <c r="AJ9" s="511">
        <v>2.4995796744412204E-3</v>
      </c>
      <c r="AK9" s="511">
        <v>2.4596051514647376E-3</v>
      </c>
      <c r="AL9" s="511">
        <v>2.4279163481223534E-3</v>
      </c>
      <c r="AM9" s="511">
        <v>2.3896227852262084E-3</v>
      </c>
      <c r="AN9" s="511">
        <v>2.3522485170829979E-3</v>
      </c>
      <c r="AO9" s="511">
        <v>2.3165138291818765E-3</v>
      </c>
      <c r="AP9" s="511">
        <v>2.2811010653975613E-3</v>
      </c>
      <c r="AQ9" s="511">
        <v>2.2470321686895753E-3</v>
      </c>
      <c r="AR9" s="511">
        <v>2.2128438449457873E-3</v>
      </c>
      <c r="AS9" s="511">
        <v>2.1787006290538325E-3</v>
      </c>
      <c r="AT9" s="511">
        <v>2.1460896061042357E-3</v>
      </c>
      <c r="AU9" s="60">
        <v>2.1139316839715429E-3</v>
      </c>
    </row>
    <row r="10" spans="1:47">
      <c r="A10" s="57" t="s">
        <v>26</v>
      </c>
      <c r="B10" s="537">
        <v>8.4166511630701268E-2</v>
      </c>
      <c r="C10" s="537">
        <v>8.5692120231936994E-2</v>
      </c>
      <c r="D10" s="537">
        <v>8.5412684212981829E-2</v>
      </c>
      <c r="E10" s="537">
        <v>8.7322338930097929E-2</v>
      </c>
      <c r="F10" s="537">
        <v>8.5662978763283465E-2</v>
      </c>
      <c r="G10" s="537">
        <v>8.5290847712305912E-2</v>
      </c>
      <c r="H10" s="537">
        <v>8.9915337498831169E-2</v>
      </c>
      <c r="I10" s="537">
        <v>8.4226102641181549E-2</v>
      </c>
      <c r="J10" s="537">
        <v>8.0120742292318914E-2</v>
      </c>
      <c r="K10" s="538">
        <v>7.3219101821964866E-2</v>
      </c>
      <c r="L10" s="538">
        <v>7.2795057827221066E-2</v>
      </c>
      <c r="M10" s="512">
        <v>7.7892026853169621E-2</v>
      </c>
      <c r="N10" s="511">
        <v>7.8884465846582999E-2</v>
      </c>
      <c r="O10" s="511">
        <v>8.5670720206551074E-2</v>
      </c>
      <c r="P10" s="511">
        <v>8.3695308384332701E-2</v>
      </c>
      <c r="Q10" s="511">
        <v>8.3692092396285639E-2</v>
      </c>
      <c r="R10" s="511">
        <v>8.3731991902284544E-2</v>
      </c>
      <c r="S10" s="511">
        <v>8.3912644719406057E-2</v>
      </c>
      <c r="T10" s="511">
        <v>8.4076447646455776E-2</v>
      </c>
      <c r="U10" s="511">
        <v>8.4157254819535357E-2</v>
      </c>
      <c r="V10" s="511">
        <v>8.4243482282983215E-2</v>
      </c>
      <c r="W10" s="511">
        <v>8.4423274308865009E-2</v>
      </c>
      <c r="X10" s="511">
        <v>8.4637439884773208E-2</v>
      </c>
      <c r="Y10" s="511">
        <v>8.4862042283900832E-2</v>
      </c>
      <c r="Z10" s="511">
        <v>8.5026526924903631E-2</v>
      </c>
      <c r="AA10" s="511">
        <v>8.5219790651326385E-2</v>
      </c>
      <c r="AB10" s="511">
        <v>8.5401743788318177E-2</v>
      </c>
      <c r="AC10" s="511">
        <v>8.5537189770688832E-2</v>
      </c>
      <c r="AD10" s="511">
        <v>8.5651131624441074E-2</v>
      </c>
      <c r="AE10" s="511">
        <v>8.5748320539465142E-2</v>
      </c>
      <c r="AF10" s="511">
        <v>8.5861736628901106E-2</v>
      </c>
      <c r="AG10" s="511">
        <v>8.5911694597958138E-2</v>
      </c>
      <c r="AH10" s="511">
        <v>8.5949926371758259E-2</v>
      </c>
      <c r="AI10" s="511">
        <v>8.5993181118063852E-2</v>
      </c>
      <c r="AJ10" s="511">
        <v>8.6075512304539123E-2</v>
      </c>
      <c r="AK10" s="511">
        <v>8.6202712287141242E-2</v>
      </c>
      <c r="AL10" s="511">
        <v>8.6640784896021977E-2</v>
      </c>
      <c r="AM10" s="511">
        <v>8.6787228805649638E-2</v>
      </c>
      <c r="AN10" s="511">
        <v>8.6977368920203177E-2</v>
      </c>
      <c r="AO10" s="511">
        <v>8.7212899207751549E-2</v>
      </c>
      <c r="AP10" s="511">
        <v>8.744352321838629E-2</v>
      </c>
      <c r="AQ10" s="511">
        <v>8.7680549974295155E-2</v>
      </c>
      <c r="AR10" s="511">
        <v>8.7917501129400541E-2</v>
      </c>
      <c r="AS10" s="511">
        <v>8.8153586256789401E-2</v>
      </c>
      <c r="AT10" s="511">
        <v>8.8374475970835406E-2</v>
      </c>
      <c r="AU10" s="60">
        <v>8.8580510126734513E-2</v>
      </c>
    </row>
    <row r="11" spans="1:47">
      <c r="A11" s="57" t="s">
        <v>58</v>
      </c>
      <c r="B11" s="537">
        <v>2.5619835112737261E-2</v>
      </c>
      <c r="C11" s="537">
        <v>2.864199903128303E-2</v>
      </c>
      <c r="D11" s="537">
        <v>2.4351163685010991E-2</v>
      </c>
      <c r="E11" s="537">
        <v>2.5910547916754244E-2</v>
      </c>
      <c r="F11" s="537">
        <v>2.4137076390130387E-2</v>
      </c>
      <c r="G11" s="537">
        <v>2.4553740910274364E-2</v>
      </c>
      <c r="H11" s="537">
        <v>4.2340021288398137E-2</v>
      </c>
      <c r="I11" s="537">
        <v>3.4990611636400056E-2</v>
      </c>
      <c r="J11" s="537">
        <v>3.4530208851710584E-2</v>
      </c>
      <c r="K11" s="538">
        <v>2.4050060263824075E-2</v>
      </c>
      <c r="L11" s="538">
        <v>2.2825849259334761E-2</v>
      </c>
      <c r="M11" s="512">
        <v>1.2050038567881257E-2</v>
      </c>
      <c r="N11" s="511">
        <v>1.1588094149661709E-2</v>
      </c>
      <c r="O11" s="511">
        <v>1.3398416428017661E-2</v>
      </c>
      <c r="P11" s="511">
        <v>1.2985638050515865E-2</v>
      </c>
      <c r="Q11" s="511">
        <v>1.3352816594056155E-2</v>
      </c>
      <c r="R11" s="511">
        <v>1.3677431797412881E-2</v>
      </c>
      <c r="S11" s="511">
        <v>1.3766788952679083E-2</v>
      </c>
      <c r="T11" s="511">
        <v>1.3635867038036077E-2</v>
      </c>
      <c r="U11" s="511">
        <v>1.3460214044222962E-2</v>
      </c>
      <c r="V11" s="511">
        <v>1.3274947829166599E-2</v>
      </c>
      <c r="W11" s="511">
        <v>1.307571247786145E-2</v>
      </c>
      <c r="X11" s="511">
        <v>1.2888941982639346E-2</v>
      </c>
      <c r="Y11" s="511">
        <v>1.2717684300974572E-2</v>
      </c>
      <c r="Z11" s="511">
        <v>1.2569816400172597E-2</v>
      </c>
      <c r="AA11" s="511">
        <v>1.2400512102429337E-2</v>
      </c>
      <c r="AB11" s="511">
        <v>1.2247181164061986E-2</v>
      </c>
      <c r="AC11" s="511">
        <v>1.2092317400129742E-2</v>
      </c>
      <c r="AD11" s="511">
        <v>1.1946230288600018E-2</v>
      </c>
      <c r="AE11" s="511">
        <v>1.1806716533160698E-2</v>
      </c>
      <c r="AF11" s="511">
        <v>1.1672214410881915E-2</v>
      </c>
      <c r="AG11" s="511">
        <v>1.1534635276977704E-2</v>
      </c>
      <c r="AH11" s="511">
        <v>1.1444218647104673E-2</v>
      </c>
      <c r="AI11" s="511">
        <v>1.1351743534269272E-2</v>
      </c>
      <c r="AJ11" s="511">
        <v>1.1265936471791809E-2</v>
      </c>
      <c r="AK11" s="511">
        <v>1.1179680800631753E-2</v>
      </c>
      <c r="AL11" s="511">
        <v>1.1132494448317954E-2</v>
      </c>
      <c r="AM11" s="511">
        <v>1.1029578439650585E-2</v>
      </c>
      <c r="AN11" s="511">
        <v>1.0917638726491584E-2</v>
      </c>
      <c r="AO11" s="511">
        <v>1.0801780808356922E-2</v>
      </c>
      <c r="AP11" s="511">
        <v>1.0688132150560437E-2</v>
      </c>
      <c r="AQ11" s="511">
        <v>1.0564345999354786E-2</v>
      </c>
      <c r="AR11" s="511">
        <v>1.0453203605608821E-2</v>
      </c>
      <c r="AS11" s="511">
        <v>1.0358615764323793E-2</v>
      </c>
      <c r="AT11" s="511">
        <v>1.0258701891106288E-2</v>
      </c>
      <c r="AU11" s="60">
        <v>1.0155488974741911E-2</v>
      </c>
    </row>
    <row r="12" spans="1:47">
      <c r="A12" s="57" t="s">
        <v>27</v>
      </c>
      <c r="B12" s="537">
        <v>0.11340058728126334</v>
      </c>
      <c r="C12" s="537">
        <v>0.11758793000426805</v>
      </c>
      <c r="D12" s="537">
        <v>0.12083236534357662</v>
      </c>
      <c r="E12" s="537">
        <v>0.12406605889884764</v>
      </c>
      <c r="F12" s="537">
        <v>0.12554224157063595</v>
      </c>
      <c r="G12" s="537">
        <v>0.11918711395646608</v>
      </c>
      <c r="H12" s="537">
        <v>0.12420364660691421</v>
      </c>
      <c r="I12" s="537">
        <v>0.12124954673495521</v>
      </c>
      <c r="J12" s="537">
        <v>0.12136216645326504</v>
      </c>
      <c r="K12" s="538">
        <v>0.11726217328211695</v>
      </c>
      <c r="L12" s="538">
        <v>0.11633632095603927</v>
      </c>
      <c r="M12" s="512">
        <v>0.11699780619243867</v>
      </c>
      <c r="N12" s="511">
        <v>0.12149176269739652</v>
      </c>
      <c r="O12" s="511">
        <v>0.12028793512590696</v>
      </c>
      <c r="P12" s="511">
        <v>0.11862723687580025</v>
      </c>
      <c r="Q12" s="511">
        <v>0.11684761416986772</v>
      </c>
      <c r="R12" s="511">
        <v>0.11521526589842083</v>
      </c>
      <c r="S12" s="511">
        <v>0.11355577635510031</v>
      </c>
      <c r="T12" s="511">
        <v>0.11187522321809647</v>
      </c>
      <c r="U12" s="511">
        <v>0.11009632437046522</v>
      </c>
      <c r="V12" s="511">
        <v>0.10833609901835253</v>
      </c>
      <c r="W12" s="511">
        <v>0.10663235510029878</v>
      </c>
      <c r="X12" s="511">
        <v>0.10476178915919761</v>
      </c>
      <c r="Y12" s="511">
        <v>0.10292075800256084</v>
      </c>
      <c r="Z12" s="511">
        <v>0.1018107383696116</v>
      </c>
      <c r="AA12" s="511">
        <v>0.1015605360648741</v>
      </c>
      <c r="AB12" s="511">
        <v>0.10167605292360224</v>
      </c>
      <c r="AC12" s="511">
        <v>0.10186643790012807</v>
      </c>
      <c r="AD12" s="511">
        <v>0.10217900469483568</v>
      </c>
      <c r="AE12" s="511">
        <v>0.10262277080665815</v>
      </c>
      <c r="AF12" s="511">
        <v>0.1031030712761417</v>
      </c>
      <c r="AG12" s="511">
        <v>0.10337257840375587</v>
      </c>
      <c r="AH12" s="511">
        <v>0.10373361536491674</v>
      </c>
      <c r="AI12" s="511">
        <v>0.1040946523260777</v>
      </c>
      <c r="AJ12" s="712">
        <v>0.10445568928723856</v>
      </c>
      <c r="AK12" s="511">
        <v>0.10481672624839952</v>
      </c>
      <c r="AL12" s="511">
        <v>0.10517776320956038</v>
      </c>
      <c r="AM12" s="511">
        <v>0.10553880017072124</v>
      </c>
      <c r="AN12" s="511">
        <v>0.10589983713188221</v>
      </c>
      <c r="AO12" s="511">
        <v>0.10626087409304306</v>
      </c>
      <c r="AP12" s="511">
        <v>0.10662191105420402</v>
      </c>
      <c r="AQ12" s="511">
        <v>0.10698294801536488</v>
      </c>
      <c r="AR12" s="511">
        <v>0.10734398497652585</v>
      </c>
      <c r="AS12" s="511">
        <v>0.10770502193768672</v>
      </c>
      <c r="AT12" s="511">
        <v>0.10806605889884756</v>
      </c>
      <c r="AU12" s="60">
        <v>0.10842709586000852</v>
      </c>
    </row>
    <row r="13" spans="1:47">
      <c r="A13" s="556" t="s">
        <v>1400</v>
      </c>
      <c r="B13" s="557">
        <f>B7+B8+B9+B10</f>
        <v>9.7471590100123101E-2</v>
      </c>
      <c r="C13" s="557">
        <f t="shared" ref="C13:AU13" si="0">C7+C8+C9+C10</f>
        <v>9.9984968586591089E-2</v>
      </c>
      <c r="D13" s="557">
        <f t="shared" si="0"/>
        <v>9.879613086312844E-2</v>
      </c>
      <c r="E13" s="557">
        <f t="shared" si="0"/>
        <v>0.10068359669260576</v>
      </c>
      <c r="F13" s="557">
        <f t="shared" si="0"/>
        <v>0.10017016204702966</v>
      </c>
      <c r="G13" s="557">
        <f t="shared" si="0"/>
        <v>9.9850449873869027E-2</v>
      </c>
      <c r="H13" s="557">
        <f t="shared" si="0"/>
        <v>0.10370735502481265</v>
      </c>
      <c r="I13" s="557">
        <f t="shared" si="0"/>
        <v>9.5337100069984013E-2</v>
      </c>
      <c r="J13" s="557">
        <f t="shared" si="0"/>
        <v>8.8960402782723144E-2</v>
      </c>
      <c r="K13" s="557">
        <f t="shared" si="0"/>
        <v>8.2848678968850467E-2</v>
      </c>
      <c r="L13" s="605">
        <f>L7+L8+L9+L10</f>
        <v>8.3543212459469315E-2</v>
      </c>
      <c r="M13" s="580">
        <f t="shared" si="0"/>
        <v>8.8314970947533156E-2</v>
      </c>
      <c r="N13" s="557">
        <f t="shared" si="0"/>
        <v>9.0574590631541427E-2</v>
      </c>
      <c r="O13" s="557">
        <f t="shared" si="0"/>
        <v>9.7084536972634888E-2</v>
      </c>
      <c r="P13" s="557">
        <f t="shared" si="0"/>
        <v>9.4585588029178325E-2</v>
      </c>
      <c r="Q13" s="557">
        <f t="shared" si="0"/>
        <v>9.4378926080301268E-2</v>
      </c>
      <c r="R13" s="557">
        <f t="shared" si="0"/>
        <v>9.4206042895444903E-2</v>
      </c>
      <c r="S13" s="557">
        <f t="shared" si="0"/>
        <v>9.4206272304566296E-2</v>
      </c>
      <c r="T13" s="557">
        <f t="shared" si="0"/>
        <v>9.4226486258763106E-2</v>
      </c>
      <c r="U13" s="557">
        <f t="shared" si="0"/>
        <v>9.4179826158456145E-2</v>
      </c>
      <c r="V13" s="557">
        <f t="shared" si="0"/>
        <v>9.4149856213926394E-2</v>
      </c>
      <c r="W13" s="557">
        <f t="shared" si="0"/>
        <v>9.4222498888513681E-2</v>
      </c>
      <c r="X13" s="557">
        <f t="shared" si="0"/>
        <v>9.4334007043016352E-2</v>
      </c>
      <c r="Y13" s="557">
        <f t="shared" si="0"/>
        <v>9.4454547260444402E-2</v>
      </c>
      <c r="Z13" s="557">
        <f t="shared" si="0"/>
        <v>9.4511141538108884E-2</v>
      </c>
      <c r="AA13" s="557">
        <f t="shared" si="0"/>
        <v>9.460065444010507E-2</v>
      </c>
      <c r="AB13" s="557">
        <f t="shared" si="0"/>
        <v>9.4679598228432735E-2</v>
      </c>
      <c r="AC13" s="557">
        <f t="shared" si="0"/>
        <v>9.4710400563883107E-2</v>
      </c>
      <c r="AD13" s="557">
        <f t="shared" si="0"/>
        <v>9.4722212777875653E-2</v>
      </c>
      <c r="AE13" s="557">
        <f t="shared" si="0"/>
        <v>9.4722362229126694E-2</v>
      </c>
      <c r="AF13" s="557">
        <f t="shared" si="0"/>
        <v>9.4745329180953936E-2</v>
      </c>
      <c r="AG13" s="557">
        <f t="shared" si="0"/>
        <v>9.4705417529040992E-2</v>
      </c>
      <c r="AH13" s="557">
        <f t="shared" si="0"/>
        <v>9.4656785218295902E-2</v>
      </c>
      <c r="AI13" s="557">
        <f t="shared" si="0"/>
        <v>9.4612186704068416E-2</v>
      </c>
      <c r="AJ13" s="557">
        <f t="shared" si="0"/>
        <v>9.461213577967742E-2</v>
      </c>
      <c r="AK13" s="557">
        <f t="shared" si="0"/>
        <v>9.4664001272045648E-2</v>
      </c>
      <c r="AL13" s="557">
        <f t="shared" si="0"/>
        <v>9.5057625819209055E-2</v>
      </c>
      <c r="AM13" s="557">
        <f t="shared" si="0"/>
        <v>9.5134896494584606E-2</v>
      </c>
      <c r="AN13" s="557">
        <f t="shared" si="0"/>
        <v>9.5258054815219775E-2</v>
      </c>
      <c r="AO13" s="557">
        <f t="shared" si="0"/>
        <v>9.5431714689299008E-2</v>
      </c>
      <c r="AP13" s="557">
        <f t="shared" si="0"/>
        <v>9.5601168347876034E-2</v>
      </c>
      <c r="AQ13" s="557">
        <f t="shared" si="0"/>
        <v>9.5781335154222755E-2</v>
      </c>
      <c r="AR13" s="557">
        <f t="shared" si="0"/>
        <v>9.5962439261956523E-2</v>
      </c>
      <c r="AS13" s="557">
        <f t="shared" si="0"/>
        <v>9.6142860103264324E-2</v>
      </c>
      <c r="AT13" s="557">
        <f t="shared" si="0"/>
        <v>9.631139963374967E-2</v>
      </c>
      <c r="AU13" s="557">
        <f t="shared" si="0"/>
        <v>9.6467512027450478E-2</v>
      </c>
    </row>
    <row r="14" spans="1:47">
      <c r="A14" s="57" t="s">
        <v>79</v>
      </c>
      <c r="B14" s="320"/>
      <c r="C14" s="320"/>
      <c r="D14" s="320"/>
      <c r="E14" s="320"/>
      <c r="F14" s="320"/>
      <c r="G14" s="320"/>
      <c r="H14" s="320"/>
      <c r="I14" s="320"/>
      <c r="J14" s="320"/>
      <c r="K14" s="278"/>
      <c r="L14" s="278"/>
      <c r="M14" s="736"/>
      <c r="N14" s="713"/>
      <c r="O14" s="713"/>
      <c r="P14" s="713"/>
      <c r="Q14" s="713"/>
      <c r="R14" s="713"/>
      <c r="S14" s="713"/>
      <c r="T14" s="713"/>
      <c r="U14" s="713"/>
      <c r="V14" s="713"/>
      <c r="W14" s="713"/>
      <c r="X14" s="713"/>
      <c r="Y14" s="713"/>
      <c r="Z14" s="713"/>
      <c r="AA14" s="713"/>
      <c r="AB14" s="713"/>
      <c r="AC14" s="713"/>
      <c r="AD14" s="713"/>
      <c r="AE14" s="713"/>
      <c r="AF14" s="713"/>
      <c r="AG14" s="713"/>
      <c r="AH14" s="713"/>
      <c r="AI14" s="713"/>
      <c r="AJ14" s="714"/>
      <c r="AK14" s="713"/>
      <c r="AL14" s="713"/>
      <c r="AM14" s="713"/>
      <c r="AN14" s="713"/>
      <c r="AO14" s="713"/>
      <c r="AP14" s="713"/>
      <c r="AQ14" s="713"/>
      <c r="AR14" s="713"/>
      <c r="AS14" s="713"/>
      <c r="AT14" s="713"/>
    </row>
    <row r="15" spans="1:47">
      <c r="A15" s="57" t="s">
        <v>24</v>
      </c>
      <c r="B15" s="537">
        <v>1.2587159951896001E-3</v>
      </c>
      <c r="C15" s="537">
        <v>1.0560701573511305E-3</v>
      </c>
      <c r="D15" s="537">
        <v>1.3134790445170008E-3</v>
      </c>
      <c r="E15" s="537">
        <v>1.2928443284097851E-3</v>
      </c>
      <c r="F15" s="537">
        <v>2.7083064890720638E-3</v>
      </c>
      <c r="G15" s="537">
        <v>3.0475888404503221E-3</v>
      </c>
      <c r="H15" s="537">
        <v>3.1586988502584068E-3</v>
      </c>
      <c r="I15" s="537">
        <v>3.3729824406025701E-3</v>
      </c>
      <c r="J15" s="537">
        <v>3.571393172402721E-3</v>
      </c>
      <c r="K15" s="538">
        <v>3.140841884396393E-3</v>
      </c>
      <c r="L15" s="538">
        <v>3.0670330921667367E-3</v>
      </c>
      <c r="M15" s="512">
        <v>3.1091878810090394E-3</v>
      </c>
      <c r="N15" s="511">
        <v>3.2197627327273286E-3</v>
      </c>
      <c r="O15" s="511">
        <v>3.1557086388614357E-3</v>
      </c>
      <c r="P15" s="511">
        <v>3.3451249856314789E-3</v>
      </c>
      <c r="Q15" s="511">
        <v>3.4686466356089857E-3</v>
      </c>
      <c r="R15" s="511">
        <v>3.6397486407614547E-3</v>
      </c>
      <c r="S15" s="511">
        <v>3.8137196764535396E-3</v>
      </c>
      <c r="T15" s="511">
        <v>3.8614131381808888E-3</v>
      </c>
      <c r="U15" s="511">
        <v>3.9055805430786975E-3</v>
      </c>
      <c r="V15" s="511">
        <v>3.9660288788183305E-3</v>
      </c>
      <c r="W15" s="511">
        <v>4.0276598456244787E-3</v>
      </c>
      <c r="X15" s="511">
        <v>4.0920833208361578E-3</v>
      </c>
      <c r="Y15" s="511">
        <v>4.153015270723045E-3</v>
      </c>
      <c r="Z15" s="511">
        <v>4.1988430620330704E-3</v>
      </c>
      <c r="AA15" s="511">
        <v>4.2602697207904808E-3</v>
      </c>
      <c r="AB15" s="511">
        <v>4.3121399157615356E-3</v>
      </c>
      <c r="AC15" s="511">
        <v>4.3581033454497915E-3</v>
      </c>
      <c r="AD15" s="511">
        <v>4.4065806281197023E-3</v>
      </c>
      <c r="AE15" s="511">
        <v>4.4595233404313948E-3</v>
      </c>
      <c r="AF15" s="511">
        <v>4.5070408764107135E-3</v>
      </c>
      <c r="AG15" s="511">
        <v>4.5526162620606568E-3</v>
      </c>
      <c r="AH15" s="511">
        <v>4.6107330525162298E-3</v>
      </c>
      <c r="AI15" s="511">
        <v>4.6443225234889113E-3</v>
      </c>
      <c r="AJ15" s="511">
        <v>4.6972481940391747E-3</v>
      </c>
      <c r="AK15" s="511">
        <v>4.7533054724300796E-3</v>
      </c>
      <c r="AL15" s="511">
        <v>4.8192808971731461E-3</v>
      </c>
      <c r="AM15" s="511">
        <v>4.8729255684800349E-3</v>
      </c>
      <c r="AN15" s="511">
        <v>4.9224548653300209E-3</v>
      </c>
      <c r="AO15" s="511">
        <v>4.9767716468706105E-3</v>
      </c>
      <c r="AP15" s="511">
        <v>5.0250237966954535E-3</v>
      </c>
      <c r="AQ15" s="511">
        <v>5.0807655325852425E-3</v>
      </c>
      <c r="AR15" s="511">
        <v>5.1338456589408946E-3</v>
      </c>
      <c r="AS15" s="511">
        <v>5.1818638475498446E-3</v>
      </c>
      <c r="AT15" s="511">
        <v>5.2313696842956883E-3</v>
      </c>
      <c r="AU15" s="60">
        <v>5.2878907435304325E-3</v>
      </c>
    </row>
    <row r="16" spans="1:47">
      <c r="A16" s="57" t="s">
        <v>30</v>
      </c>
      <c r="B16" s="537">
        <v>3.6985840507473735E-4</v>
      </c>
      <c r="C16" s="537">
        <v>3.5468746916060654E-4</v>
      </c>
      <c r="D16" s="537">
        <v>4.7044319165203357E-4</v>
      </c>
      <c r="E16" s="537">
        <v>3.9724816211992637E-4</v>
      </c>
      <c r="F16" s="537">
        <v>3.6395318551876526E-4</v>
      </c>
      <c r="G16" s="537">
        <v>3.9630457978709989E-4</v>
      </c>
      <c r="H16" s="537">
        <v>3.7608495836939074E-4</v>
      </c>
      <c r="I16" s="537">
        <v>4.0439242835418361E-4</v>
      </c>
      <c r="J16" s="537">
        <v>4.0439242835418361E-4</v>
      </c>
      <c r="K16" s="538">
        <v>3.8956470598119691E-4</v>
      </c>
      <c r="L16" s="538">
        <v>5.4660376565873812E-4</v>
      </c>
      <c r="M16" s="512">
        <v>6.7621632881525217E-3</v>
      </c>
      <c r="N16" s="511">
        <v>6.9345121636364034E-3</v>
      </c>
      <c r="O16" s="511">
        <v>7.6695612100626514E-3</v>
      </c>
      <c r="P16" s="511">
        <v>7.160923971750251E-3</v>
      </c>
      <c r="Q16" s="511">
        <v>6.3209605563927414E-3</v>
      </c>
      <c r="R16" s="511">
        <v>5.7364904550920434E-3</v>
      </c>
      <c r="S16" s="511">
        <v>5.2566773536107617E-3</v>
      </c>
      <c r="T16" s="511">
        <v>5.2167987474042105E-3</v>
      </c>
      <c r="U16" s="511">
        <v>5.1674263155605544E-3</v>
      </c>
      <c r="V16" s="511">
        <v>5.1960054990050327E-3</v>
      </c>
      <c r="W16" s="511">
        <v>5.224187430199834E-3</v>
      </c>
      <c r="X16" s="511">
        <v>5.2353134955039973E-3</v>
      </c>
      <c r="Y16" s="511">
        <v>5.2400173289278663E-3</v>
      </c>
      <c r="Z16" s="511">
        <v>5.2329302649177312E-3</v>
      </c>
      <c r="AA16" s="511">
        <v>5.252062956724363E-3</v>
      </c>
      <c r="AB16" s="511">
        <v>5.2496697130988493E-3</v>
      </c>
      <c r="AC16" s="511">
        <v>5.2653033700193492E-3</v>
      </c>
      <c r="AD16" s="511">
        <v>5.2798164259887361E-3</v>
      </c>
      <c r="AE16" s="511">
        <v>5.2855812657718595E-3</v>
      </c>
      <c r="AF16" s="511">
        <v>5.3026376769543205E-3</v>
      </c>
      <c r="AG16" s="511">
        <v>5.3231105169795536E-3</v>
      </c>
      <c r="AH16" s="511">
        <v>5.3123598026560918E-3</v>
      </c>
      <c r="AI16" s="511">
        <v>5.3299748888119385E-3</v>
      </c>
      <c r="AJ16" s="511">
        <v>5.3415348336232618E-3</v>
      </c>
      <c r="AK16" s="511">
        <v>5.3507361259885313E-3</v>
      </c>
      <c r="AL16" s="511">
        <v>5.3814651434896587E-3</v>
      </c>
      <c r="AM16" s="511">
        <v>5.3963305331690397E-3</v>
      </c>
      <c r="AN16" s="511">
        <v>5.415958332460777E-3</v>
      </c>
      <c r="AO16" s="511">
        <v>5.4362021823750346E-3</v>
      </c>
      <c r="AP16" s="511">
        <v>5.4557396784264108E-3</v>
      </c>
      <c r="AQ16" s="511">
        <v>5.4909394844799477E-3</v>
      </c>
      <c r="AR16" s="511">
        <v>5.5038338165627034E-3</v>
      </c>
      <c r="AS16" s="511">
        <v>5.5144845304470006E-3</v>
      </c>
      <c r="AT16" s="511">
        <v>5.5370153383507877E-3</v>
      </c>
      <c r="AU16" s="60">
        <v>5.5565773872505025E-3</v>
      </c>
    </row>
    <row r="17" spans="1:47">
      <c r="A17" s="57" t="s">
        <v>56</v>
      </c>
      <c r="B17" s="537">
        <v>1.592482195869598E-4</v>
      </c>
      <c r="C17" s="537">
        <v>1.317943040934273E-4</v>
      </c>
      <c r="D17" s="537">
        <v>1.6852521831356437E-4</v>
      </c>
      <c r="E17" s="537">
        <v>1.979708333815388E-4</v>
      </c>
      <c r="F17" s="537">
        <v>5.7409689755170276E-5</v>
      </c>
      <c r="G17" s="537">
        <v>6.2965466183089992E-5</v>
      </c>
      <c r="H17" s="537">
        <v>6.1113540707116745E-5</v>
      </c>
      <c r="I17" s="537">
        <v>0</v>
      </c>
      <c r="J17" s="537">
        <v>0</v>
      </c>
      <c r="K17" s="538">
        <v>2.7408497044403875E-5</v>
      </c>
      <c r="L17" s="538">
        <v>1.4259826164993908E-5</v>
      </c>
      <c r="M17" s="512">
        <v>1.075781593719602E-5</v>
      </c>
      <c r="N17" s="511">
        <v>1.6577597396817836E-5</v>
      </c>
      <c r="O17" s="511">
        <v>2.6538112887644378E-5</v>
      </c>
      <c r="P17" s="511">
        <v>2.5772322995382739E-5</v>
      </c>
      <c r="Q17" s="511">
        <v>2.2331475837557802E-5</v>
      </c>
      <c r="R17" s="511">
        <v>2.0982831106608146E-5</v>
      </c>
      <c r="S17" s="511">
        <v>2.0103337269761124E-5</v>
      </c>
      <c r="T17" s="511">
        <v>2.1361286204252285E-5</v>
      </c>
      <c r="U17" s="511">
        <v>2.2434159380757245E-5</v>
      </c>
      <c r="V17" s="511">
        <v>2.3760544163983476E-5</v>
      </c>
      <c r="W17" s="511">
        <v>2.5134862685092752E-5</v>
      </c>
      <c r="X17" s="511">
        <v>2.6402674358124052E-5</v>
      </c>
      <c r="Y17" s="511">
        <v>2.7661414333277074E-5</v>
      </c>
      <c r="Z17" s="511">
        <v>2.87598204897423E-5</v>
      </c>
      <c r="AA17" s="511">
        <v>3.0038795553071526E-5</v>
      </c>
      <c r="AB17" s="511">
        <v>3.1204578255360704E-5</v>
      </c>
      <c r="AC17" s="511">
        <v>3.2454813488182095E-5</v>
      </c>
      <c r="AD17" s="511">
        <v>3.3688114517329193E-5</v>
      </c>
      <c r="AE17" s="511">
        <v>3.4911402666187094E-5</v>
      </c>
      <c r="AF17" s="511">
        <v>3.6204586056441448E-5</v>
      </c>
      <c r="AG17" s="511">
        <v>3.7472238347140896E-5</v>
      </c>
      <c r="AH17" s="511">
        <v>3.833954409619653E-5</v>
      </c>
      <c r="AI17" s="511">
        <v>3.9571927621364119E-5</v>
      </c>
      <c r="AJ17" s="511">
        <v>4.0729341529165316E-5</v>
      </c>
      <c r="AK17" s="511">
        <v>4.1910390822653459E-5</v>
      </c>
      <c r="AL17" s="511">
        <v>4.319198993360962E-5</v>
      </c>
      <c r="AM17" s="511">
        <v>4.4528505759670802E-5</v>
      </c>
      <c r="AN17" s="511">
        <v>4.5840370307031588E-5</v>
      </c>
      <c r="AO17" s="511">
        <v>4.7179717365953529E-5</v>
      </c>
      <c r="AP17" s="511">
        <v>4.8539210447449618E-5</v>
      </c>
      <c r="AQ17" s="511">
        <v>5.0053972180515571E-5</v>
      </c>
      <c r="AR17" s="511">
        <v>5.1319055760925724E-5</v>
      </c>
      <c r="AS17" s="511">
        <v>5.2491096410509604E-5</v>
      </c>
      <c r="AT17" s="511">
        <v>5.3871363722980974E-5</v>
      </c>
      <c r="AU17" s="60">
        <v>5.5211575192746525E-5</v>
      </c>
    </row>
    <row r="18" spans="1:47">
      <c r="A18" s="57" t="s">
        <v>25</v>
      </c>
      <c r="B18" s="537">
        <v>4.6543384913355045E-3</v>
      </c>
      <c r="C18" s="537">
        <v>4.6359459206461858E-3</v>
      </c>
      <c r="D18" s="537">
        <v>4.55793E-3</v>
      </c>
      <c r="E18" s="537">
        <v>4.3696793999999997E-3</v>
      </c>
      <c r="F18" s="537">
        <v>7.4005679999999997E-3</v>
      </c>
      <c r="G18" s="537">
        <v>9.3495999999999996E-3</v>
      </c>
      <c r="H18" s="537">
        <v>1.2508686E-2</v>
      </c>
      <c r="I18" s="537">
        <v>7.3717999999999995E-3</v>
      </c>
      <c r="J18" s="537">
        <v>7.0121999999999997E-3</v>
      </c>
      <c r="K18" s="538">
        <v>6.7119340000000001E-3</v>
      </c>
      <c r="L18" s="538">
        <v>6.6919761999999997E-3</v>
      </c>
      <c r="M18" s="512">
        <v>7.2311261095989393E-3</v>
      </c>
      <c r="N18" s="511">
        <v>7.6295562555537015E-3</v>
      </c>
      <c r="O18" s="511">
        <v>8.329312317719802E-3</v>
      </c>
      <c r="P18" s="511">
        <v>8.1139666884162357E-3</v>
      </c>
      <c r="Q18" s="511">
        <v>7.9730830509603563E-3</v>
      </c>
      <c r="R18" s="511">
        <v>7.843675258446826E-3</v>
      </c>
      <c r="S18" s="511">
        <v>7.7845022223930194E-3</v>
      </c>
      <c r="T18" s="511">
        <v>7.734911303828809E-3</v>
      </c>
      <c r="U18" s="511">
        <v>7.6845896864681882E-3</v>
      </c>
      <c r="V18" s="511">
        <v>7.6402615495816378E-3</v>
      </c>
      <c r="W18" s="511">
        <v>7.6087071573177718E-3</v>
      </c>
      <c r="X18" s="511">
        <v>7.5777988754324862E-3</v>
      </c>
      <c r="Y18" s="511">
        <v>7.5440203998584417E-3</v>
      </c>
      <c r="Z18" s="511">
        <v>7.5028929369296655E-3</v>
      </c>
      <c r="AA18" s="511">
        <v>7.4680842467479058E-3</v>
      </c>
      <c r="AB18" s="511">
        <v>7.4335780600116776E-3</v>
      </c>
      <c r="AC18" s="511">
        <v>7.4025446898702872E-3</v>
      </c>
      <c r="AD18" s="511">
        <v>7.3736567323889881E-3</v>
      </c>
      <c r="AE18" s="511">
        <v>7.3438355695992124E-3</v>
      </c>
      <c r="AF18" s="511">
        <v>7.3167153478780837E-3</v>
      </c>
      <c r="AG18" s="511">
        <v>7.2944268451250929E-3</v>
      </c>
      <c r="AH18" s="511">
        <v>7.2613769440807554E-3</v>
      </c>
      <c r="AI18" s="511">
        <v>7.2336988348349462E-3</v>
      </c>
      <c r="AJ18" s="511">
        <v>7.2083475145929173E-3</v>
      </c>
      <c r="AK18" s="511">
        <v>7.1868696027400517E-3</v>
      </c>
      <c r="AL18" s="511">
        <v>7.1888402137869302E-3</v>
      </c>
      <c r="AM18" s="511">
        <v>7.1729822465817642E-3</v>
      </c>
      <c r="AN18" s="511">
        <v>7.1612810730338327E-3</v>
      </c>
      <c r="AO18" s="511">
        <v>7.1537175329733959E-3</v>
      </c>
      <c r="AP18" s="511">
        <v>7.1451396887655368E-3</v>
      </c>
      <c r="AQ18" s="511">
        <v>7.141330022984135E-3</v>
      </c>
      <c r="AR18" s="511">
        <v>7.1348442315653376E-3</v>
      </c>
      <c r="AS18" s="511">
        <v>7.1256663606324303E-3</v>
      </c>
      <c r="AT18" s="511">
        <v>7.1218433131883295E-3</v>
      </c>
      <c r="AU18" s="60">
        <v>7.1180886798662456E-3</v>
      </c>
    </row>
    <row r="19" spans="1:47">
      <c r="A19" s="57" t="s">
        <v>31</v>
      </c>
      <c r="B19" s="537">
        <v>0</v>
      </c>
      <c r="C19" s="537">
        <v>0</v>
      </c>
      <c r="D19" s="537">
        <v>3.7438924259351497E-5</v>
      </c>
      <c r="E19" s="537">
        <v>2.0502268046787723E-5</v>
      </c>
      <c r="F19" s="537">
        <v>3.5834398933950719E-4</v>
      </c>
      <c r="G19" s="537">
        <v>3.9400010768174669E-4</v>
      </c>
      <c r="H19" s="537">
        <v>3.3873312425127543E-5</v>
      </c>
      <c r="I19" s="537">
        <v>0</v>
      </c>
      <c r="J19" s="537">
        <v>0</v>
      </c>
      <c r="K19" s="538">
        <v>1.0518554910960657E-5</v>
      </c>
      <c r="L19" s="538">
        <v>2.1393671005343709E-6</v>
      </c>
      <c r="M19" s="512">
        <v>0</v>
      </c>
      <c r="N19" s="511">
        <v>0</v>
      </c>
      <c r="O19" s="511">
        <v>0</v>
      </c>
      <c r="P19" s="511">
        <v>0</v>
      </c>
      <c r="Q19" s="511">
        <v>0</v>
      </c>
      <c r="R19" s="511">
        <v>0</v>
      </c>
      <c r="S19" s="511">
        <v>0</v>
      </c>
      <c r="T19" s="511">
        <v>0</v>
      </c>
      <c r="U19" s="511">
        <v>0</v>
      </c>
      <c r="V19" s="511">
        <v>0</v>
      </c>
      <c r="W19" s="511">
        <v>0</v>
      </c>
      <c r="X19" s="511">
        <v>0</v>
      </c>
      <c r="Y19" s="511">
        <v>0</v>
      </c>
      <c r="Z19" s="511">
        <v>0</v>
      </c>
      <c r="AA19" s="511">
        <v>0</v>
      </c>
      <c r="AB19" s="511">
        <v>0</v>
      </c>
      <c r="AC19" s="511">
        <v>0</v>
      </c>
      <c r="AD19" s="511">
        <v>0</v>
      </c>
      <c r="AE19" s="511">
        <v>0</v>
      </c>
      <c r="AF19" s="511">
        <v>0</v>
      </c>
      <c r="AG19" s="511">
        <v>0</v>
      </c>
      <c r="AH19" s="511">
        <v>0</v>
      </c>
      <c r="AI19" s="511">
        <v>0</v>
      </c>
      <c r="AJ19" s="511">
        <v>0</v>
      </c>
      <c r="AK19" s="511">
        <v>0</v>
      </c>
      <c r="AL19" s="511">
        <v>0</v>
      </c>
      <c r="AM19" s="511">
        <v>0</v>
      </c>
      <c r="AN19" s="511">
        <v>0</v>
      </c>
      <c r="AO19" s="511">
        <v>0</v>
      </c>
      <c r="AP19" s="511">
        <v>0</v>
      </c>
      <c r="AQ19" s="511">
        <v>0</v>
      </c>
      <c r="AR19" s="511">
        <v>0</v>
      </c>
      <c r="AS19" s="511">
        <v>0</v>
      </c>
      <c r="AT19" s="511">
        <v>0</v>
      </c>
      <c r="AU19" s="60">
        <v>0</v>
      </c>
    </row>
    <row r="20" spans="1:47">
      <c r="A20" s="57" t="s">
        <v>26</v>
      </c>
      <c r="B20" s="537">
        <v>5.2920138170092404E-2</v>
      </c>
      <c r="C20" s="537">
        <v>5.5287782865762719E-2</v>
      </c>
      <c r="D20" s="537">
        <v>5.609780877803569E-2</v>
      </c>
      <c r="E20" s="537">
        <v>5.7402590463995061E-2</v>
      </c>
      <c r="F20" s="537">
        <v>5.6288219502541724E-2</v>
      </c>
      <c r="G20" s="537">
        <v>5.4883550223398858E-2</v>
      </c>
      <c r="H20" s="537">
        <v>5.5991678210278228E-2</v>
      </c>
      <c r="I20" s="537">
        <v>5.6967142987460771E-2</v>
      </c>
      <c r="J20" s="537">
        <v>5.8215737902254434E-2</v>
      </c>
      <c r="K20" s="538">
        <v>5.777732501279751E-2</v>
      </c>
      <c r="L20" s="538">
        <v>5.41730465956188E-2</v>
      </c>
      <c r="M20" s="512">
        <v>5.5161233980522695E-2</v>
      </c>
      <c r="N20" s="511">
        <v>5.6146350481926927E-2</v>
      </c>
      <c r="O20" s="511">
        <v>5.9441894040793142E-2</v>
      </c>
      <c r="P20" s="511">
        <v>5.8776014435714112E-2</v>
      </c>
      <c r="Q20" s="511">
        <v>5.8634582996012444E-2</v>
      </c>
      <c r="R20" s="511">
        <v>5.8495433864085039E-2</v>
      </c>
      <c r="S20" s="511">
        <v>5.8466854244689129E-2</v>
      </c>
      <c r="T20" s="511">
        <v>5.8509615582868074E-2</v>
      </c>
      <c r="U20" s="511">
        <v>5.8542169655121573E-2</v>
      </c>
      <c r="V20" s="511">
        <v>5.8696717243851039E-2</v>
      </c>
      <c r="W20" s="511">
        <v>5.9039235704138757E-2</v>
      </c>
      <c r="X20" s="511">
        <v>5.9468335469220278E-2</v>
      </c>
      <c r="Y20" s="511">
        <v>5.9991929837973273E-2</v>
      </c>
      <c r="Z20" s="511">
        <v>6.0458418417794042E-2</v>
      </c>
      <c r="AA20" s="511">
        <v>6.1020796720616624E-2</v>
      </c>
      <c r="AB20" s="511">
        <v>6.1627224167102257E-2</v>
      </c>
      <c r="AC20" s="511">
        <v>6.226322655121036E-2</v>
      </c>
      <c r="AD20" s="511">
        <v>6.2909768694212553E-2</v>
      </c>
      <c r="AE20" s="511">
        <v>6.3560832155658095E-2</v>
      </c>
      <c r="AF20" s="511">
        <v>6.4233905009422554E-2</v>
      </c>
      <c r="AG20" s="511">
        <v>6.4859044300699789E-2</v>
      </c>
      <c r="AH20" s="511">
        <v>6.549146220766329E-2</v>
      </c>
      <c r="AI20" s="511">
        <v>6.614559693377188E-2</v>
      </c>
      <c r="AJ20" s="511">
        <v>6.6844620886647027E-2</v>
      </c>
      <c r="AK20" s="511">
        <v>6.7586937443155637E-2</v>
      </c>
      <c r="AL20" s="511">
        <v>6.8567201813971551E-2</v>
      </c>
      <c r="AM20" s="511">
        <v>6.9303608230602151E-2</v>
      </c>
      <c r="AN20" s="511">
        <v>7.0108488980064498E-2</v>
      </c>
      <c r="AO20" s="511">
        <v>7.0974502625494901E-2</v>
      </c>
      <c r="AP20" s="511">
        <v>7.1865241692996532E-2</v>
      </c>
      <c r="AQ20" s="511">
        <v>7.274741219746185E-2</v>
      </c>
      <c r="AR20" s="511">
        <v>7.3638759581247465E-2</v>
      </c>
      <c r="AS20" s="511">
        <v>7.4546242897648621E-2</v>
      </c>
      <c r="AT20" s="511">
        <v>7.5432423096010712E-2</v>
      </c>
      <c r="AU20" s="60">
        <v>7.6301920471282703E-2</v>
      </c>
    </row>
    <row r="21" spans="1:47">
      <c r="A21" s="57" t="s">
        <v>57</v>
      </c>
      <c r="B21" s="537">
        <v>0</v>
      </c>
      <c r="C21" s="537">
        <v>0</v>
      </c>
      <c r="D21" s="537">
        <v>0</v>
      </c>
      <c r="E21" s="537">
        <v>0</v>
      </c>
      <c r="F21" s="537">
        <v>0</v>
      </c>
      <c r="G21" s="537">
        <v>0</v>
      </c>
      <c r="H21" s="537">
        <v>0</v>
      </c>
      <c r="I21" s="537">
        <v>0</v>
      </c>
      <c r="J21" s="537">
        <v>0</v>
      </c>
      <c r="K21" s="538">
        <v>0</v>
      </c>
      <c r="L21" s="538">
        <v>0</v>
      </c>
      <c r="M21" s="512">
        <v>0</v>
      </c>
      <c r="N21" s="511">
        <v>0</v>
      </c>
      <c r="O21" s="511">
        <v>0</v>
      </c>
      <c r="P21" s="511">
        <v>0</v>
      </c>
      <c r="Q21" s="511">
        <v>0</v>
      </c>
      <c r="R21" s="511">
        <v>0</v>
      </c>
      <c r="S21" s="511">
        <v>0</v>
      </c>
      <c r="T21" s="511">
        <v>0</v>
      </c>
      <c r="U21" s="511">
        <v>0</v>
      </c>
      <c r="V21" s="511">
        <v>0</v>
      </c>
      <c r="W21" s="511">
        <v>0</v>
      </c>
      <c r="X21" s="511">
        <v>0</v>
      </c>
      <c r="Y21" s="511">
        <v>0</v>
      </c>
      <c r="Z21" s="511">
        <v>0</v>
      </c>
      <c r="AA21" s="511">
        <v>0</v>
      </c>
      <c r="AB21" s="511">
        <v>0</v>
      </c>
      <c r="AC21" s="511">
        <v>0</v>
      </c>
      <c r="AD21" s="511">
        <v>0</v>
      </c>
      <c r="AE21" s="511">
        <v>0</v>
      </c>
      <c r="AF21" s="511">
        <v>0</v>
      </c>
      <c r="AG21" s="511">
        <v>0</v>
      </c>
      <c r="AH21" s="511">
        <v>0</v>
      </c>
      <c r="AI21" s="511">
        <v>0</v>
      </c>
      <c r="AJ21" s="511">
        <v>0</v>
      </c>
      <c r="AK21" s="511">
        <v>0</v>
      </c>
      <c r="AL21" s="511">
        <v>0</v>
      </c>
      <c r="AM21" s="511">
        <v>0</v>
      </c>
      <c r="AN21" s="511">
        <v>0</v>
      </c>
      <c r="AO21" s="511">
        <v>0</v>
      </c>
      <c r="AP21" s="511">
        <v>0</v>
      </c>
      <c r="AQ21" s="511">
        <v>0</v>
      </c>
      <c r="AR21" s="511">
        <v>0</v>
      </c>
      <c r="AS21" s="511">
        <v>0</v>
      </c>
      <c r="AT21" s="511">
        <v>0</v>
      </c>
      <c r="AU21" s="60">
        <v>0</v>
      </c>
    </row>
    <row r="22" spans="1:47">
      <c r="A22" s="57" t="s">
        <v>59</v>
      </c>
      <c r="B22" s="537">
        <v>1.1232510506697361E-2</v>
      </c>
      <c r="C22" s="537">
        <v>1.2004280513282546E-2</v>
      </c>
      <c r="D22" s="537">
        <v>7.0902028842179067E-3</v>
      </c>
      <c r="E22" s="537">
        <v>8.4327374043724132E-3</v>
      </c>
      <c r="F22" s="537">
        <v>7.6196660866108016E-3</v>
      </c>
      <c r="G22" s="537">
        <v>7.5091694182853287E-3</v>
      </c>
      <c r="H22" s="537">
        <v>1.1597546146327862E-2</v>
      </c>
      <c r="I22" s="537">
        <v>1.0589264047857911E-2</v>
      </c>
      <c r="J22" s="537">
        <v>1.4272486325373708E-2</v>
      </c>
      <c r="K22" s="538">
        <v>1.5841078612810748E-2</v>
      </c>
      <c r="L22" s="538">
        <v>1.5290897285106825E-2</v>
      </c>
      <c r="M22" s="512">
        <v>2.0754026326031674E-3</v>
      </c>
      <c r="N22" s="511">
        <v>2.084585391543145E-3</v>
      </c>
      <c r="O22" s="511">
        <v>2.0921708486715284E-3</v>
      </c>
      <c r="P22" s="511">
        <v>2.0987506571516945E-3</v>
      </c>
      <c r="Q22" s="511">
        <v>2.1045405862316941E-3</v>
      </c>
      <c r="R22" s="511">
        <v>2.109760091319616E-3</v>
      </c>
      <c r="S22" s="511">
        <v>2.1152126606471607E-3</v>
      </c>
      <c r="T22" s="511">
        <v>2.1207153673197081E-3</v>
      </c>
      <c r="U22" s="511">
        <v>2.1262796830588074E-3</v>
      </c>
      <c r="V22" s="511">
        <v>2.1317242274570027E-3</v>
      </c>
      <c r="W22" s="511">
        <v>2.1370471330987325E-3</v>
      </c>
      <c r="X22" s="511">
        <v>2.1424977731251214E-3</v>
      </c>
      <c r="Y22" s="511">
        <v>2.1478839628781567E-3</v>
      </c>
      <c r="Z22" s="511">
        <v>2.153218301748896E-3</v>
      </c>
      <c r="AA22" s="511">
        <v>2.1587122267920419E-3</v>
      </c>
      <c r="AB22" s="511">
        <v>2.1639614372070417E-3</v>
      </c>
      <c r="AC22" s="511">
        <v>2.169167505447983E-3</v>
      </c>
      <c r="AD22" s="511">
        <v>2.1743244857881003E-3</v>
      </c>
      <c r="AE22" s="511">
        <v>2.1794240391436463E-3</v>
      </c>
      <c r="AF22" s="511">
        <v>2.1844506648408517E-3</v>
      </c>
      <c r="AG22" s="511">
        <v>2.1893707233759498E-3</v>
      </c>
      <c r="AH22" s="511">
        <v>2.1941716610001842E-3</v>
      </c>
      <c r="AI22" s="511">
        <v>2.199045250665456E-3</v>
      </c>
      <c r="AJ22" s="511">
        <v>2.2039739671515135E-3</v>
      </c>
      <c r="AK22" s="511">
        <v>2.208728481186611E-3</v>
      </c>
      <c r="AL22" s="511">
        <v>2.2206942470809968E-3</v>
      </c>
      <c r="AM22" s="511">
        <v>2.225135635575159E-3</v>
      </c>
      <c r="AN22" s="511">
        <v>2.2295859068463095E-3</v>
      </c>
      <c r="AO22" s="511">
        <v>2.2340450786600017E-3</v>
      </c>
      <c r="AP22" s="511">
        <v>2.2385131688173218E-3</v>
      </c>
      <c r="AQ22" s="511">
        <v>2.2429901951549563E-3</v>
      </c>
      <c r="AR22" s="511">
        <v>2.2474761755452658E-3</v>
      </c>
      <c r="AS22" s="511">
        <v>2.2519711278963564E-3</v>
      </c>
      <c r="AT22" s="511">
        <v>2.2564750701521488E-3</v>
      </c>
      <c r="AU22" s="60">
        <v>2.2609880202924528E-3</v>
      </c>
    </row>
    <row r="23" spans="1:47">
      <c r="A23" s="57" t="s">
        <v>27</v>
      </c>
      <c r="B23" s="537">
        <v>9.594394536918481E-2</v>
      </c>
      <c r="C23" s="537">
        <v>9.7585143832693136E-2</v>
      </c>
      <c r="D23" s="537">
        <v>0.10106370294494238</v>
      </c>
      <c r="E23" s="537">
        <v>0.10201720187793428</v>
      </c>
      <c r="F23" s="537">
        <v>0.1026672607767819</v>
      </c>
      <c r="G23" s="537">
        <v>9.8449102859581736E-2</v>
      </c>
      <c r="H23" s="537">
        <v>0.10041452496798976</v>
      </c>
      <c r="I23" s="537">
        <v>9.9836462654716185E-2</v>
      </c>
      <c r="J23" s="537">
        <v>0.1073937772087068</v>
      </c>
      <c r="K23" s="538">
        <v>0.11340672641912081</v>
      </c>
      <c r="L23" s="538">
        <v>0.10973002304737518</v>
      </c>
      <c r="M23" s="512">
        <v>9.980566724708019E-2</v>
      </c>
      <c r="N23" s="511">
        <v>0.10786160956039269</v>
      </c>
      <c r="O23" s="511">
        <v>0.10673544037558685</v>
      </c>
      <c r="P23" s="511">
        <v>0.10555012548015365</v>
      </c>
      <c r="Q23" s="511">
        <v>0.10421451165172857</v>
      </c>
      <c r="R23" s="511">
        <v>0.10267501630388395</v>
      </c>
      <c r="S23" s="511">
        <v>0.10108634400341446</v>
      </c>
      <c r="T23" s="511">
        <v>9.9449491762697392E-2</v>
      </c>
      <c r="U23" s="511">
        <v>9.7830387366624014E-2</v>
      </c>
      <c r="V23" s="511">
        <v>9.6386871190781057E-2</v>
      </c>
      <c r="W23" s="511">
        <v>9.5001582927870268E-2</v>
      </c>
      <c r="X23" s="511">
        <v>9.4089885104566798E-2</v>
      </c>
      <c r="Y23" s="511">
        <v>9.3723052838241575E-2</v>
      </c>
      <c r="Z23" s="511">
        <v>9.3927226291079816E-2</v>
      </c>
      <c r="AA23" s="511">
        <v>9.4841494152795539E-2</v>
      </c>
      <c r="AB23" s="511">
        <v>9.6066288348271439E-2</v>
      </c>
      <c r="AC23" s="511">
        <v>9.7326356636790456E-2</v>
      </c>
      <c r="AD23" s="511">
        <v>9.8648277592829722E-2</v>
      </c>
      <c r="AE23" s="511">
        <v>9.9976876483141297E-2</v>
      </c>
      <c r="AF23" s="511">
        <v>0.10144642048655571</v>
      </c>
      <c r="AG23" s="511">
        <v>0.10271607914639337</v>
      </c>
      <c r="AH23" s="511">
        <v>0.10405715755868514</v>
      </c>
      <c r="AI23" s="511">
        <v>0.10539823597097731</v>
      </c>
      <c r="AJ23" s="712">
        <v>0.10673931438326907</v>
      </c>
      <c r="AK23" s="511">
        <v>0.10808039279556124</v>
      </c>
      <c r="AL23" s="511">
        <v>0.109421471207853</v>
      </c>
      <c r="AM23" s="511">
        <v>0.11076254962014478</v>
      </c>
      <c r="AN23" s="511">
        <v>0.11210362803243694</v>
      </c>
      <c r="AO23" s="511">
        <v>0.11344470644472872</v>
      </c>
      <c r="AP23" s="511">
        <v>0.11478578485702087</v>
      </c>
      <c r="AQ23" s="511">
        <v>0.11612686326931264</v>
      </c>
      <c r="AR23" s="511">
        <v>0.11746794168160481</v>
      </c>
      <c r="AS23" s="511">
        <v>0.11880902009389657</v>
      </c>
      <c r="AT23" s="511">
        <v>0.12015009850618835</v>
      </c>
      <c r="AU23" s="60">
        <v>0.12149117691848051</v>
      </c>
    </row>
    <row r="24" spans="1:47">
      <c r="A24" s="556" t="s">
        <v>1399</v>
      </c>
      <c r="B24" s="558">
        <f>B15+B16+B17+B18+B19+B20+B21</f>
        <v>5.9362299281279209E-2</v>
      </c>
      <c r="C24" s="558">
        <f t="shared" ref="C24:AU24" si="1">C15+C16+C17+C18+C19+C20+C21</f>
        <v>6.1466280717014071E-2</v>
      </c>
      <c r="D24" s="558">
        <f t="shared" si="1"/>
        <v>6.2645625156777643E-2</v>
      </c>
      <c r="E24" s="558">
        <f t="shared" si="1"/>
        <v>6.36808354559531E-2</v>
      </c>
      <c r="F24" s="558">
        <f t="shared" si="1"/>
        <v>6.7176800856227237E-2</v>
      </c>
      <c r="G24" s="558">
        <f t="shared" si="1"/>
        <v>6.8134009217501124E-2</v>
      </c>
      <c r="H24" s="558">
        <f t="shared" si="1"/>
        <v>7.2130134872038273E-2</v>
      </c>
      <c r="I24" s="558">
        <f t="shared" si="1"/>
        <v>6.811631785641753E-2</v>
      </c>
      <c r="J24" s="558">
        <f t="shared" si="1"/>
        <v>6.9203723503011336E-2</v>
      </c>
      <c r="K24" s="558">
        <f t="shared" si="1"/>
        <v>6.8057592655130464E-2</v>
      </c>
      <c r="L24" s="558">
        <f>L15+L16+L17+L18+L19+L20+L21</f>
        <v>6.4495058846709807E-2</v>
      </c>
      <c r="M24" s="581">
        <f t="shared" si="1"/>
        <v>7.2274469075220393E-2</v>
      </c>
      <c r="N24" s="558">
        <f t="shared" si="1"/>
        <v>7.394675923124118E-2</v>
      </c>
      <c r="O24" s="558">
        <f t="shared" si="1"/>
        <v>7.8623014320324675E-2</v>
      </c>
      <c r="P24" s="558">
        <f t="shared" si="1"/>
        <v>7.7421802404507467E-2</v>
      </c>
      <c r="Q24" s="558">
        <f t="shared" si="1"/>
        <v>7.6419604714812087E-2</v>
      </c>
      <c r="R24" s="558">
        <f t="shared" si="1"/>
        <v>7.573633104949197E-2</v>
      </c>
      <c r="S24" s="558">
        <f t="shared" si="1"/>
        <v>7.5341856834416215E-2</v>
      </c>
      <c r="T24" s="558">
        <f t="shared" si="1"/>
        <v>7.5344100058486241E-2</v>
      </c>
      <c r="U24" s="558">
        <f t="shared" si="1"/>
        <v>7.5322200359609764E-2</v>
      </c>
      <c r="V24" s="558">
        <f t="shared" si="1"/>
        <v>7.5522773715420016E-2</v>
      </c>
      <c r="W24" s="558">
        <f t="shared" si="1"/>
        <v>7.5924924999965934E-2</v>
      </c>
      <c r="X24" s="558">
        <f t="shared" si="1"/>
        <v>7.6399933835351042E-2</v>
      </c>
      <c r="Y24" s="558">
        <f t="shared" si="1"/>
        <v>7.6956644251815906E-2</v>
      </c>
      <c r="Z24" s="558">
        <f t="shared" si="1"/>
        <v>7.7421844502164244E-2</v>
      </c>
      <c r="AA24" s="558">
        <f t="shared" si="1"/>
        <v>7.803125244043245E-2</v>
      </c>
      <c r="AB24" s="558">
        <f t="shared" si="1"/>
        <v>7.8653816434229681E-2</v>
      </c>
      <c r="AC24" s="558">
        <f t="shared" si="1"/>
        <v>7.9321632770037967E-2</v>
      </c>
      <c r="AD24" s="558">
        <f t="shared" si="1"/>
        <v>8.0003510595227312E-2</v>
      </c>
      <c r="AE24" s="558">
        <f t="shared" si="1"/>
        <v>8.0684683734126753E-2</v>
      </c>
      <c r="AF24" s="558">
        <f t="shared" si="1"/>
        <v>8.1396503496722117E-2</v>
      </c>
      <c r="AG24" s="558">
        <f t="shared" si="1"/>
        <v>8.206667016321223E-2</v>
      </c>
      <c r="AH24" s="558">
        <f t="shared" si="1"/>
        <v>8.2714271551012561E-2</v>
      </c>
      <c r="AI24" s="558">
        <f t="shared" si="1"/>
        <v>8.3393165108529038E-2</v>
      </c>
      <c r="AJ24" s="558">
        <f t="shared" si="1"/>
        <v>8.4132480770431547E-2</v>
      </c>
      <c r="AK24" s="558">
        <f t="shared" si="1"/>
        <v>8.491975903513696E-2</v>
      </c>
      <c r="AL24" s="558">
        <f t="shared" si="1"/>
        <v>8.5999980058354894E-2</v>
      </c>
      <c r="AM24" s="558">
        <f t="shared" si="1"/>
        <v>8.6790375084592669E-2</v>
      </c>
      <c r="AN24" s="558">
        <f t="shared" si="1"/>
        <v>8.7654023621196162E-2</v>
      </c>
      <c r="AO24" s="558">
        <f t="shared" si="1"/>
        <v>8.8588373705079895E-2</v>
      </c>
      <c r="AP24" s="558">
        <f t="shared" si="1"/>
        <v>8.9539684067331385E-2</v>
      </c>
      <c r="AQ24" s="558">
        <f t="shared" si="1"/>
        <v>9.0510501209691688E-2</v>
      </c>
      <c r="AR24" s="558">
        <f t="shared" si="1"/>
        <v>9.1462602344077326E-2</v>
      </c>
      <c r="AS24" s="558">
        <f t="shared" si="1"/>
        <v>9.2420748732688407E-2</v>
      </c>
      <c r="AT24" s="558">
        <f t="shared" si="1"/>
        <v>9.3376522795568503E-2</v>
      </c>
      <c r="AU24" s="558">
        <f t="shared" si="1"/>
        <v>9.4319688857122636E-2</v>
      </c>
    </row>
    <row r="25" spans="1:47">
      <c r="A25" s="57" t="s">
        <v>80</v>
      </c>
      <c r="B25" s="414"/>
      <c r="C25" s="414"/>
      <c r="D25" s="414"/>
      <c r="E25" s="414"/>
      <c r="F25" s="414"/>
      <c r="G25" s="414"/>
      <c r="H25" s="414"/>
      <c r="I25" s="415"/>
      <c r="J25" s="413"/>
      <c r="K25" s="415"/>
      <c r="L25" s="489"/>
      <c r="M25" s="736"/>
      <c r="N25" s="713"/>
      <c r="O25" s="713"/>
      <c r="P25" s="713"/>
      <c r="Q25" s="713"/>
      <c r="R25" s="713"/>
      <c r="S25" s="713"/>
      <c r="T25" s="713"/>
      <c r="U25" s="713"/>
      <c r="V25" s="713"/>
      <c r="W25" s="713"/>
      <c r="X25" s="713"/>
      <c r="Y25" s="713"/>
      <c r="Z25" s="713"/>
      <c r="AA25" s="713"/>
      <c r="AB25" s="713"/>
      <c r="AC25" s="704"/>
      <c r="AD25" s="534"/>
      <c r="AE25" s="713"/>
      <c r="AF25" s="713"/>
      <c r="AG25" s="713"/>
      <c r="AH25" s="713"/>
      <c r="AI25" s="713"/>
      <c r="AJ25" s="714"/>
      <c r="AK25" s="713"/>
      <c r="AL25" s="713"/>
      <c r="AM25" s="713"/>
      <c r="AN25" s="713"/>
      <c r="AO25" s="713"/>
      <c r="AP25" s="713"/>
      <c r="AQ25" s="713"/>
      <c r="AR25" s="713"/>
      <c r="AS25" s="713"/>
      <c r="AT25" s="713"/>
    </row>
    <row r="26" spans="1:47">
      <c r="A26" s="57" t="s">
        <v>24</v>
      </c>
      <c r="B26" s="537">
        <v>4.716850778559491E-3</v>
      </c>
      <c r="C26" s="537">
        <v>4.2493773066018276E-3</v>
      </c>
      <c r="D26" s="537">
        <v>1.8075217666993772E-3</v>
      </c>
      <c r="E26" s="537">
        <v>1.8116883920671805E-3</v>
      </c>
      <c r="F26" s="537">
        <v>5.4305017293701371E-3</v>
      </c>
      <c r="G26" s="537">
        <v>5.2023293877999635E-3</v>
      </c>
      <c r="H26" s="537">
        <v>5.9820835637745574E-3</v>
      </c>
      <c r="I26" s="537">
        <v>5.3570897586040812E-3</v>
      </c>
      <c r="J26" s="537">
        <v>5.5555004904042334E-3</v>
      </c>
      <c r="K26" s="538">
        <v>4.643604767050738E-3</v>
      </c>
      <c r="L26" s="538">
        <v>5.2687969829530142E-3</v>
      </c>
      <c r="M26" s="512">
        <v>5.7235738203177877E-3</v>
      </c>
      <c r="N26" s="511">
        <v>5.8730758148377417E-3</v>
      </c>
      <c r="O26" s="511">
        <v>6.4988875451774423E-3</v>
      </c>
      <c r="P26" s="511">
        <v>6.4341601555432905E-3</v>
      </c>
      <c r="Q26" s="511">
        <v>6.7803387031361764E-3</v>
      </c>
      <c r="R26" s="511">
        <v>7.0012923159005081E-3</v>
      </c>
      <c r="S26" s="511">
        <v>7.2081129823501899E-3</v>
      </c>
      <c r="T26" s="511">
        <v>7.4497265269331675E-3</v>
      </c>
      <c r="U26" s="511">
        <v>7.7176669959489533E-3</v>
      </c>
      <c r="V26" s="511">
        <v>7.8473199124430432E-3</v>
      </c>
      <c r="W26" s="511">
        <v>7.9455534699936613E-3</v>
      </c>
      <c r="X26" s="511">
        <v>8.084706316743873E-3</v>
      </c>
      <c r="Y26" s="511">
        <v>8.262338620717043E-3</v>
      </c>
      <c r="Z26" s="511">
        <v>8.4136013063391447E-3</v>
      </c>
      <c r="AA26" s="511">
        <v>8.5492574937343722E-3</v>
      </c>
      <c r="AB26" s="511">
        <v>8.6701311364908284E-3</v>
      </c>
      <c r="AC26" s="511">
        <v>8.7466765299302508E-3</v>
      </c>
      <c r="AD26" s="511">
        <v>8.8605340524501378E-3</v>
      </c>
      <c r="AE26" s="511">
        <v>8.9089633400682502E-3</v>
      </c>
      <c r="AF26" s="511">
        <v>8.9510263673083443E-3</v>
      </c>
      <c r="AG26" s="511">
        <v>9.0102378685693631E-3</v>
      </c>
      <c r="AH26" s="511">
        <v>9.1098646608900932E-3</v>
      </c>
      <c r="AI26" s="511">
        <v>9.2590262311988067E-3</v>
      </c>
      <c r="AJ26" s="511">
        <v>9.312523336664439E-3</v>
      </c>
      <c r="AK26" s="511">
        <v>9.3438937788208973E-3</v>
      </c>
      <c r="AL26" s="511">
        <v>9.4255460755324431E-3</v>
      </c>
      <c r="AM26" s="511">
        <v>9.4303950844125475E-3</v>
      </c>
      <c r="AN26" s="511">
        <v>9.4531784369741318E-3</v>
      </c>
      <c r="AO26" s="511">
        <v>9.4797184574854868E-3</v>
      </c>
      <c r="AP26" s="511">
        <v>9.511720390752312E-3</v>
      </c>
      <c r="AQ26" s="511">
        <v>9.5269842819561117E-3</v>
      </c>
      <c r="AR26" s="511">
        <v>9.5608018358491875E-3</v>
      </c>
      <c r="AS26" s="511">
        <v>9.5893946395969945E-3</v>
      </c>
      <c r="AT26" s="511">
        <v>9.6118364619913466E-3</v>
      </c>
      <c r="AU26" s="60">
        <v>9.6485573852219779E-3</v>
      </c>
    </row>
    <row r="27" spans="1:47">
      <c r="A27" s="57" t="s">
        <v>30</v>
      </c>
      <c r="B27" s="537">
        <v>5.7916291168298292E-3</v>
      </c>
      <c r="C27" s="537">
        <v>5.937280546527866E-3</v>
      </c>
      <c r="D27" s="537">
        <v>4.6383811532224864E-3</v>
      </c>
      <c r="E27" s="537">
        <v>4.5054708417700783E-3</v>
      </c>
      <c r="F27" s="537">
        <v>3.9347383278862062E-3</v>
      </c>
      <c r="G27" s="537">
        <v>4.7206076136545039E-3</v>
      </c>
      <c r="H27" s="537">
        <v>5.7059771640775303E-3</v>
      </c>
      <c r="I27" s="537">
        <v>4.8527091402502031E-3</v>
      </c>
      <c r="J27" s="537">
        <v>5.1223040924863253E-3</v>
      </c>
      <c r="K27" s="538">
        <v>5.9017030994009557E-3</v>
      </c>
      <c r="L27" s="538">
        <v>4.5262296530922588E-3</v>
      </c>
      <c r="M27" s="512">
        <v>5.7189246855607377E-3</v>
      </c>
      <c r="N27" s="511">
        <v>5.7267488690986119E-3</v>
      </c>
      <c r="O27" s="511">
        <v>5.7760952325383768E-3</v>
      </c>
      <c r="P27" s="511">
        <v>5.8910078599850963E-3</v>
      </c>
      <c r="Q27" s="511">
        <v>5.9568475026599852E-3</v>
      </c>
      <c r="R27" s="511">
        <v>6.0117126762704596E-3</v>
      </c>
      <c r="S27" s="511">
        <v>6.0670678626298952E-3</v>
      </c>
      <c r="T27" s="511">
        <v>6.1107698730469874E-3</v>
      </c>
      <c r="U27" s="511">
        <v>6.1555528428855243E-3</v>
      </c>
      <c r="V27" s="511">
        <v>6.1884522438082857E-3</v>
      </c>
      <c r="W27" s="511">
        <v>6.233449531061295E-3</v>
      </c>
      <c r="X27" s="511">
        <v>6.2878835703232107E-3</v>
      </c>
      <c r="Y27" s="511">
        <v>6.3112104863754731E-3</v>
      </c>
      <c r="Z27" s="511">
        <v>6.3469708597951461E-3</v>
      </c>
      <c r="AA27" s="511">
        <v>6.3772387662702395E-3</v>
      </c>
      <c r="AB27" s="511">
        <v>6.418920314548127E-3</v>
      </c>
      <c r="AC27" s="511">
        <v>6.4619417791910508E-3</v>
      </c>
      <c r="AD27" s="511">
        <v>6.4909100797989078E-3</v>
      </c>
      <c r="AE27" s="511">
        <v>6.5278348909340138E-3</v>
      </c>
      <c r="AF27" s="511">
        <v>6.5620319301912299E-3</v>
      </c>
      <c r="AG27" s="511">
        <v>6.5996217519833176E-3</v>
      </c>
      <c r="AH27" s="511">
        <v>6.6432092596826866E-3</v>
      </c>
      <c r="AI27" s="511">
        <v>6.6830654035509316E-3</v>
      </c>
      <c r="AJ27" s="511">
        <v>6.7325568111818402E-3</v>
      </c>
      <c r="AK27" s="511">
        <v>6.7847235987685004E-3</v>
      </c>
      <c r="AL27" s="511">
        <v>6.8557421931214309E-3</v>
      </c>
      <c r="AM27" s="511">
        <v>6.9073296630182066E-3</v>
      </c>
      <c r="AN27" s="511">
        <v>6.9558477276152461E-3</v>
      </c>
      <c r="AO27" s="511">
        <v>7.0002939328040348E-3</v>
      </c>
      <c r="AP27" s="511">
        <v>7.0346837522159448E-3</v>
      </c>
      <c r="AQ27" s="511">
        <v>7.072615559489695E-3</v>
      </c>
      <c r="AR27" s="511">
        <v>7.1201407938672233E-3</v>
      </c>
      <c r="AS27" s="511">
        <v>7.1636027359504775E-3</v>
      </c>
      <c r="AT27" s="511">
        <v>7.2083689508019039E-3</v>
      </c>
      <c r="AU27" s="60">
        <v>7.25833334301386E-3</v>
      </c>
    </row>
    <row r="28" spans="1:47" s="349" customFormat="1">
      <c r="A28" s="6" t="s">
        <v>25</v>
      </c>
      <c r="B28" s="537">
        <v>1.7955278939008688E-2</v>
      </c>
      <c r="C28" s="537">
        <v>1.855505988597872E-2</v>
      </c>
      <c r="D28" s="537">
        <v>1.6026866600000002E-2</v>
      </c>
      <c r="E28" s="537">
        <v>1.4883080470000001E-2</v>
      </c>
      <c r="F28" s="537">
        <v>1.5386824700000001E-2</v>
      </c>
      <c r="G28" s="537">
        <v>1.6241572800000003E-2</v>
      </c>
      <c r="H28" s="537">
        <v>1.7688801300000001E-2</v>
      </c>
      <c r="I28" s="537">
        <v>1.7801590000000003E-2</v>
      </c>
      <c r="J28" s="537">
        <v>1.8345150000000001E-2</v>
      </c>
      <c r="K28" s="538">
        <v>1.870077413E-2</v>
      </c>
      <c r="L28" s="538">
        <v>1.781205353E-2</v>
      </c>
      <c r="M28" s="512">
        <v>1.5444662204402574E-2</v>
      </c>
      <c r="N28" s="511">
        <v>1.576170168334972E-2</v>
      </c>
      <c r="O28" s="511">
        <v>1.6177782874415438E-2</v>
      </c>
      <c r="P28" s="511">
        <v>1.664746175208167E-2</v>
      </c>
      <c r="Q28" s="511">
        <v>1.6902995314651011E-2</v>
      </c>
      <c r="R28" s="511">
        <v>1.7137479455150349E-2</v>
      </c>
      <c r="S28" s="511">
        <v>1.7370859301881317E-2</v>
      </c>
      <c r="T28" s="511">
        <v>1.7589730447784765E-2</v>
      </c>
      <c r="U28" s="511">
        <v>1.7864012148439627E-2</v>
      </c>
      <c r="V28" s="511">
        <v>1.8052275345772049E-2</v>
      </c>
      <c r="W28" s="511">
        <v>1.8239085882763746E-2</v>
      </c>
      <c r="X28" s="511">
        <v>1.841658266413335E-2</v>
      </c>
      <c r="Y28" s="511">
        <v>1.8620275570552822E-2</v>
      </c>
      <c r="Z28" s="511">
        <v>1.8771073201356882E-2</v>
      </c>
      <c r="AA28" s="511">
        <v>1.8934990444589867E-2</v>
      </c>
      <c r="AB28" s="511">
        <v>1.9108582548078925E-2</v>
      </c>
      <c r="AC28" s="511">
        <v>1.9242332127835375E-2</v>
      </c>
      <c r="AD28" s="511">
        <v>1.9361422415450323E-2</v>
      </c>
      <c r="AE28" s="511">
        <v>1.9537409260409064E-2</v>
      </c>
      <c r="AF28" s="511">
        <v>1.9724115560599949E-2</v>
      </c>
      <c r="AG28" s="511">
        <v>1.9917555707831644E-2</v>
      </c>
      <c r="AH28" s="511">
        <v>2.0108800011803644E-2</v>
      </c>
      <c r="AI28" s="511">
        <v>2.033685815647511E-2</v>
      </c>
      <c r="AJ28" s="511">
        <v>2.0535810680367434E-2</v>
      </c>
      <c r="AK28" s="511">
        <v>2.0762627696798312E-2</v>
      </c>
      <c r="AL28" s="511">
        <v>2.1081619123534182E-2</v>
      </c>
      <c r="AM28" s="511">
        <v>2.1289042318162879E-2</v>
      </c>
      <c r="AN28" s="511">
        <v>2.151863647267312E-2</v>
      </c>
      <c r="AO28" s="511">
        <v>2.1760336965847466E-2</v>
      </c>
      <c r="AP28" s="511">
        <v>2.1983406166588129E-2</v>
      </c>
      <c r="AQ28" s="511">
        <v>2.2230224198804414E-2</v>
      </c>
      <c r="AR28" s="511">
        <v>2.2482102827161839E-2</v>
      </c>
      <c r="AS28" s="511">
        <v>2.2710836873539111E-2</v>
      </c>
      <c r="AT28" s="511">
        <v>2.2924978816988038E-2</v>
      </c>
      <c r="AU28" s="716">
        <v>2.3165313684284854E-2</v>
      </c>
    </row>
    <row r="29" spans="1:47">
      <c r="A29" s="57" t="s">
        <v>31</v>
      </c>
      <c r="B29" s="537">
        <v>8.2412061777782316E-4</v>
      </c>
      <c r="C29" s="537">
        <v>8.7316280655768319E-4</v>
      </c>
      <c r="D29" s="537">
        <v>8.6287806388219627E-4</v>
      </c>
      <c r="E29" s="537">
        <v>8.9692965689903504E-4</v>
      </c>
      <c r="F29" s="537">
        <v>1.0299269783155885E-3</v>
      </c>
      <c r="G29" s="537">
        <v>9.6984641890891495E-4</v>
      </c>
      <c r="H29" s="537">
        <v>9.9302289583137054E-4</v>
      </c>
      <c r="I29" s="537">
        <v>7.1312236684479039E-4</v>
      </c>
      <c r="J29" s="537">
        <v>7.1312236684479039E-4</v>
      </c>
      <c r="K29" s="538">
        <v>4.5372410590499785E-4</v>
      </c>
      <c r="L29" s="538">
        <v>3.7331955904324772E-4</v>
      </c>
      <c r="M29" s="512">
        <v>4.0743217948383914E-4</v>
      </c>
      <c r="N29" s="511">
        <v>4.1099883413862415E-4</v>
      </c>
      <c r="O29" s="511">
        <v>4.0806848459211186E-4</v>
      </c>
      <c r="P29" s="511">
        <v>3.8101688467656727E-4</v>
      </c>
      <c r="Q29" s="511">
        <v>3.50538432959004E-4</v>
      </c>
      <c r="R29" s="511">
        <v>3.367152349772607E-4</v>
      </c>
      <c r="S29" s="511">
        <v>3.2691789418007837E-4</v>
      </c>
      <c r="T29" s="511">
        <v>3.1856250047293836E-4</v>
      </c>
      <c r="U29" s="511">
        <v>3.1169766109638368E-4</v>
      </c>
      <c r="V29" s="511">
        <v>3.0890616808816281E-4</v>
      </c>
      <c r="W29" s="511">
        <v>3.0521091595579107E-4</v>
      </c>
      <c r="X29" s="511">
        <v>3.0248131640127574E-4</v>
      </c>
      <c r="Y29" s="511">
        <v>2.9917053453368654E-4</v>
      </c>
      <c r="Z29" s="511">
        <v>3.0232771012698507E-4</v>
      </c>
      <c r="AA29" s="511">
        <v>3.0525456645471606E-4</v>
      </c>
      <c r="AB29" s="511">
        <v>3.0822163455225939E-4</v>
      </c>
      <c r="AC29" s="511">
        <v>3.1048663346818156E-4</v>
      </c>
      <c r="AD29" s="511">
        <v>3.1260469408926948E-4</v>
      </c>
      <c r="AE29" s="511">
        <v>3.1537569660433098E-4</v>
      </c>
      <c r="AF29" s="511">
        <v>3.1797925405634413E-4</v>
      </c>
      <c r="AG29" s="511">
        <v>3.2151141070966112E-4</v>
      </c>
      <c r="AH29" s="511">
        <v>3.2437945832225614E-4</v>
      </c>
      <c r="AI29" s="511">
        <v>3.2690492824118074E-4</v>
      </c>
      <c r="AJ29" s="511">
        <v>3.3005275358232599E-4</v>
      </c>
      <c r="AK29" s="511">
        <v>3.3378317972799034E-4</v>
      </c>
      <c r="AL29" s="511">
        <v>3.3856984691299827E-4</v>
      </c>
      <c r="AM29" s="511">
        <v>3.4209012771838971E-4</v>
      </c>
      <c r="AN29" s="511">
        <v>3.4531183965902233E-4</v>
      </c>
      <c r="AO29" s="511">
        <v>3.4867739906266831E-4</v>
      </c>
      <c r="AP29" s="511">
        <v>3.5107005817755694E-4</v>
      </c>
      <c r="AQ29" s="511">
        <v>3.5439141505038985E-4</v>
      </c>
      <c r="AR29" s="511">
        <v>3.5820009785127686E-4</v>
      </c>
      <c r="AS29" s="511">
        <v>3.6139375553283584E-4</v>
      </c>
      <c r="AT29" s="511">
        <v>3.6476105352170694E-4</v>
      </c>
      <c r="AU29" s="60">
        <v>3.6835082851730466E-4</v>
      </c>
    </row>
    <row r="30" spans="1:47">
      <c r="A30" s="57" t="s">
        <v>60</v>
      </c>
      <c r="B30" s="537">
        <v>6.7804572629369363E-3</v>
      </c>
      <c r="C30" s="537">
        <v>7.084609643170898E-3</v>
      </c>
      <c r="D30" s="537">
        <v>6.6965625211192169E-3</v>
      </c>
      <c r="E30" s="537">
        <v>5.7652291992522772E-3</v>
      </c>
      <c r="F30" s="537">
        <v>2.1334181483211668E-3</v>
      </c>
      <c r="G30" s="537">
        <v>0</v>
      </c>
      <c r="H30" s="537">
        <v>0</v>
      </c>
      <c r="I30" s="537">
        <v>0</v>
      </c>
      <c r="J30" s="537">
        <v>0</v>
      </c>
      <c r="K30" s="538">
        <v>0</v>
      </c>
      <c r="L30" s="538">
        <v>0</v>
      </c>
      <c r="M30" s="512"/>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60"/>
    </row>
    <row r="31" spans="1:47" s="425" customFormat="1">
      <c r="A31" s="425" t="s">
        <v>33</v>
      </c>
      <c r="B31" s="719">
        <v>0.1068870445352794</v>
      </c>
      <c r="C31" s="719">
        <v>0.10739627155380832</v>
      </c>
      <c r="D31" s="719">
        <v>9.611717890950533E-2</v>
      </c>
      <c r="E31" s="719">
        <v>9.0873015177546229E-2</v>
      </c>
      <c r="F31" s="719">
        <v>7.5575866736152603E-2</v>
      </c>
      <c r="G31" s="719">
        <v>7.8573746918458962E-2</v>
      </c>
      <c r="H31" s="719">
        <v>7.3637634514515535E-2</v>
      </c>
      <c r="I31" s="719">
        <v>7.3671052311440319E-2</v>
      </c>
      <c r="J31" s="719">
        <v>7.9595116311741695E-2</v>
      </c>
      <c r="K31" s="719">
        <v>7.5019764215508933E-2</v>
      </c>
      <c r="L31" s="719">
        <v>7.2497480043072909E-2</v>
      </c>
      <c r="M31" s="738">
        <v>9.1572079810057286E-2</v>
      </c>
      <c r="N31" s="719">
        <v>9.2990894840247612E-2</v>
      </c>
      <c r="O31" s="719">
        <v>9.8277028479859752E-2</v>
      </c>
      <c r="P31" s="719">
        <v>0.10080559349276136</v>
      </c>
      <c r="Q31" s="719">
        <v>9.8805430517535445E-2</v>
      </c>
      <c r="R31" s="719">
        <v>9.7460616958340213E-2</v>
      </c>
      <c r="S31" s="719">
        <v>9.7859322761472009E-2</v>
      </c>
      <c r="T31" s="719">
        <v>9.8423159701070906E-2</v>
      </c>
      <c r="U31" s="719">
        <v>9.9096717726518152E-2</v>
      </c>
      <c r="V31" s="719">
        <v>9.9654437164093848E-2</v>
      </c>
      <c r="W31" s="719">
        <v>9.941049649162198E-2</v>
      </c>
      <c r="X31" s="719">
        <v>0.10047875696842018</v>
      </c>
      <c r="Y31" s="719">
        <v>0.10123242384055313</v>
      </c>
      <c r="Z31" s="719">
        <v>0.10196315804709832</v>
      </c>
      <c r="AA31" s="719">
        <v>0.10258904115366455</v>
      </c>
      <c r="AB31" s="719">
        <v>0.10450760225823143</v>
      </c>
      <c r="AC31" s="719">
        <v>0.10506533052276466</v>
      </c>
      <c r="AD31" s="719">
        <v>0.10592701393222836</v>
      </c>
      <c r="AE31" s="719">
        <v>0.10700149176956346</v>
      </c>
      <c r="AF31" s="719">
        <v>0.10832389383263413</v>
      </c>
      <c r="AG31" s="719">
        <v>0.10924539818518041</v>
      </c>
      <c r="AH31" s="719">
        <v>0.11010140864990633</v>
      </c>
      <c r="AI31" s="719">
        <v>0.11124820769549643</v>
      </c>
      <c r="AJ31" s="719">
        <v>0.11226267461500296</v>
      </c>
      <c r="AK31" s="719">
        <v>0.11349049022832737</v>
      </c>
      <c r="AL31" s="719">
        <v>0.11462561229397758</v>
      </c>
      <c r="AM31" s="719">
        <v>0.11542114568773429</v>
      </c>
      <c r="AN31" s="719">
        <v>0.11639190262620187</v>
      </c>
      <c r="AO31" s="719">
        <v>0.11702527271479604</v>
      </c>
      <c r="AP31" s="719">
        <v>0.11800510021602985</v>
      </c>
      <c r="AQ31" s="719">
        <v>0.11907328379612545</v>
      </c>
      <c r="AR31" s="719">
        <v>0.12043184007546907</v>
      </c>
      <c r="AS31" s="719">
        <v>0.12186006138827676</v>
      </c>
      <c r="AT31" s="719">
        <v>0.12303608690986055</v>
      </c>
      <c r="AU31" s="740">
        <v>0.12438974976644288</v>
      </c>
    </row>
    <row r="32" spans="1:47" s="70" customFormat="1">
      <c r="A32" s="70" t="s">
        <v>26</v>
      </c>
      <c r="B32" s="537">
        <v>6.9624119764740908E-2</v>
      </c>
      <c r="C32" s="537">
        <v>6.6905737666288004E-2</v>
      </c>
      <c r="D32" s="537">
        <v>6.5159312676454875E-2</v>
      </c>
      <c r="E32" s="537">
        <v>6.3435289668273054E-2</v>
      </c>
      <c r="F32" s="537">
        <v>6.1649368415091985E-2</v>
      </c>
      <c r="G32" s="537">
        <v>6.0994730294016988E-2</v>
      </c>
      <c r="H32" s="537">
        <v>6.1605868496371313E-2</v>
      </c>
      <c r="I32" s="537">
        <v>6.3966273922033884E-2</v>
      </c>
      <c r="J32" s="537">
        <v>7.0170360690391675E-2</v>
      </c>
      <c r="K32" s="538">
        <v>7.2357122997882384E-2</v>
      </c>
      <c r="L32" s="538">
        <v>6.983375361092016E-2</v>
      </c>
      <c r="M32" s="512">
        <v>7.2014211803263561E-2</v>
      </c>
      <c r="N32" s="511">
        <v>7.2760996527556993E-2</v>
      </c>
      <c r="O32" s="511">
        <v>7.5005717356829218E-2</v>
      </c>
      <c r="P32" s="511">
        <v>7.7193251686648603E-2</v>
      </c>
      <c r="Q32" s="511">
        <v>8.0227338440548801E-2</v>
      </c>
      <c r="R32" s="511">
        <v>8.1919006796082064E-2</v>
      </c>
      <c r="S32" s="511">
        <v>8.3279911222785982E-2</v>
      </c>
      <c r="T32" s="511">
        <v>8.4394726633648429E-2</v>
      </c>
      <c r="U32" s="511">
        <v>8.4467321011387125E-2</v>
      </c>
      <c r="V32" s="511">
        <v>8.4707078518415899E-2</v>
      </c>
      <c r="W32" s="511">
        <v>8.5144533051544555E-2</v>
      </c>
      <c r="X32" s="511">
        <v>8.5933311719747107E-2</v>
      </c>
      <c r="Y32" s="511">
        <v>8.6871883182351312E-2</v>
      </c>
      <c r="Z32" s="511">
        <v>8.7680336754096352E-2</v>
      </c>
      <c r="AA32" s="511">
        <v>8.8479356090004652E-2</v>
      </c>
      <c r="AB32" s="511">
        <v>8.920699800894516E-2</v>
      </c>
      <c r="AC32" s="511">
        <v>9.0135678738785946E-2</v>
      </c>
      <c r="AD32" s="511">
        <v>9.0996135121384436E-2</v>
      </c>
      <c r="AE32" s="511">
        <v>9.1892129989094226E-2</v>
      </c>
      <c r="AF32" s="511">
        <v>9.2858737831682178E-2</v>
      </c>
      <c r="AG32" s="511">
        <v>9.3543884620881187E-2</v>
      </c>
      <c r="AH32" s="511">
        <v>9.4706550460877378E-2</v>
      </c>
      <c r="AI32" s="511">
        <v>9.5941015595336812E-2</v>
      </c>
      <c r="AJ32" s="511">
        <v>9.6915741566117944E-2</v>
      </c>
      <c r="AK32" s="511">
        <v>9.7852121951957347E-2</v>
      </c>
      <c r="AL32" s="511">
        <v>9.9105016732172549E-2</v>
      </c>
      <c r="AM32" s="511">
        <v>9.9840889553360138E-2</v>
      </c>
      <c r="AN32" s="511">
        <v>0.10071502527138411</v>
      </c>
      <c r="AO32" s="511">
        <v>0.10146114004516561</v>
      </c>
      <c r="AP32" s="511">
        <v>0.1023301592945275</v>
      </c>
      <c r="AQ32" s="511">
        <v>0.10294261685889192</v>
      </c>
      <c r="AR32" s="511">
        <v>0.10354980140674301</v>
      </c>
      <c r="AS32" s="511">
        <v>0.104294822581698</v>
      </c>
      <c r="AT32" s="511">
        <v>0.10501211933081961</v>
      </c>
      <c r="AU32" s="717">
        <v>0.10580827435179195</v>
      </c>
    </row>
    <row r="33" spans="1:47">
      <c r="A33" s="57" t="s">
        <v>61</v>
      </c>
      <c r="B33" s="537">
        <v>0</v>
      </c>
      <c r="C33" s="537">
        <v>0</v>
      </c>
      <c r="D33" s="537">
        <v>0</v>
      </c>
      <c r="E33" s="537">
        <v>0</v>
      </c>
      <c r="F33" s="537">
        <v>0</v>
      </c>
      <c r="G33" s="537">
        <v>0</v>
      </c>
      <c r="H33" s="537">
        <v>0</v>
      </c>
      <c r="I33" s="537">
        <v>0</v>
      </c>
      <c r="J33" s="537">
        <v>0</v>
      </c>
      <c r="K33" s="538">
        <v>0</v>
      </c>
      <c r="L33" s="538">
        <v>0</v>
      </c>
      <c r="M33" s="512"/>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60"/>
    </row>
    <row r="34" spans="1:47">
      <c r="A34" s="57" t="s">
        <v>35</v>
      </c>
      <c r="B34" s="537">
        <v>0</v>
      </c>
      <c r="C34" s="537">
        <v>0</v>
      </c>
      <c r="D34" s="537">
        <v>0</v>
      </c>
      <c r="E34" s="537">
        <v>0</v>
      </c>
      <c r="F34" s="537">
        <v>0</v>
      </c>
      <c r="G34" s="537">
        <v>0</v>
      </c>
      <c r="H34" s="537">
        <v>0</v>
      </c>
      <c r="I34" s="537">
        <v>0</v>
      </c>
      <c r="J34" s="537">
        <v>0</v>
      </c>
      <c r="K34" s="538">
        <v>0</v>
      </c>
      <c r="L34" s="538">
        <v>0</v>
      </c>
      <c r="M34" s="512"/>
      <c r="N34" s="511"/>
      <c r="O34" s="511"/>
      <c r="P34" s="511"/>
      <c r="Q34" s="511"/>
      <c r="R34" s="511"/>
      <c r="S34" s="511"/>
      <c r="T34" s="511"/>
      <c r="U34" s="511"/>
      <c r="V34" s="511"/>
      <c r="W34" s="511"/>
      <c r="X34" s="511"/>
      <c r="Y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60"/>
    </row>
    <row r="35" spans="1:47">
      <c r="A35" s="57" t="s">
        <v>62</v>
      </c>
      <c r="B35" s="537">
        <v>6.9624119764740908E-2</v>
      </c>
      <c r="C35" s="537">
        <v>6.6905737666288004E-2</v>
      </c>
      <c r="D35" s="537">
        <v>6.5159312676454875E-2</v>
      </c>
      <c r="E35" s="537">
        <v>6.3435289668273054E-2</v>
      </c>
      <c r="F35" s="537">
        <v>6.1649368415091985E-2</v>
      </c>
      <c r="G35" s="537">
        <v>6.0994730294016988E-2</v>
      </c>
      <c r="H35" s="537">
        <v>6.1605868496371313E-2</v>
      </c>
      <c r="I35" s="537">
        <v>6.3966273922033884E-2</v>
      </c>
      <c r="J35" s="537">
        <v>7.0170360690391675E-2</v>
      </c>
      <c r="K35" s="538">
        <v>7.2357122997882384E-2</v>
      </c>
      <c r="L35" s="538">
        <v>6.983375361092016E-2</v>
      </c>
      <c r="M35" s="737">
        <v>7.2014211803263561E-2</v>
      </c>
      <c r="N35" s="712">
        <v>7.2760996527556993E-2</v>
      </c>
      <c r="O35" s="712">
        <v>7.5005717356829218E-2</v>
      </c>
      <c r="P35" s="712">
        <v>7.7193251686648603E-2</v>
      </c>
      <c r="Q35" s="712">
        <v>8.0227338440548801E-2</v>
      </c>
      <c r="R35" s="712">
        <v>8.1919006796082064E-2</v>
      </c>
      <c r="S35" s="712">
        <v>8.3279911222785982E-2</v>
      </c>
      <c r="T35" s="712">
        <v>8.4394726633648429E-2</v>
      </c>
      <c r="U35" s="712">
        <v>8.4467321011387125E-2</v>
      </c>
      <c r="V35" s="712">
        <v>8.4707078518415899E-2</v>
      </c>
      <c r="W35" s="712">
        <v>8.5144533051544555E-2</v>
      </c>
      <c r="X35" s="712">
        <v>8.5933311719747107E-2</v>
      </c>
      <c r="Y35" s="712">
        <v>8.6871883182351312E-2</v>
      </c>
      <c r="Z35" s="712">
        <v>8.7680336754096352E-2</v>
      </c>
      <c r="AA35" s="712">
        <v>8.8479356090004652E-2</v>
      </c>
      <c r="AB35" s="712">
        <v>8.920699800894516E-2</v>
      </c>
      <c r="AC35" s="712">
        <v>9.0135678738785946E-2</v>
      </c>
      <c r="AD35" s="712">
        <v>9.0996135121384436E-2</v>
      </c>
      <c r="AE35" s="712">
        <v>9.1892129989094226E-2</v>
      </c>
      <c r="AF35" s="712">
        <v>9.2858737831682178E-2</v>
      </c>
      <c r="AG35" s="712">
        <v>9.3543884620881187E-2</v>
      </c>
      <c r="AH35" s="712">
        <v>9.4706550460877378E-2</v>
      </c>
      <c r="AI35" s="712">
        <v>9.5941015595336812E-2</v>
      </c>
      <c r="AJ35" s="712">
        <v>9.6915741566117944E-2</v>
      </c>
      <c r="AK35" s="712">
        <v>9.7852121951957347E-2</v>
      </c>
      <c r="AL35" s="712">
        <v>9.9105016732172549E-2</v>
      </c>
      <c r="AM35" s="712">
        <v>9.9840889553360138E-2</v>
      </c>
      <c r="AN35" s="712">
        <v>0.10071502527138411</v>
      </c>
      <c r="AO35" s="712">
        <v>0.10146114004516561</v>
      </c>
      <c r="AP35" s="712">
        <v>0.1023301592945275</v>
      </c>
      <c r="AQ35" s="712">
        <v>0.10294261685889192</v>
      </c>
      <c r="AR35" s="712">
        <v>0.10354980140674301</v>
      </c>
      <c r="AS35" s="712">
        <v>0.104294822581698</v>
      </c>
      <c r="AT35" s="712">
        <v>0.10501211933081961</v>
      </c>
      <c r="AU35" s="60">
        <v>0.10580827435179195</v>
      </c>
    </row>
    <row r="36" spans="1:47">
      <c r="A36" s="57" t="s">
        <v>36</v>
      </c>
      <c r="B36" s="537">
        <v>0</v>
      </c>
      <c r="C36" s="537">
        <v>0</v>
      </c>
      <c r="D36" s="537">
        <v>0</v>
      </c>
      <c r="E36" s="537">
        <v>0</v>
      </c>
      <c r="F36" s="537">
        <v>9.0112102968652682E-6</v>
      </c>
      <c r="G36" s="537">
        <v>0</v>
      </c>
      <c r="H36" s="537">
        <v>0</v>
      </c>
      <c r="I36" s="537">
        <v>0</v>
      </c>
      <c r="J36" s="537">
        <v>0</v>
      </c>
      <c r="K36" s="538">
        <v>0</v>
      </c>
      <c r="L36" s="538">
        <v>0</v>
      </c>
      <c r="M36" s="512"/>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60"/>
    </row>
    <row r="37" spans="1:47">
      <c r="A37" s="57" t="s">
        <v>37</v>
      </c>
      <c r="B37" s="537">
        <v>3.578721760051585E-3</v>
      </c>
      <c r="C37" s="537">
        <v>3.5378419884432365E-3</v>
      </c>
      <c r="D37" s="537">
        <v>3.601623417064563E-3</v>
      </c>
      <c r="E37" s="537">
        <v>3.4036628607016814E-3</v>
      </c>
      <c r="F37" s="537">
        <v>2.7784565082001247E-3</v>
      </c>
      <c r="G37" s="537">
        <v>2.8077787004359561E-3</v>
      </c>
      <c r="H37" s="537">
        <v>2.9050425576084703E-3</v>
      </c>
      <c r="I37" s="537">
        <v>2.5746315133900765E-3</v>
      </c>
      <c r="J37" s="537">
        <v>2.360078887274237E-3</v>
      </c>
      <c r="K37" s="538">
        <v>2.549671891218601E-3</v>
      </c>
      <c r="L37" s="538">
        <v>2.522852812954121E-3</v>
      </c>
      <c r="M37" s="512">
        <v>1.0173769018919877E-3</v>
      </c>
      <c r="N37" s="511">
        <v>9.5732416754067975E-4</v>
      </c>
      <c r="O37" s="511">
        <v>9.8920708542971449E-4</v>
      </c>
      <c r="P37" s="511">
        <v>1.042031566401015E-3</v>
      </c>
      <c r="Q37" s="511">
        <v>1.0827616905255395E-3</v>
      </c>
      <c r="R37" s="511">
        <v>1.0981870929349848E-3</v>
      </c>
      <c r="S37" s="511">
        <v>1.1126568496218799E-3</v>
      </c>
      <c r="T37" s="511">
        <v>1.1253665822135823E-3</v>
      </c>
      <c r="U37" s="511">
        <v>1.1408439785541178E-3</v>
      </c>
      <c r="V37" s="511">
        <v>1.1418485295085414E-3</v>
      </c>
      <c r="W37" s="511">
        <v>1.1415568639524087E-3</v>
      </c>
      <c r="X37" s="511">
        <v>1.1397664582793446E-3</v>
      </c>
      <c r="Y37" s="511">
        <v>1.1363918933242926E-3</v>
      </c>
      <c r="Z37" s="511">
        <v>1.1238603911786925E-3</v>
      </c>
      <c r="AA37" s="511">
        <v>1.1175542965109432E-3</v>
      </c>
      <c r="AB37" s="511">
        <v>1.1125796160575377E-3</v>
      </c>
      <c r="AC37" s="511">
        <v>1.1031526730077824E-3</v>
      </c>
      <c r="AD37" s="511">
        <v>1.0962192774181831E-3</v>
      </c>
      <c r="AE37" s="511">
        <v>1.0901978230664115E-3</v>
      </c>
      <c r="AF37" s="511">
        <v>1.082225708238165E-3</v>
      </c>
      <c r="AG37" s="511">
        <v>1.0843992967356946E-3</v>
      </c>
      <c r="AH37" s="511">
        <v>1.0867196428133974E-3</v>
      </c>
      <c r="AI37" s="511">
        <v>1.0878360568441646E-3</v>
      </c>
      <c r="AJ37" s="511">
        <v>1.0878096597113091E-3</v>
      </c>
      <c r="AK37" s="511">
        <v>1.0898274332096225E-3</v>
      </c>
      <c r="AL37" s="511">
        <v>1.0968747758203178E-3</v>
      </c>
      <c r="AM37" s="511">
        <v>1.0980587189966925E-3</v>
      </c>
      <c r="AN37" s="511">
        <v>1.0997599902874218E-3</v>
      </c>
      <c r="AO37" s="511">
        <v>1.1015191193306248E-3</v>
      </c>
      <c r="AP37" s="511">
        <v>1.1040840638714021E-3</v>
      </c>
      <c r="AQ37" s="511">
        <v>1.1070508923707299E-3</v>
      </c>
      <c r="AR37" s="511">
        <v>1.1102865327315351E-3</v>
      </c>
      <c r="AS37" s="511">
        <v>1.1137143253443173E-3</v>
      </c>
      <c r="AT37" s="511">
        <v>1.1153145363724211E-3</v>
      </c>
      <c r="AU37" s="60">
        <v>1.1161759941763218E-3</v>
      </c>
    </row>
    <row r="38" spans="1:47">
      <c r="A38" s="57" t="s">
        <v>63</v>
      </c>
      <c r="B38" s="537">
        <v>0</v>
      </c>
      <c r="C38" s="537">
        <v>0</v>
      </c>
      <c r="D38" s="537">
        <v>0</v>
      </c>
      <c r="E38" s="537">
        <v>0</v>
      </c>
      <c r="F38" s="537">
        <v>0</v>
      </c>
      <c r="G38" s="537">
        <v>0</v>
      </c>
      <c r="H38" s="537">
        <v>0</v>
      </c>
      <c r="I38" s="537">
        <v>0</v>
      </c>
      <c r="J38" s="537">
        <v>0</v>
      </c>
      <c r="K38" s="538">
        <v>0</v>
      </c>
      <c r="L38" s="538">
        <v>0</v>
      </c>
      <c r="M38" s="512"/>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60"/>
    </row>
    <row r="39" spans="1:47">
      <c r="A39" s="57" t="s">
        <v>64</v>
      </c>
      <c r="B39" s="537">
        <v>0</v>
      </c>
      <c r="C39" s="537">
        <v>0</v>
      </c>
      <c r="D39" s="537">
        <v>0</v>
      </c>
      <c r="E39" s="537">
        <v>0</v>
      </c>
      <c r="F39" s="537">
        <v>0</v>
      </c>
      <c r="G39" s="537">
        <v>0</v>
      </c>
      <c r="H39" s="537">
        <v>0</v>
      </c>
      <c r="I39" s="537">
        <v>0</v>
      </c>
      <c r="J39" s="537">
        <v>0</v>
      </c>
      <c r="K39" s="538">
        <v>0</v>
      </c>
      <c r="L39" s="538">
        <v>0</v>
      </c>
      <c r="M39" s="512"/>
      <c r="N39" s="511"/>
      <c r="O39" s="511"/>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60"/>
    </row>
    <row r="40" spans="1:47">
      <c r="A40" s="57" t="s">
        <v>65</v>
      </c>
      <c r="B40" s="537">
        <v>3.578721760051585E-3</v>
      </c>
      <c r="C40" s="537">
        <v>3.5378419884432365E-3</v>
      </c>
      <c r="D40" s="537">
        <v>3.601623417064563E-3</v>
      </c>
      <c r="E40" s="537">
        <v>3.4036628607016814E-3</v>
      </c>
      <c r="F40" s="537">
        <v>2.7874677184969894E-3</v>
      </c>
      <c r="G40" s="537">
        <v>2.8077787004359561E-3</v>
      </c>
      <c r="H40" s="537">
        <v>2.9050425576084703E-3</v>
      </c>
      <c r="I40" s="537">
        <v>2.5746315133900765E-3</v>
      </c>
      <c r="J40" s="537">
        <v>2.360078887274237E-3</v>
      </c>
      <c r="K40" s="538">
        <v>2.549671891218601E-3</v>
      </c>
      <c r="L40" s="538">
        <v>2.522852812954121E-3</v>
      </c>
      <c r="M40" s="512">
        <v>1.6812374124580017E-3</v>
      </c>
      <c r="N40" s="511">
        <v>1.7073423605197776E-3</v>
      </c>
      <c r="O40" s="511">
        <v>1.6249388942578193E-3</v>
      </c>
      <c r="P40" s="511">
        <v>1.6774813139983039E-3</v>
      </c>
      <c r="Q40" s="511">
        <v>1.7753500661154009E-3</v>
      </c>
      <c r="R40" s="511">
        <v>1.7670235848961458E-3</v>
      </c>
      <c r="S40" s="511">
        <v>1.7235493044724976E-3</v>
      </c>
      <c r="T40" s="511">
        <v>1.7276752030412951E-3</v>
      </c>
      <c r="U40" s="511">
        <v>1.7607344135342489E-3</v>
      </c>
      <c r="V40" s="511">
        <v>1.7751831290616184E-3</v>
      </c>
      <c r="W40" s="511">
        <v>1.781588751599067E-3</v>
      </c>
      <c r="X40" s="511">
        <v>1.7918572169962294E-3</v>
      </c>
      <c r="Y40" s="511">
        <v>1.7994689143518644E-3</v>
      </c>
      <c r="Z40" s="511">
        <v>1.7823577865692533E-3</v>
      </c>
      <c r="AA40" s="511">
        <v>1.801061582400144E-3</v>
      </c>
      <c r="AB40" s="511">
        <v>1.8149178440407334E-3</v>
      </c>
      <c r="AC40" s="511">
        <v>1.8153757780613765E-3</v>
      </c>
      <c r="AD40" s="511">
        <v>1.8275255027133609E-3</v>
      </c>
      <c r="AE40" s="511">
        <v>1.8353151326061573E-3</v>
      </c>
      <c r="AF40" s="511">
        <v>1.8435630435607675E-3</v>
      </c>
      <c r="AG40" s="511">
        <v>1.8496015589505124E-3</v>
      </c>
      <c r="AH40" s="511">
        <v>1.8693078956102357E-3</v>
      </c>
      <c r="AI40" s="511">
        <v>1.8686119811866222E-3</v>
      </c>
      <c r="AJ40" s="511">
        <v>1.870934094724559E-3</v>
      </c>
      <c r="AK40" s="511">
        <v>1.8761698600668021E-3</v>
      </c>
      <c r="AL40" s="511">
        <v>1.8924452991006106E-3</v>
      </c>
      <c r="AM40" s="511">
        <v>1.8946223886106932E-3</v>
      </c>
      <c r="AN40" s="511">
        <v>1.9009712369419747E-3</v>
      </c>
      <c r="AO40" s="511">
        <v>1.8969602006276673E-3</v>
      </c>
      <c r="AP40" s="511">
        <v>1.8963287053697171E-3</v>
      </c>
      <c r="AQ40" s="511">
        <v>1.8965459570879537E-3</v>
      </c>
      <c r="AR40" s="511">
        <v>1.9041351564719963E-3</v>
      </c>
      <c r="AS40" s="511">
        <v>1.9175676492871772E-3</v>
      </c>
      <c r="AT40" s="511">
        <v>1.9188907140055011E-3</v>
      </c>
      <c r="AU40" s="60">
        <v>1.9115859423673935E-3</v>
      </c>
    </row>
    <row r="41" spans="1:47">
      <c r="A41" s="57" t="s">
        <v>66</v>
      </c>
      <c r="B41" s="537">
        <v>1.5117250181316221E-4</v>
      </c>
      <c r="C41" s="537">
        <v>3.3037776342387145E-4</v>
      </c>
      <c r="D41" s="537">
        <v>4.8742678527615536E-4</v>
      </c>
      <c r="E41" s="537">
        <v>6.5784096757521247E-3</v>
      </c>
      <c r="F41" s="537">
        <v>4.1496094140132276E-3</v>
      </c>
      <c r="G41" s="537">
        <v>2.2961283206401749E-2</v>
      </c>
      <c r="H41" s="537">
        <v>1.2303822477270977E-2</v>
      </c>
      <c r="I41" s="537">
        <v>1.9445217497718964E-2</v>
      </c>
      <c r="J41" s="537">
        <v>1.9260024950121642E-2</v>
      </c>
      <c r="K41" s="538">
        <v>1.993060716497155E-2</v>
      </c>
      <c r="L41" s="538">
        <v>2.2542748048831798E-2</v>
      </c>
      <c r="M41" s="512">
        <v>1.6021667371164956E-2</v>
      </c>
      <c r="N41" s="511">
        <v>1.5846990168191261E-2</v>
      </c>
      <c r="O41" s="511">
        <v>1.5784325978584965E-2</v>
      </c>
      <c r="P41" s="511">
        <v>1.6598719308774202E-2</v>
      </c>
      <c r="Q41" s="511">
        <v>1.6664429776628509E-2</v>
      </c>
      <c r="R41" s="511">
        <v>1.6730577331595949E-2</v>
      </c>
      <c r="S41" s="511">
        <v>1.6803403385477683E-2</v>
      </c>
      <c r="T41" s="511">
        <v>1.6873169225966198E-2</v>
      </c>
      <c r="U41" s="511">
        <v>1.6795882607752961E-2</v>
      </c>
      <c r="V41" s="511">
        <v>1.7021486125873009E-2</v>
      </c>
      <c r="W41" s="511">
        <v>1.695205730516075E-2</v>
      </c>
      <c r="X41" s="511">
        <v>1.7024405319755659E-2</v>
      </c>
      <c r="Y41" s="511">
        <v>1.7193135986164357E-2</v>
      </c>
      <c r="Z41" s="511">
        <v>1.7260884196344136E-2</v>
      </c>
      <c r="AA41" s="511">
        <v>1.7342071535367119E-2</v>
      </c>
      <c r="AB41" s="511">
        <v>1.7305820781493154E-2</v>
      </c>
      <c r="AC41" s="511">
        <v>1.7396469807169281E-2</v>
      </c>
      <c r="AD41" s="511">
        <v>1.7386673533034105E-2</v>
      </c>
      <c r="AE41" s="511">
        <v>1.7465542262731122E-2</v>
      </c>
      <c r="AF41" s="511">
        <v>1.7537213501070043E-2</v>
      </c>
      <c r="AG41" s="511">
        <v>1.7576631229017127E-2</v>
      </c>
      <c r="AH41" s="511">
        <v>1.7615031012865993E-2</v>
      </c>
      <c r="AI41" s="511">
        <v>1.7654156681392134E-2</v>
      </c>
      <c r="AJ41" s="511">
        <v>1.7693417246214416E-2</v>
      </c>
      <c r="AK41" s="511">
        <v>1.7617627130591864E-2</v>
      </c>
      <c r="AL41" s="511">
        <v>1.7740453923715059E-2</v>
      </c>
      <c r="AM41" s="511">
        <v>1.7746860662023037E-2</v>
      </c>
      <c r="AN41" s="511">
        <v>1.7551412290763003E-2</v>
      </c>
      <c r="AO41" s="511">
        <v>1.7576140399764309E-2</v>
      </c>
      <c r="AP41" s="511">
        <v>1.755462802158396E-2</v>
      </c>
      <c r="AQ41" s="511">
        <v>1.7443784448885048E-2</v>
      </c>
      <c r="AR41" s="511">
        <v>1.7401805684985564E-2</v>
      </c>
      <c r="AS41" s="511">
        <v>1.7407477897445775E-2</v>
      </c>
      <c r="AT41" s="511">
        <v>1.7408084249699918E-2</v>
      </c>
      <c r="AU41" s="60">
        <v>1.7361405696679148E-2</v>
      </c>
    </row>
    <row r="42" spans="1:47">
      <c r="A42" s="57" t="s">
        <v>67</v>
      </c>
      <c r="B42" s="537">
        <v>5.3688384227431947E-2</v>
      </c>
      <c r="C42" s="537">
        <v>5.4582850634487125E-2</v>
      </c>
      <c r="D42" s="537">
        <v>5.6102381328335907E-2</v>
      </c>
      <c r="E42" s="537">
        <v>5.0265855226827437E-2</v>
      </c>
      <c r="F42" s="537">
        <v>5.0253884754425514E-2</v>
      </c>
      <c r="G42" s="537">
        <v>5.3367128384495741E-2</v>
      </c>
      <c r="H42" s="537">
        <v>5.7006151994681342E-2</v>
      </c>
      <c r="I42" s="537">
        <v>5.7550348086184304E-2</v>
      </c>
      <c r="J42" s="537">
        <v>5.8931556440252726E-2</v>
      </c>
      <c r="K42" s="538">
        <v>6.2370304839098417E-2</v>
      </c>
      <c r="L42" s="538">
        <v>5.8454579155314428E-2</v>
      </c>
      <c r="M42" s="512"/>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60"/>
    </row>
    <row r="43" spans="1:47">
      <c r="A43" s="57" t="s">
        <v>27</v>
      </c>
      <c r="B43" s="537">
        <v>7.5499011523687584E-2</v>
      </c>
      <c r="C43" s="537">
        <v>7.5163093469910375E-2</v>
      </c>
      <c r="D43" s="537">
        <v>7.085822620571916E-2</v>
      </c>
      <c r="E43" s="537">
        <v>7.2103067861715761E-2</v>
      </c>
      <c r="F43" s="537">
        <v>7.979690994451559E-2</v>
      </c>
      <c r="G43" s="404">
        <v>9.0935771233461374E-2</v>
      </c>
      <c r="H43" s="537">
        <v>9.5374432778489129E-2</v>
      </c>
      <c r="I43" s="537">
        <v>9.4166125480153656E-2</v>
      </c>
      <c r="J43" s="537">
        <v>9.4166125480153656E-2</v>
      </c>
      <c r="K43" s="538">
        <v>9.2990613743064443E-2</v>
      </c>
      <c r="L43" s="538">
        <v>9.3353380281690171E-2</v>
      </c>
      <c r="M43" s="512">
        <v>9.7945154075970986E-2</v>
      </c>
      <c r="N43" s="60">
        <v>0.09</v>
      </c>
      <c r="O43" s="57">
        <v>8.5000000000000006E-2</v>
      </c>
      <c r="P43" s="60">
        <v>0.08</v>
      </c>
      <c r="Q43" s="57">
        <v>7.5999999999999998E-2</v>
      </c>
      <c r="R43" s="511">
        <v>7.7667531049300867E-2</v>
      </c>
      <c r="S43" s="511">
        <v>7.8198788753099435E-2</v>
      </c>
      <c r="T43" s="511">
        <v>7.8785154950282557E-2</v>
      </c>
      <c r="U43" s="511">
        <v>7.9442426141063602E-2</v>
      </c>
      <c r="V43" s="511">
        <v>8.0167909367696105E-2</v>
      </c>
      <c r="W43" s="511">
        <v>8.0897593021131892E-2</v>
      </c>
      <c r="X43" s="511">
        <v>8.1679270870043535E-2</v>
      </c>
      <c r="Y43" s="511">
        <v>8.2424902624204877E-2</v>
      </c>
      <c r="Z43" s="511">
        <v>8.3391899465860869E-2</v>
      </c>
      <c r="AA43" s="511">
        <v>8.4586700660909953E-2</v>
      </c>
      <c r="AB43" s="511">
        <v>8.4860235445374313E-2</v>
      </c>
      <c r="AC43" s="511">
        <v>8.6125154608839974E-2</v>
      </c>
      <c r="AD43" s="511">
        <v>8.7401336939185684E-2</v>
      </c>
      <c r="AE43" s="511">
        <v>8.8691843127832709E-2</v>
      </c>
      <c r="AF43" s="511">
        <v>9.0064827165391381E-2</v>
      </c>
      <c r="AG43" s="511">
        <v>9.132144104503255E-2</v>
      </c>
      <c r="AH43" s="511">
        <v>9.2619028240935181E-2</v>
      </c>
      <c r="AI43" s="511">
        <v>9.3916615436837797E-2</v>
      </c>
      <c r="AJ43" s="511">
        <v>9.5214202632740816E-2</v>
      </c>
      <c r="AK43" s="511">
        <v>9.6511789828643446E-2</v>
      </c>
      <c r="AL43" s="511">
        <v>9.7809377024546063E-2</v>
      </c>
      <c r="AM43" s="511">
        <v>9.9106964220448693E-2</v>
      </c>
      <c r="AN43" s="511">
        <v>0.10040455141635132</v>
      </c>
      <c r="AO43" s="511">
        <v>0.10170213861225394</v>
      </c>
      <c r="AP43" s="511">
        <v>0.10299972580815696</v>
      </c>
      <c r="AQ43" s="511">
        <v>0.10429731300405959</v>
      </c>
      <c r="AR43" s="511">
        <v>0.10559490019996221</v>
      </c>
      <c r="AS43" s="511">
        <v>0.10689248739586484</v>
      </c>
      <c r="AT43" s="511">
        <v>0.10819007459176747</v>
      </c>
      <c r="AU43" s="60">
        <v>0.10948766178767008</v>
      </c>
    </row>
    <row r="44" spans="1:47" ht="20.100000000000001" customHeight="1">
      <c r="A44" s="556" t="s">
        <v>1398</v>
      </c>
      <c r="B44" s="558">
        <f>SUM(B26:B31,B35,B40,B41)</f>
        <v>0.2163093952769978</v>
      </c>
      <c r="C44" s="558">
        <f t="shared" ref="C44:AU44" si="2">SUM(C26:C31,C35,C40,C41)</f>
        <v>0.21486971916080042</v>
      </c>
      <c r="D44" s="558">
        <f t="shared" si="2"/>
        <v>0.19539775189322423</v>
      </c>
      <c r="E44" s="558">
        <f t="shared" si="2"/>
        <v>0.19215277594226166</v>
      </c>
      <c r="F44" s="558">
        <f t="shared" si="2"/>
        <v>0.17207772216764794</v>
      </c>
      <c r="G44" s="558">
        <f t="shared" si="2"/>
        <v>0.19247189533967704</v>
      </c>
      <c r="H44" s="558">
        <f t="shared" si="2"/>
        <v>0.18082225296944976</v>
      </c>
      <c r="I44" s="558">
        <f t="shared" si="2"/>
        <v>0.18838168651028231</v>
      </c>
      <c r="J44" s="558">
        <f t="shared" si="2"/>
        <v>0.20112165778926461</v>
      </c>
      <c r="K44" s="558">
        <f t="shared" si="2"/>
        <v>0.19955697237193815</v>
      </c>
      <c r="L44" s="558">
        <f t="shared" si="2"/>
        <v>0.1953772342408675</v>
      </c>
      <c r="M44" s="581">
        <f t="shared" si="2"/>
        <v>0.20858378928670873</v>
      </c>
      <c r="N44" s="558">
        <f t="shared" si="2"/>
        <v>0.21107874909794036</v>
      </c>
      <c r="O44" s="558">
        <f t="shared" si="2"/>
        <v>0.21955284484625509</v>
      </c>
      <c r="P44" s="558">
        <f t="shared" si="2"/>
        <v>0.22562869245446909</v>
      </c>
      <c r="Q44" s="558">
        <f t="shared" si="2"/>
        <v>0.22746326875423434</v>
      </c>
      <c r="R44" s="558">
        <f t="shared" si="2"/>
        <v>0.22836442435321294</v>
      </c>
      <c r="S44" s="558">
        <f t="shared" si="2"/>
        <v>0.23063914471524963</v>
      </c>
      <c r="T44" s="558">
        <f t="shared" si="2"/>
        <v>0.23288752011196467</v>
      </c>
      <c r="U44" s="558">
        <f t="shared" si="2"/>
        <v>0.234169585407563</v>
      </c>
      <c r="V44" s="558">
        <f t="shared" si="2"/>
        <v>0.23555513860755589</v>
      </c>
      <c r="W44" s="558">
        <f t="shared" si="2"/>
        <v>0.23601197539970087</v>
      </c>
      <c r="X44" s="558">
        <f t="shared" si="2"/>
        <v>0.23831998509252089</v>
      </c>
      <c r="Y44" s="558">
        <f t="shared" si="2"/>
        <v>0.24058990713559969</v>
      </c>
      <c r="Z44" s="558">
        <f t="shared" si="2"/>
        <v>0.24252070986172625</v>
      </c>
      <c r="AA44" s="558">
        <f t="shared" si="2"/>
        <v>0.24437827163248566</v>
      </c>
      <c r="AB44" s="558">
        <f t="shared" si="2"/>
        <v>0.24734119452638059</v>
      </c>
      <c r="AC44" s="558">
        <f t="shared" si="2"/>
        <v>0.24917429191720611</v>
      </c>
      <c r="AD44" s="558">
        <f t="shared" si="2"/>
        <v>0.25116281933114887</v>
      </c>
      <c r="AE44" s="558">
        <f t="shared" si="2"/>
        <v>0.2534840623420106</v>
      </c>
      <c r="AF44" s="558">
        <f t="shared" si="2"/>
        <v>0.256118561321103</v>
      </c>
      <c r="AG44" s="558">
        <f t="shared" si="2"/>
        <v>0.2580644423331232</v>
      </c>
      <c r="AH44" s="558">
        <f t="shared" si="2"/>
        <v>0.26047855140995863</v>
      </c>
      <c r="AI44" s="558">
        <f t="shared" si="2"/>
        <v>0.263317846672878</v>
      </c>
      <c r="AJ44" s="558">
        <f t="shared" si="2"/>
        <v>0.26565371110385594</v>
      </c>
      <c r="AK44" s="558">
        <f t="shared" si="2"/>
        <v>0.26806143742505906</v>
      </c>
      <c r="AL44" s="558">
        <f t="shared" si="2"/>
        <v>0.27106500548806683</v>
      </c>
      <c r="AM44" s="558">
        <f t="shared" si="2"/>
        <v>0.27287237548504018</v>
      </c>
      <c r="AN44" s="558">
        <f t="shared" si="2"/>
        <v>0.27483228590221248</v>
      </c>
      <c r="AO44" s="558">
        <f t="shared" si="2"/>
        <v>0.2765485401155533</v>
      </c>
      <c r="AP44" s="558">
        <f t="shared" si="2"/>
        <v>0.27866709660524497</v>
      </c>
      <c r="AQ44" s="558">
        <f t="shared" si="2"/>
        <v>0.28054044651629101</v>
      </c>
      <c r="AR44" s="558">
        <f t="shared" si="2"/>
        <v>0.28280882787839917</v>
      </c>
      <c r="AS44" s="558">
        <f t="shared" si="2"/>
        <v>0.28530515752132718</v>
      </c>
      <c r="AT44" s="558">
        <f t="shared" si="2"/>
        <v>0.28748512648768859</v>
      </c>
      <c r="AU44" s="558">
        <f t="shared" si="2"/>
        <v>0.28991157099831938</v>
      </c>
    </row>
    <row r="45" spans="1:47">
      <c r="A45" s="57" t="s">
        <v>81</v>
      </c>
      <c r="B45" s="516">
        <f>B5</f>
        <v>2005</v>
      </c>
      <c r="C45" s="516">
        <f t="shared" ref="C45:J45" si="3">C5</f>
        <v>2006</v>
      </c>
      <c r="D45" s="516">
        <f t="shared" si="3"/>
        <v>2007</v>
      </c>
      <c r="E45" s="516">
        <f t="shared" si="3"/>
        <v>2008</v>
      </c>
      <c r="F45" s="516">
        <f t="shared" si="3"/>
        <v>2009</v>
      </c>
      <c r="G45" s="516">
        <f t="shared" si="3"/>
        <v>2010</v>
      </c>
      <c r="H45" s="516">
        <f t="shared" si="3"/>
        <v>2011</v>
      </c>
      <c r="I45" s="516">
        <f t="shared" si="3"/>
        <v>2012</v>
      </c>
      <c r="J45" s="517">
        <f t="shared" si="3"/>
        <v>2013</v>
      </c>
      <c r="K45" s="516">
        <f>K5</f>
        <v>2014</v>
      </c>
      <c r="L45" s="516">
        <f>L5</f>
        <v>2015</v>
      </c>
      <c r="M45" s="518">
        <f>M5</f>
        <v>2016</v>
      </c>
      <c r="N45" s="516">
        <f t="shared" ref="N45:AT45" si="4">N5</f>
        <v>2017</v>
      </c>
      <c r="O45" s="516">
        <f t="shared" si="4"/>
        <v>2018</v>
      </c>
      <c r="P45" s="516">
        <f t="shared" si="4"/>
        <v>2019</v>
      </c>
      <c r="Q45" s="516">
        <f t="shared" si="4"/>
        <v>2020</v>
      </c>
      <c r="R45" s="516">
        <f t="shared" si="4"/>
        <v>2021</v>
      </c>
      <c r="S45" s="516">
        <f t="shared" si="4"/>
        <v>2022</v>
      </c>
      <c r="T45" s="516">
        <f t="shared" si="4"/>
        <v>2023</v>
      </c>
      <c r="U45" s="516">
        <f t="shared" si="4"/>
        <v>2024</v>
      </c>
      <c r="V45" s="516">
        <f t="shared" si="4"/>
        <v>2025</v>
      </c>
      <c r="W45" s="516">
        <f t="shared" si="4"/>
        <v>2026</v>
      </c>
      <c r="X45" s="516">
        <f t="shared" si="4"/>
        <v>2027</v>
      </c>
      <c r="Y45" s="516">
        <f t="shared" si="4"/>
        <v>2028</v>
      </c>
      <c r="Z45" s="516">
        <f t="shared" si="4"/>
        <v>2029</v>
      </c>
      <c r="AA45" s="516">
        <f t="shared" si="4"/>
        <v>2030</v>
      </c>
      <c r="AB45" s="516">
        <f t="shared" si="4"/>
        <v>2031</v>
      </c>
      <c r="AC45" s="516">
        <f t="shared" si="4"/>
        <v>2032</v>
      </c>
      <c r="AD45" s="516">
        <f t="shared" si="4"/>
        <v>2033</v>
      </c>
      <c r="AE45" s="516">
        <f t="shared" si="4"/>
        <v>2034</v>
      </c>
      <c r="AF45" s="516">
        <f t="shared" si="4"/>
        <v>2035</v>
      </c>
      <c r="AG45" s="516">
        <f t="shared" si="4"/>
        <v>2036</v>
      </c>
      <c r="AH45" s="516">
        <f t="shared" si="4"/>
        <v>2037</v>
      </c>
      <c r="AI45" s="516">
        <f t="shared" si="4"/>
        <v>2038</v>
      </c>
      <c r="AJ45" s="516">
        <f t="shared" si="4"/>
        <v>2039</v>
      </c>
      <c r="AK45" s="516">
        <f t="shared" si="4"/>
        <v>2040</v>
      </c>
      <c r="AL45" s="516">
        <f t="shared" si="4"/>
        <v>2041</v>
      </c>
      <c r="AM45" s="516">
        <f t="shared" si="4"/>
        <v>2042</v>
      </c>
      <c r="AN45" s="516">
        <f t="shared" si="4"/>
        <v>2043</v>
      </c>
      <c r="AO45" s="516">
        <f t="shared" si="4"/>
        <v>2044</v>
      </c>
      <c r="AP45" s="516">
        <f t="shared" si="4"/>
        <v>2045</v>
      </c>
      <c r="AQ45" s="516">
        <f t="shared" si="4"/>
        <v>2046</v>
      </c>
      <c r="AR45" s="516">
        <f t="shared" si="4"/>
        <v>2047</v>
      </c>
      <c r="AS45" s="516">
        <f t="shared" si="4"/>
        <v>2048</v>
      </c>
      <c r="AT45" s="516">
        <f t="shared" si="4"/>
        <v>2049</v>
      </c>
      <c r="AU45" s="516">
        <f>AU5</f>
        <v>2050</v>
      </c>
    </row>
    <row r="46" spans="1:47">
      <c r="A46" s="57" t="s">
        <v>24</v>
      </c>
      <c r="B46" s="537">
        <v>4.2423761954981981E-4</v>
      </c>
      <c r="C46" s="537">
        <v>6.351856816031574E-4</v>
      </c>
      <c r="D46" s="537">
        <v>1.212686392762524E-3</v>
      </c>
      <c r="E46" s="537">
        <v>8.6348350479425789E-4</v>
      </c>
      <c r="F46" s="537">
        <v>1.6922451315234894E-3</v>
      </c>
      <c r="G46" s="537">
        <v>1.4259779294476865E-3</v>
      </c>
      <c r="H46" s="537">
        <v>1.7364907247149229E-3</v>
      </c>
      <c r="I46" s="537">
        <v>1.5872858544012094E-3</v>
      </c>
      <c r="J46" s="537">
        <v>1.3888751226010583E-3</v>
      </c>
      <c r="K46" s="538">
        <v>3.1130643819443719E-4</v>
      </c>
      <c r="L46" s="538">
        <v>3.3590936893765594E-4</v>
      </c>
      <c r="M46" s="512">
        <v>1.491881664744835E-4</v>
      </c>
      <c r="N46" s="511">
        <v>1.5697356446000264E-4</v>
      </c>
      <c r="O46" s="511">
        <v>1.6732329834186614E-4</v>
      </c>
      <c r="P46" s="511">
        <v>1.7558466947696451E-4</v>
      </c>
      <c r="Q46" s="511">
        <v>1.9297382064006825E-4</v>
      </c>
      <c r="R46" s="511">
        <v>1.977478770074279E-4</v>
      </c>
      <c r="S46" s="511">
        <v>1.9412527732358246E-4</v>
      </c>
      <c r="T46" s="511">
        <v>1.9217200362959652E-4</v>
      </c>
      <c r="U46" s="511">
        <v>1.9153865117420323E-4</v>
      </c>
      <c r="V46" s="511">
        <v>1.8989069564679628E-4</v>
      </c>
      <c r="W46" s="511">
        <v>1.9039661107947664E-4</v>
      </c>
      <c r="X46" s="511">
        <v>1.9419361141182238E-4</v>
      </c>
      <c r="Y46" s="511">
        <v>1.9875164580928297E-4</v>
      </c>
      <c r="Z46" s="511">
        <v>2.0266920468615425E-4</v>
      </c>
      <c r="AA46" s="511">
        <v>2.0636235341348226E-4</v>
      </c>
      <c r="AB46" s="511">
        <v>2.1016047187724616E-4</v>
      </c>
      <c r="AC46" s="511">
        <v>2.1309993899097762E-4</v>
      </c>
      <c r="AD46" s="511">
        <v>2.1578770551045393E-4</v>
      </c>
      <c r="AE46" s="511">
        <v>2.1917642516436646E-4</v>
      </c>
      <c r="AF46" s="511">
        <v>2.2214917593523385E-4</v>
      </c>
      <c r="AG46" s="511">
        <v>2.2535008144127311E-4</v>
      </c>
      <c r="AH46" s="511">
        <v>2.3114306675682214E-4</v>
      </c>
      <c r="AI46" s="511">
        <v>2.3436896097649422E-4</v>
      </c>
      <c r="AJ46" s="511">
        <v>2.393160218013722E-4</v>
      </c>
      <c r="AK46" s="511">
        <v>2.4503497023373882E-4</v>
      </c>
      <c r="AL46" s="511">
        <v>2.5129629425906538E-4</v>
      </c>
      <c r="AM46" s="511">
        <v>2.5669300139922086E-4</v>
      </c>
      <c r="AN46" s="511">
        <v>2.6191148331327041E-4</v>
      </c>
      <c r="AO46" s="511">
        <v>2.6779722695346309E-4</v>
      </c>
      <c r="AP46" s="511">
        <v>2.7390506881447811E-4</v>
      </c>
      <c r="AQ46" s="511">
        <v>2.7973626770706051E-4</v>
      </c>
      <c r="AR46" s="511">
        <v>2.8710941171643364E-4</v>
      </c>
      <c r="AS46" s="511">
        <v>2.942264585727358E-4</v>
      </c>
      <c r="AT46" s="511">
        <v>3.0106901841052766E-4</v>
      </c>
      <c r="AU46" s="511">
        <v>3.090802108020647E-4</v>
      </c>
    </row>
    <row r="47" spans="1:47">
      <c r="A47" s="57" t="s">
        <v>68</v>
      </c>
      <c r="B47" s="537">
        <v>3.23656049637422E-5</v>
      </c>
      <c r="C47" s="537">
        <v>2.7250798186578767E-5</v>
      </c>
      <c r="D47" s="537">
        <v>3.5721331171286214E-5</v>
      </c>
      <c r="E47" s="537">
        <v>5.688453492182183E-5</v>
      </c>
      <c r="F47" s="537">
        <v>4.9605471211446521E-5</v>
      </c>
      <c r="G47" s="537">
        <v>1.4719884392092283E-4</v>
      </c>
      <c r="H47" s="537">
        <v>3.531693874293204E-5</v>
      </c>
      <c r="I47" s="537">
        <v>1.3479747611806121E-4</v>
      </c>
      <c r="J47" s="537">
        <v>4.0439242835418361E-4</v>
      </c>
      <c r="K47" s="538">
        <v>6.4230997370256159E-4</v>
      </c>
      <c r="L47" s="538">
        <v>7.8088177915192861E-4</v>
      </c>
      <c r="M47" s="512">
        <v>1.670670376527204E-4</v>
      </c>
      <c r="N47" s="511">
        <v>2.0257023898642186E-4</v>
      </c>
      <c r="O47" s="511">
        <v>7.8349229760606197E-4</v>
      </c>
      <c r="P47" s="511">
        <v>1.0256073676866834E-3</v>
      </c>
      <c r="Q47" s="511">
        <v>1.2242324681677982E-3</v>
      </c>
      <c r="R47" s="511">
        <v>1.4546290611169765E-3</v>
      </c>
      <c r="S47" s="511">
        <v>1.8546619287057068E-3</v>
      </c>
      <c r="T47" s="511">
        <v>2.6626119450295859E-3</v>
      </c>
      <c r="U47" s="511">
        <v>3.4837360369380857E-3</v>
      </c>
      <c r="V47" s="511">
        <v>4.428421503900516E-3</v>
      </c>
      <c r="W47" s="511">
        <v>4.6500354563682941E-3</v>
      </c>
      <c r="X47" s="511">
        <v>5.1357465218078062E-3</v>
      </c>
      <c r="Y47" s="511">
        <v>5.3564731837323215E-3</v>
      </c>
      <c r="Z47" s="511">
        <v>5.513596180288829E-3</v>
      </c>
      <c r="AA47" s="511">
        <v>5.6830856137823548E-3</v>
      </c>
      <c r="AB47" s="511">
        <v>5.4376123997212063E-3</v>
      </c>
      <c r="AC47" s="511">
        <v>5.4336672447182627E-3</v>
      </c>
      <c r="AD47" s="511">
        <v>5.6842585913972309E-3</v>
      </c>
      <c r="AE47" s="511">
        <v>5.9511111575877539E-3</v>
      </c>
      <c r="AF47" s="511">
        <v>6.2071762281608253E-3</v>
      </c>
      <c r="AG47" s="511">
        <v>6.3287606430811614E-3</v>
      </c>
      <c r="AH47" s="511">
        <v>6.4464408018222088E-3</v>
      </c>
      <c r="AI47" s="511">
        <v>6.5111528347804098E-3</v>
      </c>
      <c r="AJ47" s="511">
        <v>6.4890546323443203E-3</v>
      </c>
      <c r="AK47" s="511">
        <v>6.3782610553968864E-3</v>
      </c>
      <c r="AL47" s="511">
        <v>6.2285399040221392E-3</v>
      </c>
      <c r="AM47" s="511">
        <v>6.0215271197621538E-3</v>
      </c>
      <c r="AN47" s="511">
        <v>5.8035965517633783E-3</v>
      </c>
      <c r="AO47" s="511">
        <v>5.405703464588324E-3</v>
      </c>
      <c r="AP47" s="511">
        <v>5.4686281020094353E-3</v>
      </c>
      <c r="AQ47" s="511">
        <v>5.4948930843589597E-3</v>
      </c>
      <c r="AR47" s="511">
        <v>5.3088518516286034E-3</v>
      </c>
      <c r="AS47" s="511">
        <v>4.5606553462471753E-3</v>
      </c>
      <c r="AT47" s="511">
        <v>3.7074097877407538E-3</v>
      </c>
      <c r="AU47" s="511">
        <v>3.5142253353816718E-3</v>
      </c>
    </row>
    <row r="48" spans="1:47">
      <c r="A48" s="485" t="s">
        <v>30</v>
      </c>
      <c r="B48" s="486">
        <v>0.3288840165780807</v>
      </c>
      <c r="C48" s="486">
        <v>0.33236966393812284</v>
      </c>
      <c r="D48" s="486">
        <v>0.33205525300390565</v>
      </c>
      <c r="E48" s="486">
        <v>0.31909734686139546</v>
      </c>
      <c r="F48" s="486">
        <v>0.31042139929978291</v>
      </c>
      <c r="G48" s="486">
        <v>0.30726998323761218</v>
      </c>
      <c r="H48" s="486">
        <v>0.29763627441844603</v>
      </c>
      <c r="I48" s="486">
        <v>0.28716494445773966</v>
      </c>
      <c r="J48" s="486">
        <v>0.28909530736618266</v>
      </c>
      <c r="K48" s="486">
        <v>0.30345336248962124</v>
      </c>
      <c r="L48" s="486">
        <v>0.30733013761578848</v>
      </c>
      <c r="M48" s="487">
        <v>0.33025304377186565</v>
      </c>
      <c r="N48" s="486">
        <v>0.33210312797970093</v>
      </c>
      <c r="O48" s="486">
        <v>0.33148804554469402</v>
      </c>
      <c r="P48" s="486">
        <v>0.33084071714157182</v>
      </c>
      <c r="Q48" s="486">
        <v>0.32705803852613996</v>
      </c>
      <c r="R48" s="486">
        <v>0.32054764726215557</v>
      </c>
      <c r="S48" s="486">
        <v>0.31345232049523525</v>
      </c>
      <c r="T48" s="486">
        <v>0.30536588615939342</v>
      </c>
      <c r="U48" s="486">
        <v>0.29671543996691097</v>
      </c>
      <c r="V48" s="486">
        <v>0.2880470096460595</v>
      </c>
      <c r="W48" s="486">
        <v>0.28127529462088269</v>
      </c>
      <c r="X48" s="486">
        <v>0.27532400237208698</v>
      </c>
      <c r="Y48" s="486">
        <v>0.27012294897461542</v>
      </c>
      <c r="Z48" s="486">
        <v>0.26541218614363138</v>
      </c>
      <c r="AA48" s="486">
        <v>0.26117564725956172</v>
      </c>
      <c r="AB48" s="486">
        <v>0.25750042603389822</v>
      </c>
      <c r="AC48" s="486">
        <v>0.25421851704435638</v>
      </c>
      <c r="AD48" s="486">
        <v>0.25117318822952694</v>
      </c>
      <c r="AE48" s="486">
        <v>0.24849568552467205</v>
      </c>
      <c r="AF48" s="486">
        <v>0.24614148161238666</v>
      </c>
      <c r="AG48" s="486">
        <v>0.24457742639612881</v>
      </c>
      <c r="AH48" s="486">
        <v>0.24311021135379024</v>
      </c>
      <c r="AI48" s="486">
        <v>0.24204660360315208</v>
      </c>
      <c r="AJ48" s="486">
        <v>0.24132278656998729</v>
      </c>
      <c r="AK48" s="486">
        <v>0.24106162411741122</v>
      </c>
      <c r="AL48" s="486">
        <v>0.24180138100954079</v>
      </c>
      <c r="AM48" s="486">
        <v>0.24205480806046417</v>
      </c>
      <c r="AN48" s="486">
        <v>0.24261161515501425</v>
      </c>
      <c r="AO48" s="486">
        <v>0.24354819869425359</v>
      </c>
      <c r="AP48" s="486">
        <v>0.24446129768721547</v>
      </c>
      <c r="AQ48" s="486">
        <v>0.24571993870424461</v>
      </c>
      <c r="AR48" s="486">
        <v>0.24735662272528566</v>
      </c>
      <c r="AS48" s="486">
        <v>0.24947081734145191</v>
      </c>
      <c r="AT48" s="486">
        <v>0.25185602295017018</v>
      </c>
      <c r="AU48" s="486">
        <v>0.25393091898781889</v>
      </c>
    </row>
    <row r="49" spans="1:47">
      <c r="A49" s="57" t="s">
        <v>39</v>
      </c>
      <c r="B49" s="538">
        <v>0.10127037937244192</v>
      </c>
      <c r="C49" s="538">
        <v>0.10402792971190883</v>
      </c>
      <c r="D49" s="538">
        <v>0.10277475906699299</v>
      </c>
      <c r="E49" s="538">
        <v>0.10831517199779481</v>
      </c>
      <c r="F49" s="538">
        <v>9.3546300530767693E-2</v>
      </c>
      <c r="G49" s="538">
        <v>0.10303396444940638</v>
      </c>
      <c r="H49" s="538">
        <v>0.10135397278806429</v>
      </c>
      <c r="I49" s="538">
        <v>9.7683433174249115E-2</v>
      </c>
      <c r="J49" s="538">
        <v>9.5466007570532585E-2</v>
      </c>
      <c r="K49" s="538">
        <v>9.4401059747695054E-2</v>
      </c>
      <c r="L49" s="538">
        <v>9.6108010636113891E-2</v>
      </c>
      <c r="M49" s="738">
        <v>9.2591951033572983E-2</v>
      </c>
      <c r="N49" s="719">
        <v>9.3923884179557104E-2</v>
      </c>
      <c r="O49" s="719">
        <v>9.6407081055749452E-2</v>
      </c>
      <c r="P49" s="719">
        <v>9.8601504981134652E-2</v>
      </c>
      <c r="Q49" s="719">
        <v>0.1002152809994887</v>
      </c>
      <c r="R49" s="719">
        <v>0.10205480771245974</v>
      </c>
      <c r="S49" s="719">
        <v>0.10381728888249281</v>
      </c>
      <c r="T49" s="719">
        <v>0.10533892302901665</v>
      </c>
      <c r="U49" s="719">
        <v>0.10709355334683636</v>
      </c>
      <c r="V49" s="719">
        <v>0.10891323338143244</v>
      </c>
      <c r="W49" s="719">
        <v>0.11079698895624089</v>
      </c>
      <c r="X49" s="719">
        <v>0.1128197084014574</v>
      </c>
      <c r="Y49" s="719">
        <v>0.11511926868254535</v>
      </c>
      <c r="Z49" s="719">
        <v>0.11742600769714995</v>
      </c>
      <c r="AA49" s="719">
        <v>0.11965730153988634</v>
      </c>
      <c r="AB49" s="719">
        <v>0.12186576405349303</v>
      </c>
      <c r="AC49" s="719">
        <v>0.12414882251238447</v>
      </c>
      <c r="AD49" s="719">
        <v>0.12635515681892287</v>
      </c>
      <c r="AE49" s="719">
        <v>0.1285724413546499</v>
      </c>
      <c r="AF49" s="719">
        <v>0.1308082994591574</v>
      </c>
      <c r="AG49" s="719">
        <v>0.13305522187963989</v>
      </c>
      <c r="AH49" s="719">
        <v>0.13520467022718069</v>
      </c>
      <c r="AI49" s="719">
        <v>0.13742597620566535</v>
      </c>
      <c r="AJ49" s="719">
        <v>0.13968324666861481</v>
      </c>
      <c r="AK49" s="719">
        <v>0.1419738392575865</v>
      </c>
      <c r="AL49" s="719">
        <v>0.14468682816020639</v>
      </c>
      <c r="AM49" s="719">
        <v>0.14695989331955311</v>
      </c>
      <c r="AN49" s="719">
        <v>0.14926923068286688</v>
      </c>
      <c r="AO49" s="719">
        <v>0.15161232960656898</v>
      </c>
      <c r="AP49" s="719">
        <v>0.15401059340840192</v>
      </c>
      <c r="AQ49" s="719">
        <v>0.15644515445079343</v>
      </c>
      <c r="AR49" s="719">
        <v>0.15889311464888919</v>
      </c>
      <c r="AS49" s="719">
        <v>0.1613530373825989</v>
      </c>
      <c r="AT49" s="719">
        <v>0.16379323378841806</v>
      </c>
      <c r="AU49" s="719">
        <v>0.16634125166551156</v>
      </c>
    </row>
    <row r="50" spans="1:47">
      <c r="A50" s="57" t="s">
        <v>40</v>
      </c>
      <c r="B50" s="395">
        <v>0.12187213456153871</v>
      </c>
      <c r="C50" s="395">
        <v>0.12577856082797045</v>
      </c>
      <c r="D50" s="395">
        <v>0.13503152459999998</v>
      </c>
      <c r="E50" s="395">
        <v>0.12729394327999999</v>
      </c>
      <c r="F50" s="395">
        <v>0.11741454759999999</v>
      </c>
      <c r="G50" s="395">
        <v>0.11879844339999998</v>
      </c>
      <c r="H50" s="395">
        <v>0.11856862079999998</v>
      </c>
      <c r="I50" s="395">
        <v>0.11309255999999999</v>
      </c>
      <c r="J50" s="395">
        <v>0.12665044</v>
      </c>
      <c r="K50" s="395">
        <v>0.12487419237999998</v>
      </c>
      <c r="L50" s="395">
        <v>0.12593633654</v>
      </c>
      <c r="M50" s="739">
        <v>0.12647417422911944</v>
      </c>
      <c r="N50" s="718">
        <v>0.1291737124310853</v>
      </c>
      <c r="O50" s="718">
        <v>0.12829634471855178</v>
      </c>
      <c r="P50" s="718">
        <v>0.12915090227764767</v>
      </c>
      <c r="Q50" s="718">
        <v>0.13028966914948548</v>
      </c>
      <c r="R50" s="718">
        <v>0.12728422853433002</v>
      </c>
      <c r="S50" s="718">
        <v>0.12761106225883642</v>
      </c>
      <c r="T50" s="718">
        <v>0.12768635075231899</v>
      </c>
      <c r="U50" s="718">
        <v>0.12757060022793756</v>
      </c>
      <c r="V50" s="718">
        <v>0.12724301410777894</v>
      </c>
      <c r="W50" s="718">
        <v>0.12704774033236987</v>
      </c>
      <c r="X50" s="718">
        <v>0.12658444900508395</v>
      </c>
      <c r="Y50" s="718">
        <v>0.12602529519094671</v>
      </c>
      <c r="Z50" s="718">
        <v>0.12546236692776408</v>
      </c>
      <c r="AA50" s="718">
        <v>0.12508936073549712</v>
      </c>
      <c r="AB50" s="718">
        <v>0.12472877188124602</v>
      </c>
      <c r="AC50" s="718">
        <v>0.12438267176129063</v>
      </c>
      <c r="AD50" s="718">
        <v>0.12411262250316557</v>
      </c>
      <c r="AE50" s="718">
        <v>0.12413204383269709</v>
      </c>
      <c r="AF50" s="718">
        <v>0.12440671364349694</v>
      </c>
      <c r="AG50" s="718">
        <v>0.12486603489745247</v>
      </c>
      <c r="AH50" s="718">
        <v>0.12529183158022492</v>
      </c>
      <c r="AI50" s="718">
        <v>0.12584992526853445</v>
      </c>
      <c r="AJ50" s="718">
        <v>0.1263670913922128</v>
      </c>
      <c r="AK50" s="718">
        <v>0.12690656712764764</v>
      </c>
      <c r="AL50" s="718">
        <v>0.12815373824930226</v>
      </c>
      <c r="AM50" s="718">
        <v>0.12891524048369579</v>
      </c>
      <c r="AN50" s="718">
        <v>0.12973930445653442</v>
      </c>
      <c r="AO50" s="718">
        <v>0.13063311687777723</v>
      </c>
      <c r="AP50" s="718">
        <v>0.1313829907996629</v>
      </c>
      <c r="AQ50" s="718">
        <v>0.13214521520993952</v>
      </c>
      <c r="AR50" s="718">
        <v>0.13303416224688727</v>
      </c>
      <c r="AS50" s="718">
        <v>0.13385900852658386</v>
      </c>
      <c r="AT50" s="718">
        <v>0.13462612175591607</v>
      </c>
      <c r="AU50" s="718">
        <v>0.13549643176349285</v>
      </c>
    </row>
    <row r="51" spans="1:47" s="425" customFormat="1">
      <c r="A51" s="425" t="s">
        <v>31</v>
      </c>
      <c r="B51" s="404">
        <v>4.7050949345592286E-2</v>
      </c>
      <c r="C51" s="404">
        <v>4.7278247000739647E-2</v>
      </c>
      <c r="D51" s="404">
        <v>6.3369836323745182E-2</v>
      </c>
      <c r="E51" s="404">
        <v>5.9616316745857635E-2</v>
      </c>
      <c r="F51" s="404">
        <v>5.3657109687319141E-2</v>
      </c>
      <c r="G51" s="404">
        <v>5.0014837198659373E-2</v>
      </c>
      <c r="H51" s="404">
        <v>4.425637408638769E-2</v>
      </c>
      <c r="I51" s="404">
        <v>4.2787342010687422E-2</v>
      </c>
      <c r="J51" s="404">
        <v>3.6190960117373112E-2</v>
      </c>
      <c r="K51" s="594">
        <v>2.8244637583621612E-2</v>
      </c>
      <c r="L51" s="594">
        <v>2.3722906936050506E-2</v>
      </c>
      <c r="M51" s="738">
        <v>5.6361689951724608E-2</v>
      </c>
      <c r="N51" s="719">
        <v>5.6926909025486298E-2</v>
      </c>
      <c r="O51" s="719">
        <v>5.6538735540234572E-2</v>
      </c>
      <c r="P51" s="719">
        <v>5.5431963453969044E-2</v>
      </c>
      <c r="Q51" s="719">
        <v>4.0565602008360228E-2</v>
      </c>
      <c r="R51" s="719">
        <v>5.9344564257219498E-2</v>
      </c>
      <c r="S51" s="719">
        <v>5.4948692496144466E-2</v>
      </c>
      <c r="T51" s="719">
        <v>5.3997522135673146E-2</v>
      </c>
      <c r="U51" s="719">
        <v>5.6971768012058797E-2</v>
      </c>
      <c r="V51" s="719">
        <v>5.7810926767138358E-2</v>
      </c>
      <c r="W51" s="719">
        <v>5.5952998970460674E-2</v>
      </c>
      <c r="X51" s="719">
        <v>5.6245378665438286E-2</v>
      </c>
      <c r="Y51" s="719">
        <v>5.629111185238142E-2</v>
      </c>
      <c r="Z51" s="719">
        <v>5.6251134734818117E-2</v>
      </c>
      <c r="AA51" s="719">
        <v>5.6167191669178974E-2</v>
      </c>
      <c r="AB51" s="719">
        <v>5.5964486806369937E-2</v>
      </c>
      <c r="AC51" s="719">
        <v>5.5690718890435621E-2</v>
      </c>
      <c r="AD51" s="719">
        <v>5.539895810390074E-2</v>
      </c>
      <c r="AE51" s="719">
        <v>5.5054090799546228E-2</v>
      </c>
      <c r="AF51" s="719">
        <v>5.4695104354693075E-2</v>
      </c>
      <c r="AG51" s="719">
        <v>5.4600170766989461E-2</v>
      </c>
      <c r="AH51" s="719">
        <v>5.3347164125971451E-2</v>
      </c>
      <c r="AI51" s="719">
        <v>5.292627088638386E-2</v>
      </c>
      <c r="AJ51" s="719">
        <v>5.2277746469349358E-2</v>
      </c>
      <c r="AK51" s="719">
        <v>5.1603856439153252E-2</v>
      </c>
      <c r="AL51" s="719">
        <v>5.0983344768565753E-2</v>
      </c>
      <c r="AM51" s="719">
        <v>5.0720875274738543E-2</v>
      </c>
      <c r="AN51" s="719">
        <v>5.0455758209802262E-2</v>
      </c>
      <c r="AO51" s="719">
        <v>5.0410817820271743E-2</v>
      </c>
      <c r="AP51" s="719">
        <v>5.0437999169006487E-2</v>
      </c>
      <c r="AQ51" s="719">
        <v>5.0845680718111907E-2</v>
      </c>
      <c r="AR51" s="719">
        <v>5.0756826640743324E-2</v>
      </c>
      <c r="AS51" s="719">
        <v>5.022370754812653E-2</v>
      </c>
      <c r="AT51" s="719">
        <v>5.0116272398013056E-2</v>
      </c>
      <c r="AU51" s="719">
        <v>4.9618552695959002E-2</v>
      </c>
    </row>
    <row r="52" spans="1:47">
      <c r="A52" s="57" t="s">
        <v>69</v>
      </c>
      <c r="B52" s="537">
        <v>5.4660960326839078E-3</v>
      </c>
      <c r="C52" s="537">
        <v>5.3572287190000178E-3</v>
      </c>
      <c r="D52" s="537">
        <v>5.4529945640031897E-3</v>
      </c>
      <c r="E52" s="537">
        <v>5.3444717311111585E-3</v>
      </c>
      <c r="F52" s="537">
        <v>4.7609300136319923E-3</v>
      </c>
      <c r="G52" s="537">
        <v>5.2840989605944305E-3</v>
      </c>
      <c r="H52" s="537">
        <v>5.0794611954993888E-3</v>
      </c>
      <c r="I52" s="537">
        <v>4.6298136899330872E-3</v>
      </c>
      <c r="J52" s="537">
        <v>4.6298136899330872E-3</v>
      </c>
      <c r="K52" s="538">
        <v>4.7251878519457089E-3</v>
      </c>
      <c r="L52" s="538">
        <v>4.7577817403228369E-3</v>
      </c>
      <c r="M52" s="512">
        <v>3.5240396970298319E-3</v>
      </c>
      <c r="N52" s="511">
        <v>3.5438157725992147E-3</v>
      </c>
      <c r="O52" s="511">
        <v>3.5543983351104791E-3</v>
      </c>
      <c r="P52" s="511">
        <v>3.566748094986335E-3</v>
      </c>
      <c r="Q52" s="511">
        <v>3.5823927282644394E-3</v>
      </c>
      <c r="R52" s="511">
        <v>3.5872017302463182E-3</v>
      </c>
      <c r="S52" s="511">
        <v>3.591591837125702E-3</v>
      </c>
      <c r="T52" s="511">
        <v>3.5983861411953348E-3</v>
      </c>
      <c r="U52" s="511">
        <v>3.6104747171313688E-3</v>
      </c>
      <c r="V52" s="511">
        <v>3.6235404416828714E-3</v>
      </c>
      <c r="W52" s="511">
        <v>3.6377031120788813E-3</v>
      </c>
      <c r="X52" s="511">
        <v>3.6523619365472293E-3</v>
      </c>
      <c r="Y52" s="511">
        <v>3.6680907174766399E-3</v>
      </c>
      <c r="Z52" s="511">
        <v>3.6829547944741909E-3</v>
      </c>
      <c r="AA52" s="511">
        <v>3.6984451297202305E-3</v>
      </c>
      <c r="AB52" s="511">
        <v>3.7125014139280993E-3</v>
      </c>
      <c r="AC52" s="511">
        <v>3.7252509909949023E-3</v>
      </c>
      <c r="AD52" s="511">
        <v>3.7360909638991372E-3</v>
      </c>
      <c r="AE52" s="511">
        <v>3.747075525172984E-3</v>
      </c>
      <c r="AF52" s="511">
        <v>3.7592579278710827E-3</v>
      </c>
      <c r="AG52" s="511">
        <v>3.772941377247963E-3</v>
      </c>
      <c r="AH52" s="511">
        <v>3.7870078829111272E-3</v>
      </c>
      <c r="AI52" s="511">
        <v>3.8032314347736219E-3</v>
      </c>
      <c r="AJ52" s="511">
        <v>3.8214774861605972E-3</v>
      </c>
      <c r="AK52" s="511">
        <v>3.8407442828911498E-3</v>
      </c>
      <c r="AL52" s="511">
        <v>3.8733968021766427E-3</v>
      </c>
      <c r="AM52" s="511">
        <v>3.8931320160487943E-3</v>
      </c>
      <c r="AN52" s="511">
        <v>3.9141989183181939E-3</v>
      </c>
      <c r="AO52" s="511">
        <v>3.9367491548961972E-3</v>
      </c>
      <c r="AP52" s="511">
        <v>3.9611517774798786E-3</v>
      </c>
      <c r="AQ52" s="511">
        <v>3.9863825246883745E-3</v>
      </c>
      <c r="AR52" s="511">
        <v>4.0116742291930012E-3</v>
      </c>
      <c r="AS52" s="511">
        <v>4.0350451007811813E-3</v>
      </c>
      <c r="AT52" s="511">
        <v>4.059365245149881E-3</v>
      </c>
      <c r="AU52" s="511">
        <v>4.0847371739857257E-3</v>
      </c>
    </row>
    <row r="53" spans="1:47">
      <c r="A53" s="57" t="s">
        <v>70</v>
      </c>
      <c r="B53" s="537">
        <v>8.6381205803119539E-3</v>
      </c>
      <c r="C53" s="537">
        <v>8.4491107344529335E-3</v>
      </c>
      <c r="D53" s="537">
        <v>8.3943832865140591E-3</v>
      </c>
      <c r="E53" s="537">
        <v>8.4112704645730174E-3</v>
      </c>
      <c r="F53" s="537">
        <v>7.0786391891273217E-3</v>
      </c>
      <c r="G53" s="537">
        <v>8.0444110791542765E-3</v>
      </c>
      <c r="H53" s="537">
        <v>7.4620945943626241E-3</v>
      </c>
      <c r="I53" s="537">
        <v>9.025905514270606E-3</v>
      </c>
      <c r="J53" s="537">
        <v>1.0481696726249734E-2</v>
      </c>
      <c r="K53" s="538">
        <v>7.6542590343438698E-3</v>
      </c>
      <c r="L53" s="538">
        <v>1.0491304948248799E-2</v>
      </c>
      <c r="M53" s="512">
        <v>9.5635689109968107E-3</v>
      </c>
      <c r="N53" s="511">
        <v>8.6732216644605006E-3</v>
      </c>
      <c r="O53" s="511">
        <v>9.1173418278275055E-3</v>
      </c>
      <c r="P53" s="511">
        <v>9.3710883476949489E-3</v>
      </c>
      <c r="Q53" s="511">
        <v>9.4283929014485086E-3</v>
      </c>
      <c r="R53" s="511">
        <v>9.4041011827094446E-3</v>
      </c>
      <c r="S53" s="511">
        <v>9.5106704865247031E-3</v>
      </c>
      <c r="T53" s="511">
        <v>9.6156125672047614E-3</v>
      </c>
      <c r="U53" s="511">
        <v>9.7112638858900101E-3</v>
      </c>
      <c r="V53" s="511">
        <v>9.7892044303754845E-3</v>
      </c>
      <c r="W53" s="511">
        <v>9.770536810050176E-3</v>
      </c>
      <c r="X53" s="511">
        <v>9.8381728569374646E-3</v>
      </c>
      <c r="Y53" s="511">
        <v>9.8999873514067551E-3</v>
      </c>
      <c r="Z53" s="511">
        <v>9.945425390115387E-3</v>
      </c>
      <c r="AA53" s="511">
        <v>9.9456254067786642E-3</v>
      </c>
      <c r="AB53" s="511">
        <v>9.9755516886462624E-3</v>
      </c>
      <c r="AC53" s="511">
        <v>1.0023654712598723E-2</v>
      </c>
      <c r="AD53" s="511">
        <v>1.0041174008383795E-2</v>
      </c>
      <c r="AE53" s="511">
        <v>1.0088542027877387E-2</v>
      </c>
      <c r="AF53" s="511">
        <v>1.0138345213746404E-2</v>
      </c>
      <c r="AG53" s="511">
        <v>1.0213809922456213E-2</v>
      </c>
      <c r="AH53" s="511">
        <v>1.0261753259902955E-2</v>
      </c>
      <c r="AI53" s="511">
        <v>1.0307541185928016E-2</v>
      </c>
      <c r="AJ53" s="511">
        <v>1.0356491404989603E-2</v>
      </c>
      <c r="AK53" s="511">
        <v>1.0381611402598948E-2</v>
      </c>
      <c r="AL53" s="511">
        <v>1.0460231187900938E-2</v>
      </c>
      <c r="AM53" s="511">
        <v>1.0542251573309904E-2</v>
      </c>
      <c r="AN53" s="511">
        <v>1.0622717591489706E-2</v>
      </c>
      <c r="AO53" s="511">
        <v>1.0667294747025165E-2</v>
      </c>
      <c r="AP53" s="511">
        <v>1.0740152713097289E-2</v>
      </c>
      <c r="AQ53" s="511">
        <v>1.0806940238315734E-2</v>
      </c>
      <c r="AR53" s="511">
        <v>1.0846150749316868E-2</v>
      </c>
      <c r="AS53" s="511">
        <v>1.0918422039884015E-2</v>
      </c>
      <c r="AT53" s="511">
        <v>1.0981196260618442E-2</v>
      </c>
      <c r="AU53" s="511">
        <v>1.1068013215315227E-2</v>
      </c>
    </row>
    <row r="54" spans="1:47">
      <c r="A54" s="57" t="s">
        <v>71</v>
      </c>
      <c r="B54" s="537">
        <v>6.4141530715026635E-5</v>
      </c>
      <c r="C54" s="537">
        <v>8.7799011018190325E-5</v>
      </c>
      <c r="D54" s="537">
        <v>1.9140456863198728E-4</v>
      </c>
      <c r="E54" s="537">
        <v>2.0314737129663481E-4</v>
      </c>
      <c r="F54" s="537">
        <v>2.5195631499823356E-4</v>
      </c>
      <c r="G54" s="537">
        <v>2.4329716608371889E-4</v>
      </c>
      <c r="H54" s="537">
        <v>2.7257630270114249E-4</v>
      </c>
      <c r="I54" s="537">
        <v>2.4918414142488174E-4</v>
      </c>
      <c r="J54" s="537">
        <v>3.1148017678110212E-4</v>
      </c>
      <c r="K54" s="538">
        <v>2.7980264280246404E-4</v>
      </c>
      <c r="L54" s="538">
        <v>3.1085721642753989E-4</v>
      </c>
      <c r="M54" s="512">
        <v>1.0680664930692984E-3</v>
      </c>
      <c r="N54" s="511">
        <v>1.1991705929665461E-3</v>
      </c>
      <c r="O54" s="511">
        <v>1.3625559005886482E-3</v>
      </c>
      <c r="P54" s="511">
        <v>1.5119247856123467E-3</v>
      </c>
      <c r="Q54" s="511">
        <v>1.5918008520478598E-3</v>
      </c>
      <c r="R54" s="511">
        <v>2.1677019067323404E-3</v>
      </c>
      <c r="S54" s="511">
        <v>2.3595533233048164E-3</v>
      </c>
      <c r="T54" s="511">
        <v>2.4938761171925915E-3</v>
      </c>
      <c r="U54" s="511">
        <v>2.5356916028963618E-3</v>
      </c>
      <c r="V54" s="511">
        <v>2.6675872520856886E-3</v>
      </c>
      <c r="W54" s="511">
        <v>2.8702696736976935E-3</v>
      </c>
      <c r="X54" s="511">
        <v>3.0551466490352126E-3</v>
      </c>
      <c r="Y54" s="511">
        <v>3.2527166058740828E-3</v>
      </c>
      <c r="Z54" s="511">
        <v>3.453301956007614E-3</v>
      </c>
      <c r="AA54" s="511">
        <v>3.6586321658800412E-3</v>
      </c>
      <c r="AB54" s="511">
        <v>3.8772706342459357E-3</v>
      </c>
      <c r="AC54" s="511">
        <v>4.0912964608937332E-3</v>
      </c>
      <c r="AD54" s="511">
        <v>4.3123909015732051E-3</v>
      </c>
      <c r="AE54" s="511">
        <v>4.5518376999878667E-3</v>
      </c>
      <c r="AF54" s="511">
        <v>4.7798192708668275E-3</v>
      </c>
      <c r="AG54" s="511">
        <v>5.000531218905431E-3</v>
      </c>
      <c r="AH54" s="511">
        <v>5.3138319443982122E-3</v>
      </c>
      <c r="AI54" s="511">
        <v>5.5652323183254145E-3</v>
      </c>
      <c r="AJ54" s="511">
        <v>5.8366122504585121E-3</v>
      </c>
      <c r="AK54" s="511">
        <v>6.1378262509239811E-3</v>
      </c>
      <c r="AL54" s="511">
        <v>6.4807361351681839E-3</v>
      </c>
      <c r="AM54" s="511">
        <v>6.7503753052670498E-3</v>
      </c>
      <c r="AN54" s="511">
        <v>7.0564677870017531E-3</v>
      </c>
      <c r="AO54" s="511">
        <v>7.3621226479954225E-3</v>
      </c>
      <c r="AP54" s="511">
        <v>7.6867743186051617E-3</v>
      </c>
      <c r="AQ54" s="511">
        <v>8.0026270620047225E-3</v>
      </c>
      <c r="AR54" s="511">
        <v>8.3687593974553463E-3</v>
      </c>
      <c r="AS54" s="511">
        <v>8.7515339375741231E-3</v>
      </c>
      <c r="AT54" s="511">
        <v>9.1415624253828598E-3</v>
      </c>
      <c r="AU54" s="511">
        <v>9.5578735955061528E-3</v>
      </c>
    </row>
    <row r="55" spans="1:47">
      <c r="A55" s="57" t="s">
        <v>72</v>
      </c>
      <c r="B55" s="537">
        <v>0</v>
      </c>
      <c r="C55" s="537">
        <v>0</v>
      </c>
      <c r="D55" s="537">
        <v>0</v>
      </c>
      <c r="E55" s="537">
        <v>0</v>
      </c>
      <c r="F55" s="537">
        <v>0</v>
      </c>
      <c r="G55" s="537">
        <v>0</v>
      </c>
      <c r="H55" s="537">
        <v>0</v>
      </c>
      <c r="I55" s="537">
        <v>0</v>
      </c>
      <c r="J55" s="537">
        <v>0</v>
      </c>
      <c r="K55" s="538">
        <v>1.8519254759732349E-7</v>
      </c>
      <c r="L55" s="538">
        <v>8.5188571894768807E-6</v>
      </c>
      <c r="M55" s="512">
        <v>7.6812258118750917E-6</v>
      </c>
      <c r="N55" s="511">
        <v>1.1681789790085217E-5</v>
      </c>
      <c r="O55" s="511">
        <v>2.3390265893364494E-5</v>
      </c>
      <c r="P55" s="511">
        <v>4.0271768787402663E-5</v>
      </c>
      <c r="Q55" s="511">
        <v>6.7563927536998274E-5</v>
      </c>
      <c r="R55" s="511">
        <v>1.0255306961137048E-4</v>
      </c>
      <c r="S55" s="511">
        <v>1.4116481658685756E-4</v>
      </c>
      <c r="T55" s="511">
        <v>1.7950551258727237E-4</v>
      </c>
      <c r="U55" s="511">
        <v>2.2030225940287916E-4</v>
      </c>
      <c r="V55" s="511">
        <v>2.6648087784777969E-4</v>
      </c>
      <c r="W55" s="511">
        <v>3.1016375665115223E-4</v>
      </c>
      <c r="X55" s="511">
        <v>3.4819834307924771E-4</v>
      </c>
      <c r="Y55" s="511">
        <v>3.8058720010738167E-4</v>
      </c>
      <c r="Z55" s="511">
        <v>4.11428260228219E-4</v>
      </c>
      <c r="AA55" s="511">
        <v>4.4127654810609458E-4</v>
      </c>
      <c r="AB55" s="511">
        <v>4.6912161724447642E-4</v>
      </c>
      <c r="AC55" s="511">
        <v>4.9546893733998221E-4</v>
      </c>
      <c r="AD55" s="511">
        <v>5.2060703441858482E-4</v>
      </c>
      <c r="AE55" s="511">
        <v>5.44796251843379E-4</v>
      </c>
      <c r="AF55" s="511">
        <v>5.6764274446841068E-4</v>
      </c>
      <c r="AG55" s="511">
        <v>5.9001049482059137E-4</v>
      </c>
      <c r="AH55" s="511">
        <v>6.1066574628897401E-4</v>
      </c>
      <c r="AI55" s="511">
        <v>6.2997048540308859E-4</v>
      </c>
      <c r="AJ55" s="511">
        <v>6.4786557278247463E-4</v>
      </c>
      <c r="AK55" s="511">
        <v>6.655663437938375E-4</v>
      </c>
      <c r="AL55" s="511">
        <v>6.8463483488319561E-4</v>
      </c>
      <c r="AM55" s="511">
        <v>7.0093948962902681E-4</v>
      </c>
      <c r="AN55" s="511">
        <v>7.1659177318874299E-4</v>
      </c>
      <c r="AO55" s="511">
        <v>7.3231943345013694E-4</v>
      </c>
      <c r="AP55" s="511">
        <v>7.4845039228254879E-4</v>
      </c>
      <c r="AQ55" s="511">
        <v>7.6506505484313849E-4</v>
      </c>
      <c r="AR55" s="511">
        <v>7.8236977986562064E-4</v>
      </c>
      <c r="AS55" s="511">
        <v>8.0041560314705244E-4</v>
      </c>
      <c r="AT55" s="511">
        <v>8.192382250663112E-4</v>
      </c>
      <c r="AU55" s="511">
        <v>8.3933062878469131E-4</v>
      </c>
    </row>
    <row r="56" spans="1:47">
      <c r="A56" s="57" t="s">
        <v>27</v>
      </c>
      <c r="B56" s="537">
        <v>5.6235595390524971E-6</v>
      </c>
      <c r="C56" s="537">
        <v>3.8583013230900555E-6</v>
      </c>
      <c r="D56" s="537">
        <v>5.2343149807938542E-6</v>
      </c>
      <c r="E56" s="537">
        <v>5.3367477592829711E-6</v>
      </c>
      <c r="F56" s="537">
        <v>8.9594536918480589E-6</v>
      </c>
      <c r="G56" s="537">
        <v>2.3726845924029026E-5</v>
      </c>
      <c r="H56" s="537">
        <v>2.4184379001280413E-5</v>
      </c>
      <c r="I56" s="537">
        <v>2.3805377720870681E-5</v>
      </c>
      <c r="J56" s="537">
        <v>2.9188476312419975E-4</v>
      </c>
      <c r="K56" s="538">
        <v>5.7637900128040972E-4</v>
      </c>
      <c r="L56" s="538">
        <v>1.1620145113102858E-4</v>
      </c>
      <c r="M56" s="512">
        <v>1.3979172001707217E-4</v>
      </c>
      <c r="N56" s="511">
        <v>6.172356807511738E-4</v>
      </c>
      <c r="O56" s="511">
        <v>8.5457311139564669E-4</v>
      </c>
      <c r="P56" s="511">
        <v>1.1288348271446863E-3</v>
      </c>
      <c r="Q56" s="511">
        <v>1.4242055484421684E-3</v>
      </c>
      <c r="R56" s="511">
        <v>1.7494842509603072E-3</v>
      </c>
      <c r="S56" s="511">
        <v>2.0987107127614169E-3</v>
      </c>
      <c r="T56" s="511">
        <v>2.4682461801109694E-3</v>
      </c>
      <c r="U56" s="511">
        <v>2.8554704225352114E-3</v>
      </c>
      <c r="V56" s="511">
        <v>3.2612732394366193E-3</v>
      </c>
      <c r="W56" s="511">
        <v>3.6836431924882631E-3</v>
      </c>
      <c r="X56" s="511">
        <v>4.1007153222364506E-3</v>
      </c>
      <c r="Y56" s="511">
        <v>4.5081075544174138E-3</v>
      </c>
      <c r="Z56" s="511">
        <v>4.9006675202731527E-3</v>
      </c>
      <c r="AA56" s="511">
        <v>5.2743320529236026E-3</v>
      </c>
      <c r="AB56" s="511">
        <v>5.567743918053778E-3</v>
      </c>
      <c r="AC56" s="511">
        <v>5.8514246692274868E-3</v>
      </c>
      <c r="AD56" s="511">
        <v>6.0934221084080259E-3</v>
      </c>
      <c r="AE56" s="511">
        <v>6.3314622279129328E-3</v>
      </c>
      <c r="AF56" s="511">
        <v>6.4979496372172428E-3</v>
      </c>
      <c r="AG56" s="511">
        <v>6.7705352112675315E-3</v>
      </c>
      <c r="AH56" s="511">
        <v>7.0045801109687609E-3</v>
      </c>
      <c r="AI56" s="511">
        <v>7.2386250106699895E-3</v>
      </c>
      <c r="AJ56" s="511">
        <v>7.472669910371218E-3</v>
      </c>
      <c r="AK56" s="511">
        <v>7.7067148100724474E-3</v>
      </c>
      <c r="AL56" s="511">
        <v>7.940759709773676E-3</v>
      </c>
      <c r="AM56" s="511">
        <v>8.1748046094749036E-3</v>
      </c>
      <c r="AN56" s="511">
        <v>8.4088495091762319E-3</v>
      </c>
      <c r="AO56" s="511">
        <v>8.6428944088774596E-3</v>
      </c>
      <c r="AP56" s="511">
        <v>8.876939308578689E-3</v>
      </c>
      <c r="AQ56" s="511">
        <v>9.1109842082799184E-3</v>
      </c>
      <c r="AR56" s="511">
        <v>9.3450291079811478E-3</v>
      </c>
      <c r="AS56" s="511">
        <v>9.5790740076823755E-3</v>
      </c>
      <c r="AT56" s="511">
        <v>9.8131189073836032E-3</v>
      </c>
      <c r="AU56" s="511">
        <v>1.0047163807084833E-2</v>
      </c>
    </row>
    <row r="57" spans="1:47" ht="20.45" customHeight="1">
      <c r="A57" s="556" t="s">
        <v>1397</v>
      </c>
      <c r="B57" s="558">
        <f>SUM(B46:B55)</f>
        <v>0.61370244122587803</v>
      </c>
      <c r="C57" s="558">
        <f t="shared" ref="C57:AK57" si="5">SUM(C46:C55)</f>
        <v>0.62401097642300274</v>
      </c>
      <c r="D57" s="558">
        <f t="shared" si="5"/>
        <v>0.64851856313772682</v>
      </c>
      <c r="E57" s="558">
        <f t="shared" si="5"/>
        <v>0.62920203649174489</v>
      </c>
      <c r="F57" s="558">
        <f t="shared" si="5"/>
        <v>0.5888727332383622</v>
      </c>
      <c r="G57" s="558">
        <f t="shared" si="5"/>
        <v>0.59426221226487908</v>
      </c>
      <c r="H57" s="558">
        <f t="shared" si="5"/>
        <v>0.57640118184891909</v>
      </c>
      <c r="I57" s="558">
        <f t="shared" si="5"/>
        <v>0.55635526631882404</v>
      </c>
      <c r="J57" s="558">
        <f t="shared" si="5"/>
        <v>0.56461897319800758</v>
      </c>
      <c r="K57" s="558">
        <f t="shared" si="5"/>
        <v>0.56458630333447468</v>
      </c>
      <c r="L57" s="558">
        <f t="shared" si="5"/>
        <v>0.56978264563823111</v>
      </c>
      <c r="M57" s="581">
        <f t="shared" si="5"/>
        <v>0.62016047051731782</v>
      </c>
      <c r="N57" s="558">
        <f t="shared" si="5"/>
        <v>0.6259150672390924</v>
      </c>
      <c r="O57" s="558">
        <f t="shared" si="5"/>
        <v>0.62773870878459781</v>
      </c>
      <c r="P57" s="558">
        <f>SUM(P46:P55)</f>
        <v>0.62971631288856789</v>
      </c>
      <c r="Q57" s="558">
        <f t="shared" si="5"/>
        <v>0.61421594738158014</v>
      </c>
      <c r="R57" s="558">
        <f t="shared" si="5"/>
        <v>0.62614518259358865</v>
      </c>
      <c r="S57" s="558">
        <f t="shared" si="5"/>
        <v>0.61748113180228026</v>
      </c>
      <c r="T57" s="558">
        <f t="shared" si="5"/>
        <v>0.61113084636324122</v>
      </c>
      <c r="U57" s="558">
        <f t="shared" si="5"/>
        <v>0.60810436870717666</v>
      </c>
      <c r="V57" s="558">
        <f t="shared" si="5"/>
        <v>0.60297930910394837</v>
      </c>
      <c r="W57" s="558">
        <f t="shared" si="5"/>
        <v>0.59650212829987992</v>
      </c>
      <c r="X57" s="558">
        <f t="shared" si="5"/>
        <v>0.59319735836288534</v>
      </c>
      <c r="Y57" s="558">
        <f t="shared" si="5"/>
        <v>0.59031523140489539</v>
      </c>
      <c r="Z57" s="558">
        <f t="shared" si="5"/>
        <v>0.58776107128916388</v>
      </c>
      <c r="AA57" s="558">
        <f t="shared" si="5"/>
        <v>0.58572292842180507</v>
      </c>
      <c r="AB57" s="558">
        <f t="shared" si="5"/>
        <v>0.58374166700067032</v>
      </c>
      <c r="AC57" s="558">
        <f t="shared" si="5"/>
        <v>0.58242316849400355</v>
      </c>
      <c r="AD57" s="558">
        <f t="shared" si="5"/>
        <v>0.58155023486069846</v>
      </c>
      <c r="AE57" s="558">
        <f t="shared" si="5"/>
        <v>0.58135680059919892</v>
      </c>
      <c r="AF57" s="558">
        <f t="shared" si="5"/>
        <v>0.58172598963078292</v>
      </c>
      <c r="AG57" s="558">
        <f t="shared" si="5"/>
        <v>0.58323025767816317</v>
      </c>
      <c r="AH57" s="558">
        <f t="shared" si="5"/>
        <v>0.58360471998924746</v>
      </c>
      <c r="AI57" s="558">
        <f t="shared" si="5"/>
        <v>0.58530027318392286</v>
      </c>
      <c r="AJ57" s="558">
        <f t="shared" si="5"/>
        <v>0.58704168846870119</v>
      </c>
      <c r="AK57" s="558">
        <f t="shared" si="5"/>
        <v>0.58919493124763711</v>
      </c>
    </row>
    <row r="58" spans="1:47" s="722" customFormat="1" ht="19.5" customHeight="1">
      <c r="A58" s="556" t="s">
        <v>1371</v>
      </c>
      <c r="B58" s="558">
        <f>B57+B44+B24+B13</f>
        <v>0.9868457258842781</v>
      </c>
      <c r="C58" s="558">
        <f t="shared" ref="C58:AK58" si="6">C57+C44+C24+C13</f>
        <v>1.0003319448874084</v>
      </c>
      <c r="D58" s="558">
        <f t="shared" si="6"/>
        <v>1.0053580710508569</v>
      </c>
      <c r="E58" s="558">
        <f t="shared" si="6"/>
        <v>0.98571924458256543</v>
      </c>
      <c r="F58" s="558">
        <f t="shared" si="6"/>
        <v>0.92829741830926704</v>
      </c>
      <c r="G58" s="558">
        <f t="shared" si="6"/>
        <v>0.95471856669592625</v>
      </c>
      <c r="H58" s="558">
        <f t="shared" si="6"/>
        <v>0.93306092471521973</v>
      </c>
      <c r="I58" s="558">
        <f t="shared" si="6"/>
        <v>0.90819037075550779</v>
      </c>
      <c r="J58" s="558">
        <f t="shared" si="6"/>
        <v>0.92390475727300658</v>
      </c>
      <c r="K58" s="558">
        <f t="shared" si="6"/>
        <v>0.91504954733039379</v>
      </c>
      <c r="L58" s="558">
        <f t="shared" si="6"/>
        <v>0.9131981511852777</v>
      </c>
      <c r="M58" s="581">
        <f t="shared" si="6"/>
        <v>0.9893336998267801</v>
      </c>
      <c r="N58" s="558">
        <f t="shared" si="6"/>
        <v>1.0015151661998154</v>
      </c>
      <c r="O58" s="558">
        <f t="shared" si="6"/>
        <v>1.0229991049238125</v>
      </c>
      <c r="P58" s="558">
        <f t="shared" si="6"/>
        <v>1.0273523957767228</v>
      </c>
      <c r="Q58" s="558">
        <f t="shared" si="6"/>
        <v>1.0124777469309278</v>
      </c>
      <c r="R58" s="558">
        <f t="shared" si="6"/>
        <v>1.0244519808917385</v>
      </c>
      <c r="S58" s="558">
        <f t="shared" si="6"/>
        <v>1.0176684056565124</v>
      </c>
      <c r="T58" s="558">
        <f t="shared" si="6"/>
        <v>1.0135889527924553</v>
      </c>
      <c r="U58" s="558">
        <f t="shared" si="6"/>
        <v>1.0117759806328057</v>
      </c>
      <c r="V58" s="558">
        <f t="shared" si="6"/>
        <v>1.0082070776408507</v>
      </c>
      <c r="W58" s="558">
        <f t="shared" si="6"/>
        <v>1.0026615275880604</v>
      </c>
      <c r="X58" s="558">
        <f t="shared" si="6"/>
        <v>1.0022512843337736</v>
      </c>
      <c r="Y58" s="558">
        <f t="shared" si="6"/>
        <v>1.0023163300527553</v>
      </c>
      <c r="Z58" s="558">
        <f t="shared" si="6"/>
        <v>1.0022147671911632</v>
      </c>
      <c r="AA58" s="558">
        <f t="shared" si="6"/>
        <v>1.0027331069348282</v>
      </c>
      <c r="AB58" s="558">
        <f t="shared" si="6"/>
        <v>1.0044162761897133</v>
      </c>
      <c r="AC58" s="558">
        <f t="shared" si="6"/>
        <v>1.0056294937451307</v>
      </c>
      <c r="AD58" s="558">
        <f t="shared" si="6"/>
        <v>1.0074387775649503</v>
      </c>
      <c r="AE58" s="558">
        <f t="shared" si="6"/>
        <v>1.0102479089044629</v>
      </c>
      <c r="AF58" s="558">
        <f t="shared" si="6"/>
        <v>1.0139863836295619</v>
      </c>
      <c r="AG58" s="558">
        <f t="shared" si="6"/>
        <v>1.0180667877035396</v>
      </c>
      <c r="AH58" s="558">
        <f t="shared" si="6"/>
        <v>1.0214543281685144</v>
      </c>
      <c r="AI58" s="558">
        <f t="shared" si="6"/>
        <v>1.0266234716693983</v>
      </c>
      <c r="AJ58" s="558">
        <f t="shared" si="6"/>
        <v>1.0314400161226662</v>
      </c>
      <c r="AK58" s="558">
        <f t="shared" si="6"/>
        <v>1.0368401289798788</v>
      </c>
    </row>
    <row r="59" spans="1:47">
      <c r="A59" s="57" t="s">
        <v>457</v>
      </c>
      <c r="B59" s="415"/>
      <c r="C59" s="415"/>
      <c r="D59" s="415"/>
      <c r="E59" s="415"/>
      <c r="F59" s="415"/>
      <c r="G59" s="415"/>
      <c r="H59" s="415"/>
      <c r="I59" s="415"/>
      <c r="J59" s="413"/>
      <c r="K59" s="415"/>
      <c r="L59" s="278"/>
      <c r="M59" s="376"/>
      <c r="N59" s="320"/>
      <c r="O59" s="320"/>
      <c r="P59" s="159" t="s">
        <v>1348</v>
      </c>
      <c r="Q59" s="320"/>
      <c r="R59" s="502" t="s">
        <v>1311</v>
      </c>
      <c r="S59" s="502"/>
      <c r="T59" s="502" t="s">
        <v>1312</v>
      </c>
      <c r="U59" s="502"/>
      <c r="V59" s="502"/>
      <c r="W59" s="502" t="s">
        <v>1313</v>
      </c>
      <c r="X59" s="320"/>
      <c r="Y59" s="320"/>
      <c r="Z59" s="320"/>
      <c r="AA59" s="320"/>
      <c r="AB59" s="320"/>
      <c r="AC59" s="320"/>
      <c r="AD59" s="320"/>
      <c r="AE59" s="320"/>
      <c r="AF59" s="320"/>
      <c r="AG59" s="320"/>
      <c r="AH59" s="320"/>
      <c r="AI59" s="320"/>
      <c r="AJ59" s="320"/>
      <c r="AK59" s="320"/>
    </row>
    <row r="60" spans="1:47">
      <c r="A60" s="91" t="s">
        <v>372</v>
      </c>
      <c r="B60" s="416">
        <v>0.17707664852868421</v>
      </c>
      <c r="C60" s="416">
        <v>0.16294122913948395</v>
      </c>
      <c r="D60" s="416">
        <v>0.16837681974754837</v>
      </c>
      <c r="E60" s="416">
        <v>0.16853914684150373</v>
      </c>
      <c r="F60" s="416">
        <v>0.1650957382302197</v>
      </c>
      <c r="G60" s="416">
        <v>0.1801941786271056</v>
      </c>
      <c r="H60" s="416">
        <v>0.14159989334378198</v>
      </c>
      <c r="I60" s="417">
        <v>0.13403302152718738</v>
      </c>
      <c r="J60" s="418">
        <v>0.14805459336355323</v>
      </c>
      <c r="K60" s="417">
        <v>0.15282317562040892</v>
      </c>
      <c r="L60" s="561">
        <v>0.16291514609908839</v>
      </c>
      <c r="M60" s="715">
        <v>0.14636250617220056</v>
      </c>
      <c r="N60" s="704">
        <v>0.1304645013557737</v>
      </c>
      <c r="O60" s="704">
        <v>0.12524562127556696</v>
      </c>
      <c r="P60" s="704">
        <v>0.12002674119536023</v>
      </c>
      <c r="Q60" s="704">
        <v>0.11480786111515308</v>
      </c>
      <c r="R60" s="704">
        <v>9.1701512317417133E-2</v>
      </c>
      <c r="S60" s="704">
        <v>8.9645611993228402E-2</v>
      </c>
      <c r="T60" s="704">
        <v>7.5199858163651309E-2</v>
      </c>
      <c r="U60" s="704">
        <v>7.3038990871821044E-2</v>
      </c>
      <c r="V60" s="704">
        <v>7.0907278074359856E-2</v>
      </c>
      <c r="W60" s="704">
        <v>4.6745230803093105E-2</v>
      </c>
      <c r="X60" s="704">
        <v>4.6429512665324552E-2</v>
      </c>
      <c r="Y60" s="704">
        <v>4.6217243961802691E-2</v>
      </c>
      <c r="Z60" s="704">
        <v>4.6308738831057301E-2</v>
      </c>
      <c r="AA60" s="704">
        <v>4.6754724350663281E-2</v>
      </c>
      <c r="AB60" s="704">
        <v>4.7130257569247602E-2</v>
      </c>
      <c r="AC60" s="704">
        <v>4.7710811767283687E-2</v>
      </c>
      <c r="AD60" s="704">
        <v>4.8308346615392163E-2</v>
      </c>
      <c r="AE60" s="704">
        <v>4.8920412527730495E-2</v>
      </c>
      <c r="AF60" s="704">
        <v>4.9552822872509603E-2</v>
      </c>
      <c r="AG60" s="704">
        <v>5.0096950263165817E-2</v>
      </c>
      <c r="AH60" s="704">
        <v>5.0658649593394153E-2</v>
      </c>
      <c r="AI60" s="704">
        <v>5.1208654703574739E-2</v>
      </c>
      <c r="AJ60" s="704">
        <v>5.1747327030515503E-2</v>
      </c>
      <c r="AK60" s="704">
        <v>5.2275013268195412E-2</v>
      </c>
      <c r="AL60" s="704">
        <v>5.2792046111867205E-2</v>
      </c>
      <c r="AM60" s="704">
        <v>5.3298744957543269E-2</v>
      </c>
      <c r="AN60" s="704">
        <v>5.3795416559953887E-2</v>
      </c>
      <c r="AO60" s="704">
        <v>5.4282355651826535E-2</v>
      </c>
      <c r="AP60" s="704">
        <v>5.4759845527113986E-2</v>
      </c>
      <c r="AQ60" s="704">
        <v>5.5228158590594018E-2</v>
      </c>
      <c r="AR60" s="704">
        <v>5.5687556876084482E-2</v>
      </c>
      <c r="AS60" s="704">
        <v>5.6138292535341486E-2</v>
      </c>
      <c r="AT60" s="704">
        <v>5.6580608299560686E-2</v>
      </c>
      <c r="AU60" s="704">
        <v>5.7014737915254014E-2</v>
      </c>
    </row>
    <row r="61" spans="1:47">
      <c r="A61" s="91" t="s">
        <v>422</v>
      </c>
      <c r="B61" s="416">
        <v>6.3460039434900681E-2</v>
      </c>
      <c r="C61" s="416">
        <v>5.2083846100893595E-2</v>
      </c>
      <c r="D61" s="416">
        <v>7.1380310094665556E-2</v>
      </c>
      <c r="E61" s="416">
        <v>8.2793252002603471E-2</v>
      </c>
      <c r="F61" s="416">
        <v>0.1122844927309035</v>
      </c>
      <c r="G61" s="416">
        <v>0.11831655880145737</v>
      </c>
      <c r="H61" s="416">
        <v>6.2391137116694986E-2</v>
      </c>
      <c r="I61" s="417">
        <v>7.6705517494405059E-2</v>
      </c>
      <c r="J61" s="418">
        <v>0.11852463910011082</v>
      </c>
      <c r="K61" s="417">
        <v>0.10344042999688234</v>
      </c>
      <c r="L61" s="561">
        <v>0.12369074292682812</v>
      </c>
      <c r="M61" s="715">
        <v>0.10362853446030114</v>
      </c>
      <c r="N61" s="704">
        <v>0.10264997525083962</v>
      </c>
      <c r="O61" s="704">
        <v>0.10318915596696725</v>
      </c>
      <c r="P61" s="704">
        <v>0.10372833668309485</v>
      </c>
      <c r="Q61" s="704">
        <v>0.10426751739922202</v>
      </c>
      <c r="R61" s="704">
        <v>0.12087251267920081</v>
      </c>
      <c r="S61" s="704">
        <v>0.12484723887505106</v>
      </c>
      <c r="T61" s="704">
        <v>0.13625587717413409</v>
      </c>
      <c r="U61" s="704">
        <v>0.14029358355056867</v>
      </c>
      <c r="V61" s="704">
        <v>0.14431379723038218</v>
      </c>
      <c r="W61" s="704">
        <v>0.16155221159447958</v>
      </c>
      <c r="X61" s="704">
        <v>0.16174164247714071</v>
      </c>
      <c r="Y61" s="704">
        <v>0.16186900369925386</v>
      </c>
      <c r="Z61" s="704">
        <v>0.16181410677770106</v>
      </c>
      <c r="AA61" s="704">
        <v>0.16154651546593748</v>
      </c>
      <c r="AB61" s="704">
        <v>0.16132119553478688</v>
      </c>
      <c r="AC61" s="704">
        <v>0.16097286301596525</v>
      </c>
      <c r="AD61" s="704">
        <v>0.16061434210710016</v>
      </c>
      <c r="AE61" s="704">
        <v>0.16024710255969715</v>
      </c>
      <c r="AF61" s="704">
        <v>0.15986765635282968</v>
      </c>
      <c r="AG61" s="704">
        <v>0.15954117991843597</v>
      </c>
      <c r="AH61" s="704">
        <v>0.15920416032029894</v>
      </c>
      <c r="AI61" s="704">
        <v>0.1588741572541906</v>
      </c>
      <c r="AJ61" s="704">
        <v>0.15855095385802614</v>
      </c>
      <c r="AK61" s="704">
        <v>0.1582343421154182</v>
      </c>
      <c r="AL61" s="704">
        <v>0.15792412240921511</v>
      </c>
      <c r="AM61" s="704">
        <v>0.15762010310180949</v>
      </c>
      <c r="AN61" s="704">
        <v>0.15732210014036313</v>
      </c>
      <c r="AO61" s="704">
        <v>0.15702993668523954</v>
      </c>
      <c r="AP61" s="704">
        <v>0.15674344276006705</v>
      </c>
      <c r="AQ61" s="704">
        <v>0.15646245492197905</v>
      </c>
      <c r="AR61" s="704">
        <v>0.15618681595068476</v>
      </c>
      <c r="AS61" s="704">
        <v>0.15591637455513055</v>
      </c>
      <c r="AT61" s="704">
        <v>0.15565098509659905</v>
      </c>
      <c r="AU61" s="704">
        <v>0.15539050732718304</v>
      </c>
    </row>
    <row r="62" spans="1:47">
      <c r="A62" s="91" t="s">
        <v>423</v>
      </c>
      <c r="B62" s="416">
        <v>3.1705263572331638E-2</v>
      </c>
      <c r="C62" s="416">
        <v>3.1644319659083285E-2</v>
      </c>
      <c r="D62" s="416">
        <v>2.443320621631288E-2</v>
      </c>
      <c r="E62" s="416">
        <v>1.833142871851311E-2</v>
      </c>
      <c r="F62" s="416">
        <v>2.1010896514468837E-2</v>
      </c>
      <c r="G62" s="416">
        <v>1.9557756702993964E-2</v>
      </c>
      <c r="H62" s="416">
        <v>1.4478201728221233E-2</v>
      </c>
      <c r="I62" s="417">
        <v>5.3683677687399733E-3</v>
      </c>
      <c r="J62" s="418">
        <v>1.2336356954421035E-2</v>
      </c>
      <c r="K62" s="417">
        <v>1.0333425362330444E-2</v>
      </c>
      <c r="L62" s="561">
        <v>0.01</v>
      </c>
      <c r="M62" s="715">
        <v>0.01</v>
      </c>
      <c r="N62" s="704">
        <v>1.2E-2</v>
      </c>
      <c r="O62" s="704">
        <v>1.2E-2</v>
      </c>
      <c r="P62" s="704">
        <v>1.2000000000000002E-2</v>
      </c>
      <c r="Q62" s="704">
        <v>1.2E-2</v>
      </c>
      <c r="R62" s="704">
        <v>1.2000000000000002E-2</v>
      </c>
      <c r="S62" s="704">
        <v>1.2E-2</v>
      </c>
      <c r="T62" s="704">
        <v>1.2000000000000002E-2</v>
      </c>
      <c r="U62" s="704">
        <v>1.2E-2</v>
      </c>
      <c r="V62" s="704">
        <v>1.2E-2</v>
      </c>
      <c r="W62" s="704">
        <v>1.2E-2</v>
      </c>
      <c r="X62" s="704">
        <v>1.2E-2</v>
      </c>
      <c r="Y62" s="704">
        <v>1.2E-2</v>
      </c>
      <c r="Z62" s="704">
        <v>1.2E-2</v>
      </c>
      <c r="AA62" s="704">
        <v>1.2E-2</v>
      </c>
      <c r="AB62" s="704">
        <v>1.2E-2</v>
      </c>
      <c r="AC62" s="704">
        <v>1.2E-2</v>
      </c>
      <c r="AD62" s="704">
        <v>1.2E-2</v>
      </c>
      <c r="AE62" s="704">
        <v>1.2E-2</v>
      </c>
      <c r="AF62" s="704">
        <v>1.2E-2</v>
      </c>
      <c r="AG62" s="704">
        <v>1.2000000000000002E-2</v>
      </c>
      <c r="AH62" s="704">
        <v>1.2E-2</v>
      </c>
      <c r="AI62" s="704">
        <v>1.2E-2</v>
      </c>
      <c r="AJ62" s="704">
        <v>1.2E-2</v>
      </c>
      <c r="AK62" s="704">
        <v>1.2E-2</v>
      </c>
      <c r="AL62" s="704">
        <v>1.2E-2</v>
      </c>
      <c r="AM62" s="704">
        <v>1.2E-2</v>
      </c>
      <c r="AN62" s="704">
        <v>1.1999999999999999E-2</v>
      </c>
      <c r="AO62" s="704">
        <v>1.2E-2</v>
      </c>
      <c r="AP62" s="704">
        <v>1.2E-2</v>
      </c>
      <c r="AQ62" s="704">
        <v>1.2E-2</v>
      </c>
      <c r="AR62" s="704">
        <v>1.2E-2</v>
      </c>
      <c r="AS62" s="704">
        <v>1.2E-2</v>
      </c>
      <c r="AT62" s="704">
        <v>1.2E-2</v>
      </c>
      <c r="AU62" s="704">
        <v>1.2E-2</v>
      </c>
    </row>
    <row r="63" spans="1:47">
      <c r="A63" s="91" t="s">
        <v>424</v>
      </c>
      <c r="B63" s="416">
        <v>5.2709437643101546E-4</v>
      </c>
      <c r="C63" s="416">
        <v>7.1182717775411812E-4</v>
      </c>
      <c r="D63" s="416">
        <v>7.8450837860507443E-4</v>
      </c>
      <c r="E63" s="416">
        <v>7.8398006222402583E-4</v>
      </c>
      <c r="F63" s="416">
        <v>1.0617143960275869E-3</v>
      </c>
      <c r="G63" s="416">
        <v>9.1900213334896103E-4</v>
      </c>
      <c r="H63" s="416">
        <v>7.5230271045485255E-4</v>
      </c>
      <c r="I63" s="417">
        <v>7.4555115730218756E-4</v>
      </c>
      <c r="J63" s="418">
        <v>7.075488201951129E-4</v>
      </c>
      <c r="K63" s="417">
        <v>6.5016534241318826E-4</v>
      </c>
      <c r="L63" s="561">
        <v>5.3336649079166671E-4</v>
      </c>
      <c r="M63" s="715">
        <v>7.0767476992851497E-4</v>
      </c>
      <c r="N63" s="704">
        <v>5.4212500408938602E-4</v>
      </c>
      <c r="O63" s="704">
        <v>5.0399510678275639E-4</v>
      </c>
      <c r="P63" s="704">
        <v>4.658652094761267E-4</v>
      </c>
      <c r="Q63" s="704">
        <v>4.2773531216949712E-4</v>
      </c>
      <c r="R63" s="704">
        <v>3.8960541486286748E-4</v>
      </c>
      <c r="S63" s="704">
        <v>3.5147551755623785E-4</v>
      </c>
      <c r="T63" s="704">
        <v>3.1334562024960821E-4</v>
      </c>
      <c r="U63" s="704">
        <v>2.752157229429647E-4</v>
      </c>
      <c r="V63" s="704">
        <v>2.3708582563633507E-4</v>
      </c>
      <c r="W63" s="704">
        <v>1.9895592832970543E-4</v>
      </c>
      <c r="X63" s="704">
        <v>1.9895592832970543E-4</v>
      </c>
      <c r="Y63" s="704">
        <v>1.9895592832970543E-4</v>
      </c>
      <c r="Z63" s="704">
        <v>1.9895592832970541E-4</v>
      </c>
      <c r="AA63" s="704">
        <v>1.9895592832970541E-4</v>
      </c>
      <c r="AB63" s="704">
        <v>1.9895592832970543E-4</v>
      </c>
      <c r="AC63" s="704">
        <v>1.9895592832970543E-4</v>
      </c>
      <c r="AD63" s="704">
        <v>1.9895592832970546E-4</v>
      </c>
      <c r="AE63" s="704">
        <v>1.9895592832970543E-4</v>
      </c>
      <c r="AF63" s="704">
        <v>1.9895592832970543E-4</v>
      </c>
      <c r="AG63" s="704">
        <v>1.9895592832970541E-4</v>
      </c>
      <c r="AH63" s="704">
        <v>1.9895592832970543E-4</v>
      </c>
      <c r="AI63" s="704">
        <v>1.9895592832970543E-4</v>
      </c>
      <c r="AJ63" s="704">
        <v>1.9895592832970546E-4</v>
      </c>
      <c r="AK63" s="704">
        <v>1.9895592832970546E-4</v>
      </c>
      <c r="AL63" s="704">
        <v>1.9895592832970541E-4</v>
      </c>
      <c r="AM63" s="704">
        <v>1.9895592832970543E-4</v>
      </c>
      <c r="AN63" s="704">
        <v>1.9895592832970543E-4</v>
      </c>
      <c r="AO63" s="704">
        <v>1.9895592832970543E-4</v>
      </c>
      <c r="AP63" s="704">
        <v>1.9895592832970543E-4</v>
      </c>
      <c r="AQ63" s="704">
        <v>1.9895592832970543E-4</v>
      </c>
      <c r="AR63" s="704">
        <v>1.9895592832970543E-4</v>
      </c>
      <c r="AS63" s="704">
        <v>1.9895592832970543E-4</v>
      </c>
      <c r="AT63" s="704">
        <v>1.9895592832970543E-4</v>
      </c>
      <c r="AU63" s="704">
        <v>1.9895592832970543E-4</v>
      </c>
    </row>
    <row r="64" spans="1:47">
      <c r="A64" s="91" t="s">
        <v>425</v>
      </c>
      <c r="B64" s="416">
        <v>5.2473935503038548E-2</v>
      </c>
      <c r="C64" s="416">
        <v>5.1623675476377369E-2</v>
      </c>
      <c r="D64" s="416">
        <v>4.8998488500467681E-2</v>
      </c>
      <c r="E64" s="416">
        <v>5.6987135137738947E-2</v>
      </c>
      <c r="F64" s="416">
        <v>4.1108509403607232E-2</v>
      </c>
      <c r="G64" s="416">
        <v>6.1332206404646566E-2</v>
      </c>
      <c r="H64" s="416">
        <v>2.62357888526496E-2</v>
      </c>
      <c r="I64" s="417">
        <v>4.6769875398182593E-2</v>
      </c>
      <c r="J64" s="418">
        <v>4.6514006035721825E-2</v>
      </c>
      <c r="K64" s="417">
        <v>5.0307799051020105E-2</v>
      </c>
      <c r="L64" s="561">
        <v>4.5537403932920044E-2</v>
      </c>
      <c r="M64" s="715">
        <v>4.9268368252782233E-2</v>
      </c>
      <c r="N64" s="704">
        <v>4.5451182530737655E-2</v>
      </c>
      <c r="O64" s="704">
        <v>4.5113950609603881E-2</v>
      </c>
      <c r="P64" s="704">
        <v>4.4776718688470107E-2</v>
      </c>
      <c r="Q64" s="704">
        <v>4.4439486767336334E-2</v>
      </c>
      <c r="R64" s="704">
        <v>4.4102254846202449E-2</v>
      </c>
      <c r="S64" s="704">
        <v>4.3765022925068675E-2</v>
      </c>
      <c r="T64" s="704">
        <v>4.3427791003934901E-2</v>
      </c>
      <c r="U64" s="704">
        <v>4.3090559082801017E-2</v>
      </c>
      <c r="V64" s="704">
        <v>4.2753327161667243E-2</v>
      </c>
      <c r="W64" s="704">
        <v>4.2416095240533469E-2</v>
      </c>
      <c r="X64" s="704">
        <v>4.2416095240533469E-2</v>
      </c>
      <c r="Y64" s="704">
        <v>4.2416095240533469E-2</v>
      </c>
      <c r="Z64" s="704">
        <v>4.2416095240533469E-2</v>
      </c>
      <c r="AA64" s="704">
        <v>4.2416095240533469E-2</v>
      </c>
      <c r="AB64" s="704">
        <v>4.2416095240533469E-2</v>
      </c>
      <c r="AC64" s="704">
        <v>4.2416095240533469E-2</v>
      </c>
      <c r="AD64" s="704">
        <v>4.2416095240533469E-2</v>
      </c>
      <c r="AE64" s="704">
        <v>4.2416095240533469E-2</v>
      </c>
      <c r="AF64" s="704">
        <v>4.2416095240533469E-2</v>
      </c>
      <c r="AG64" s="704">
        <v>4.2416095240533469E-2</v>
      </c>
      <c r="AH64" s="704">
        <v>4.2416095240533469E-2</v>
      </c>
      <c r="AI64" s="704">
        <v>4.2416095240533469E-2</v>
      </c>
      <c r="AJ64" s="704">
        <v>4.2416095240533469E-2</v>
      </c>
      <c r="AK64" s="704">
        <v>4.2416095240533469E-2</v>
      </c>
      <c r="AL64" s="704">
        <v>4.2416095240533469E-2</v>
      </c>
      <c r="AM64" s="704">
        <v>4.2416095240533469E-2</v>
      </c>
      <c r="AN64" s="704">
        <v>4.2416095240533469E-2</v>
      </c>
      <c r="AO64" s="704">
        <v>4.2416095240533462E-2</v>
      </c>
      <c r="AP64" s="704">
        <v>4.2416095240533476E-2</v>
      </c>
      <c r="AQ64" s="704">
        <v>4.2416095240533476E-2</v>
      </c>
      <c r="AR64" s="704">
        <v>4.2416095240533469E-2</v>
      </c>
      <c r="AS64" s="704">
        <v>4.2416095240533469E-2</v>
      </c>
      <c r="AT64" s="704">
        <v>4.2416095240533469E-2</v>
      </c>
      <c r="AU64" s="704">
        <v>4.2416095240533469E-2</v>
      </c>
    </row>
    <row r="65" spans="1:47">
      <c r="A65" s="91" t="s">
        <v>249</v>
      </c>
      <c r="B65" s="416">
        <v>0.65947597669635838</v>
      </c>
      <c r="C65" s="416">
        <v>0.68183374790741358</v>
      </c>
      <c r="D65" s="416">
        <v>0.67052971020389363</v>
      </c>
      <c r="E65" s="416">
        <v>0.65281192951749445</v>
      </c>
      <c r="F65" s="416">
        <v>0.64376284587438171</v>
      </c>
      <c r="G65" s="416">
        <v>0.60322481669586725</v>
      </c>
      <c r="H65" s="416">
        <v>0.73373002968949907</v>
      </c>
      <c r="I65" s="417">
        <v>0.69485785965413116</v>
      </c>
      <c r="J65" s="418">
        <v>0.63596816340219686</v>
      </c>
      <c r="K65" s="417">
        <v>0.65070798217051784</v>
      </c>
      <c r="L65" s="561">
        <v>0.62619566318968134</v>
      </c>
      <c r="M65" s="715">
        <v>0.6368912385248412</v>
      </c>
      <c r="N65" s="704">
        <v>0.62879539363041381</v>
      </c>
      <c r="O65" s="704">
        <v>0.62362420270287033</v>
      </c>
      <c r="P65" s="704">
        <v>0.61845301177532697</v>
      </c>
      <c r="Q65" s="704">
        <v>0.61328182084778393</v>
      </c>
      <c r="R65" s="704">
        <v>0.61781020386883201</v>
      </c>
      <c r="S65" s="704">
        <v>0.61602345234781675</v>
      </c>
      <c r="T65" s="704">
        <v>0.61795365687841763</v>
      </c>
      <c r="U65" s="704">
        <v>0.61619839544769506</v>
      </c>
      <c r="V65" s="704">
        <v>0.61443438766866132</v>
      </c>
      <c r="W65" s="704">
        <v>0.61927948023176871</v>
      </c>
      <c r="X65" s="704">
        <v>0.61937419567309937</v>
      </c>
      <c r="Y65" s="704">
        <v>0.61943787628415592</v>
      </c>
      <c r="Z65" s="704">
        <v>0.61941042782337952</v>
      </c>
      <c r="AA65" s="704">
        <v>0.61927663216749773</v>
      </c>
      <c r="AB65" s="704">
        <v>0.61916397220192243</v>
      </c>
      <c r="AC65" s="704">
        <v>0.61898980594251163</v>
      </c>
      <c r="AD65" s="704">
        <v>0.61881054548807901</v>
      </c>
      <c r="AE65" s="704">
        <v>0.61862692571437761</v>
      </c>
      <c r="AF65" s="704">
        <v>0.61843720261094381</v>
      </c>
      <c r="AG65" s="704">
        <v>0.61827396439374693</v>
      </c>
      <c r="AH65" s="704">
        <v>0.61810545459467847</v>
      </c>
      <c r="AI65" s="704">
        <v>0.61794045306162426</v>
      </c>
      <c r="AJ65" s="704">
        <v>0.61777885136354205</v>
      </c>
      <c r="AK65" s="704">
        <v>0.6176205454922381</v>
      </c>
      <c r="AL65" s="704">
        <v>0.61746543563913647</v>
      </c>
      <c r="AM65" s="704">
        <v>0.61731342598543371</v>
      </c>
      <c r="AN65" s="704">
        <v>0.61716442450471054</v>
      </c>
      <c r="AO65" s="704">
        <v>0.61701834277714873</v>
      </c>
      <c r="AP65" s="704">
        <v>0.61687509581456246</v>
      </c>
      <c r="AQ65" s="704">
        <v>0.61673460189551854</v>
      </c>
      <c r="AR65" s="704">
        <v>0.61659678240987137</v>
      </c>
      <c r="AS65" s="704">
        <v>0.61646156171209421</v>
      </c>
      <c r="AT65" s="704">
        <v>0.61632886698282852</v>
      </c>
      <c r="AU65" s="704">
        <v>0.61619862809812054</v>
      </c>
    </row>
    <row r="66" spans="1:47">
      <c r="A66" s="91" t="s">
        <v>426</v>
      </c>
      <c r="B66" s="416">
        <v>6.9958899913413666E-3</v>
      </c>
      <c r="C66" s="416">
        <v>4.4919713223739149E-3</v>
      </c>
      <c r="D66" s="416">
        <v>5.2210093982710476E-3</v>
      </c>
      <c r="E66" s="416">
        <v>4.65461977481464E-3</v>
      </c>
      <c r="F66" s="416">
        <v>5.0078614945081052E-3</v>
      </c>
      <c r="G66" s="416">
        <v>5.5607354900667335E-3</v>
      </c>
      <c r="H66" s="416">
        <v>4.9051469486321971E-3</v>
      </c>
      <c r="I66" s="417">
        <v>3.428936442942232E-3</v>
      </c>
      <c r="J66" s="418">
        <v>2.857879164599821E-3</v>
      </c>
      <c r="K66" s="417">
        <v>3.2731184687870823E-3</v>
      </c>
      <c r="L66" s="561">
        <v>4.5448241558907476E-3</v>
      </c>
      <c r="M66" s="715">
        <v>7.7258879043987736E-3</v>
      </c>
      <c r="N66" s="704">
        <v>4.8352300113573485E-3</v>
      </c>
      <c r="O66" s="704">
        <v>4.8565442090057545E-3</v>
      </c>
      <c r="P66" s="704">
        <v>4.8778584066541536E-3</v>
      </c>
      <c r="Q66" s="704">
        <v>4.8991726043025596E-3</v>
      </c>
      <c r="R66" s="704">
        <v>4.9204868019509587E-3</v>
      </c>
      <c r="S66" s="704">
        <v>4.9418009995993648E-3</v>
      </c>
      <c r="T66" s="704">
        <v>4.9631151972477638E-3</v>
      </c>
      <c r="U66" s="704">
        <v>4.9844293948961699E-3</v>
      </c>
      <c r="V66" s="704">
        <v>5.005743592544569E-3</v>
      </c>
      <c r="W66" s="704">
        <v>5.027057790192975E-3</v>
      </c>
      <c r="X66" s="704">
        <v>5.027057790192975E-3</v>
      </c>
      <c r="Y66" s="704">
        <v>5.027057790192975E-3</v>
      </c>
      <c r="Z66" s="704">
        <v>5.027057790192975E-3</v>
      </c>
      <c r="AA66" s="704">
        <v>5.027057790192975E-3</v>
      </c>
      <c r="AB66" s="704">
        <v>5.027057790192975E-3</v>
      </c>
      <c r="AC66" s="704">
        <v>5.027057790192975E-3</v>
      </c>
      <c r="AD66" s="704">
        <v>5.027057790192975E-3</v>
      </c>
      <c r="AE66" s="704">
        <v>5.027057790192975E-3</v>
      </c>
      <c r="AF66" s="704">
        <v>5.027057790192975E-3</v>
      </c>
      <c r="AG66" s="704">
        <v>5.027057790192975E-3</v>
      </c>
      <c r="AH66" s="704">
        <v>5.027057790192975E-3</v>
      </c>
      <c r="AI66" s="704">
        <v>5.027057790192975E-3</v>
      </c>
      <c r="AJ66" s="704">
        <v>5.027057790192975E-3</v>
      </c>
      <c r="AK66" s="704">
        <v>5.027057790192975E-3</v>
      </c>
      <c r="AL66" s="704">
        <v>5.027057790192975E-3</v>
      </c>
      <c r="AM66" s="704">
        <v>5.027057790192975E-3</v>
      </c>
      <c r="AN66" s="704">
        <v>5.027057790192975E-3</v>
      </c>
      <c r="AO66" s="704">
        <v>5.027057790192975E-3</v>
      </c>
      <c r="AP66" s="704">
        <v>5.027057790192975E-3</v>
      </c>
      <c r="AQ66" s="704">
        <v>5.027057790192975E-3</v>
      </c>
      <c r="AR66" s="704">
        <v>5.027057790192975E-3</v>
      </c>
      <c r="AS66" s="704">
        <v>5.027057790192975E-3</v>
      </c>
      <c r="AT66" s="704">
        <v>5.027057790192975E-3</v>
      </c>
      <c r="AU66" s="704">
        <v>5.0270577901929759E-3</v>
      </c>
    </row>
    <row r="67" spans="1:47">
      <c r="A67" s="91" t="s">
        <v>427</v>
      </c>
      <c r="B67" s="416">
        <v>0</v>
      </c>
      <c r="C67" s="416">
        <v>1.647058439204055E-4</v>
      </c>
      <c r="D67" s="416">
        <v>1.2672518529265126E-4</v>
      </c>
      <c r="E67" s="416">
        <v>1.890617525719054E-4</v>
      </c>
      <c r="F67" s="416">
        <v>2.164519940101673E-4</v>
      </c>
      <c r="G67" s="416">
        <v>1.9623690612093891E-4</v>
      </c>
      <c r="H67" s="416">
        <v>1.9874598756994071E-4</v>
      </c>
      <c r="I67" s="417">
        <v>1.8758244395432371E-4</v>
      </c>
      <c r="J67" s="418">
        <v>1.7672567922348721E-4</v>
      </c>
      <c r="K67" s="417">
        <v>1.9514548124748826E-4</v>
      </c>
      <c r="L67" s="561">
        <v>1.8211768711012905E-4</v>
      </c>
      <c r="M67" s="715">
        <v>0</v>
      </c>
      <c r="N67" s="704">
        <v>1.2136714791051786E-4</v>
      </c>
      <c r="O67" s="704">
        <v>1.1309220903786554E-4</v>
      </c>
      <c r="P67" s="704">
        <v>1.0481727016521322E-4</v>
      </c>
      <c r="Q67" s="704">
        <v>9.6542331292560901E-5</v>
      </c>
      <c r="R67" s="704">
        <v>8.8267392419905111E-5</v>
      </c>
      <c r="S67" s="704">
        <v>7.999245354725279E-5</v>
      </c>
      <c r="T67" s="704">
        <v>7.1717514674600469E-5</v>
      </c>
      <c r="U67" s="704">
        <v>6.3442575801948148E-5</v>
      </c>
      <c r="V67" s="704">
        <v>5.5167636929295827E-5</v>
      </c>
      <c r="W67" s="704">
        <v>4.6892698056643506E-5</v>
      </c>
      <c r="X67" s="704">
        <v>4.6892698056643506E-5</v>
      </c>
      <c r="Y67" s="704">
        <v>4.6892698056643506E-5</v>
      </c>
      <c r="Z67" s="704">
        <v>4.6892698056643506E-5</v>
      </c>
      <c r="AA67" s="704">
        <v>4.6892698056643506E-5</v>
      </c>
      <c r="AB67" s="704">
        <v>4.6892698056643506E-5</v>
      </c>
      <c r="AC67" s="704">
        <v>4.6892698056643506E-5</v>
      </c>
      <c r="AD67" s="704">
        <v>4.6892698056643506E-5</v>
      </c>
      <c r="AE67" s="704">
        <v>4.6892698056643506E-5</v>
      </c>
      <c r="AF67" s="704">
        <v>4.6892698056643513E-5</v>
      </c>
      <c r="AG67" s="704">
        <v>4.6892698056643506E-5</v>
      </c>
      <c r="AH67" s="704">
        <v>4.6892698056643506E-5</v>
      </c>
      <c r="AI67" s="704">
        <v>4.6892698056643506E-5</v>
      </c>
      <c r="AJ67" s="704">
        <v>4.6892698056643506E-5</v>
      </c>
      <c r="AK67" s="704">
        <v>4.6892698056643506E-5</v>
      </c>
      <c r="AL67" s="704">
        <v>4.6892698056643506E-5</v>
      </c>
      <c r="AM67" s="704">
        <v>4.6892698056643506E-5</v>
      </c>
      <c r="AN67" s="704">
        <v>4.6892698056643506E-5</v>
      </c>
      <c r="AO67" s="704">
        <v>4.6892698056643506E-5</v>
      </c>
      <c r="AP67" s="704">
        <v>4.6892698056643506E-5</v>
      </c>
      <c r="AQ67" s="704">
        <v>4.6892698056643506E-5</v>
      </c>
      <c r="AR67" s="704">
        <v>4.6892698056643506E-5</v>
      </c>
      <c r="AS67" s="704">
        <v>4.6892698056643506E-5</v>
      </c>
      <c r="AT67" s="704">
        <v>4.6892698056643506E-5</v>
      </c>
      <c r="AU67" s="704">
        <v>4.6892698056643506E-5</v>
      </c>
    </row>
    <row r="68" spans="1:47">
      <c r="A68" s="91" t="s">
        <v>428</v>
      </c>
      <c r="B68" s="416">
        <v>5.1557964091804341E-3</v>
      </c>
      <c r="C68" s="416">
        <v>9.9215200687948271E-3</v>
      </c>
      <c r="D68" s="416">
        <v>6.1796152784450737E-3</v>
      </c>
      <c r="E68" s="416">
        <v>1.1332353833410377E-2</v>
      </c>
      <c r="F68" s="416">
        <v>6.615925995702425E-3</v>
      </c>
      <c r="G68" s="416">
        <v>6.4067475516769385E-3</v>
      </c>
      <c r="H68" s="416">
        <v>1.1170492693989646E-2</v>
      </c>
      <c r="I68" s="417">
        <v>3.3219463293768882E-2</v>
      </c>
      <c r="J68" s="418">
        <v>3.1313177472848411E-2</v>
      </c>
      <c r="K68" s="417">
        <v>2.4183320142269059E-2</v>
      </c>
      <c r="L68" s="561">
        <v>2.2973118738727968E-2</v>
      </c>
      <c r="M68" s="715">
        <v>4.1865729735520045E-2</v>
      </c>
      <c r="N68" s="704">
        <v>7.0000000000000007E-2</v>
      </c>
      <c r="O68" s="704">
        <v>0.08</v>
      </c>
      <c r="P68" s="704">
        <v>0.09</v>
      </c>
      <c r="Q68" s="704">
        <v>0.1</v>
      </c>
      <c r="R68" s="704">
        <v>0.10106104010254312</v>
      </c>
      <c r="S68" s="704">
        <v>0.10106955778140889</v>
      </c>
      <c r="T68" s="704">
        <v>0.10169756813554406</v>
      </c>
      <c r="U68" s="704">
        <v>0.10171133416279188</v>
      </c>
      <c r="V68" s="704">
        <v>0.10172364246532128</v>
      </c>
      <c r="W68" s="704">
        <v>0.10283746749154093</v>
      </c>
      <c r="X68" s="704">
        <v>0.10285325339842935</v>
      </c>
      <c r="Y68" s="704">
        <v>0.10286386683360545</v>
      </c>
      <c r="Z68" s="704">
        <v>0.10285929209014273</v>
      </c>
      <c r="AA68" s="704">
        <v>0.10283699281416242</v>
      </c>
      <c r="AB68" s="704">
        <v>0.10281821615323319</v>
      </c>
      <c r="AC68" s="704">
        <v>0.1027891884433314</v>
      </c>
      <c r="AD68" s="704">
        <v>0.10275931170092596</v>
      </c>
      <c r="AE68" s="704">
        <v>0.10272870840530905</v>
      </c>
      <c r="AF68" s="704">
        <v>0.1026970878880701</v>
      </c>
      <c r="AG68" s="704">
        <v>0.10266988151853729</v>
      </c>
      <c r="AH68" s="704">
        <v>0.10264179655202588</v>
      </c>
      <c r="AI68" s="704">
        <v>0.10261429629651683</v>
      </c>
      <c r="AJ68" s="704">
        <v>0.1025873626801698</v>
      </c>
      <c r="AK68" s="704">
        <v>0.10256097836828582</v>
      </c>
      <c r="AL68" s="704">
        <v>0.10253512672610222</v>
      </c>
      <c r="AM68" s="704">
        <v>0.10250979178381842</v>
      </c>
      <c r="AN68" s="704">
        <v>0.10248495820369788</v>
      </c>
      <c r="AO68" s="704">
        <v>0.10246061124910426</v>
      </c>
      <c r="AP68" s="704">
        <v>0.10243673675533989</v>
      </c>
      <c r="AQ68" s="704">
        <v>0.10241332110216589</v>
      </c>
      <c r="AR68" s="704">
        <v>0.10239035118789136</v>
      </c>
      <c r="AS68" s="704">
        <v>0.10236781440492851</v>
      </c>
      <c r="AT68" s="704">
        <v>0.10234569861671756</v>
      </c>
      <c r="AU68" s="704">
        <v>0.10232399213593288</v>
      </c>
    </row>
    <row r="69" spans="1:47">
      <c r="A69" s="91" t="s">
        <v>255</v>
      </c>
      <c r="B69" s="416">
        <v>0</v>
      </c>
      <c r="C69" s="416">
        <v>0</v>
      </c>
      <c r="D69" s="416">
        <v>0</v>
      </c>
      <c r="E69" s="416">
        <v>0</v>
      </c>
      <c r="F69" s="416">
        <v>0</v>
      </c>
      <c r="G69" s="416">
        <v>0</v>
      </c>
      <c r="H69" s="416">
        <v>0</v>
      </c>
      <c r="I69" s="417">
        <v>1.5809624776899372E-5</v>
      </c>
      <c r="J69" s="418">
        <v>1.8715093926938878E-5</v>
      </c>
      <c r="K69" s="417">
        <v>7.210500781061232E-5</v>
      </c>
      <c r="L69" s="561">
        <v>9.9714670213174158E-5</v>
      </c>
      <c r="M69" s="715">
        <v>3.9918766510800903E-5</v>
      </c>
      <c r="N69" s="704">
        <v>7.4284700847183222E-5</v>
      </c>
      <c r="O69" s="704">
        <v>8.3313498033244643E-5</v>
      </c>
      <c r="P69" s="704">
        <v>9.2342295219306064E-5</v>
      </c>
      <c r="Q69" s="704">
        <v>1.0137109240537096E-4</v>
      </c>
      <c r="R69" s="704">
        <v>1.1714399921345417E-3</v>
      </c>
      <c r="S69" s="704">
        <v>1.1889864681863724E-3</v>
      </c>
      <c r="T69" s="704">
        <v>1.8260256195076149E-3</v>
      </c>
      <c r="U69" s="704">
        <v>1.8488204439415057E-3</v>
      </c>
      <c r="V69" s="704">
        <v>1.870157543656952E-3</v>
      </c>
      <c r="W69" s="704">
        <v>2.9930113670626666E-3</v>
      </c>
      <c r="X69" s="704">
        <v>3.0087972739510946E-3</v>
      </c>
      <c r="Y69" s="704">
        <v>3.0194107091271881E-3</v>
      </c>
      <c r="Z69" s="704">
        <v>3.0148359656644577E-3</v>
      </c>
      <c r="AA69" s="704">
        <v>2.9925366896841588E-3</v>
      </c>
      <c r="AB69" s="704">
        <v>2.9737600287549422E-3</v>
      </c>
      <c r="AC69" s="704">
        <v>2.9447323188531386E-3</v>
      </c>
      <c r="AD69" s="704">
        <v>2.9148555764477147E-3</v>
      </c>
      <c r="AE69" s="704">
        <v>2.8842522808307982E-3</v>
      </c>
      <c r="AF69" s="704">
        <v>2.8526317635918421E-3</v>
      </c>
      <c r="AG69" s="704">
        <v>2.8254253940590318E-3</v>
      </c>
      <c r="AH69" s="704">
        <v>2.7973404275476147E-3</v>
      </c>
      <c r="AI69" s="704">
        <v>2.7698401720385856E-3</v>
      </c>
      <c r="AJ69" s="704">
        <v>2.7429065556915477E-3</v>
      </c>
      <c r="AK69" s="704">
        <v>2.7165222438075517E-3</v>
      </c>
      <c r="AL69" s="704">
        <v>2.6906706016239621E-3</v>
      </c>
      <c r="AM69" s="704">
        <v>2.6653356593401593E-3</v>
      </c>
      <c r="AN69" s="704">
        <v>2.6405020792196286E-3</v>
      </c>
      <c r="AO69" s="704">
        <v>2.6161551246259959E-3</v>
      </c>
      <c r="AP69" s="704">
        <v>2.5922806308616231E-3</v>
      </c>
      <c r="AQ69" s="704">
        <v>2.5688649776876215E-3</v>
      </c>
      <c r="AR69" s="704">
        <v>2.5458950634130984E-3</v>
      </c>
      <c r="AS69" s="704">
        <v>2.5233582804502479E-3</v>
      </c>
      <c r="AT69" s="704">
        <v>2.5012424922392878E-3</v>
      </c>
      <c r="AU69" s="704">
        <v>2.479536011454622E-3</v>
      </c>
    </row>
    <row r="70" spans="1:47">
      <c r="A70" s="91" t="s">
        <v>374</v>
      </c>
      <c r="B70" s="416">
        <v>9.592633848641679E-4</v>
      </c>
      <c r="C70" s="416">
        <v>6.6179805189737096E-4</v>
      </c>
      <c r="D70" s="416">
        <v>5.5542676186193815E-4</v>
      </c>
      <c r="E70" s="416">
        <v>2.5830910345953057E-4</v>
      </c>
      <c r="F70" s="416">
        <v>1.8068367152797814E-4</v>
      </c>
      <c r="G70" s="416">
        <v>2.1218061970037027E-4</v>
      </c>
      <c r="H70" s="416">
        <v>5.4013262840766469E-4</v>
      </c>
      <c r="I70" s="417">
        <v>9.2300684908240842E-4</v>
      </c>
      <c r="J70" s="418">
        <v>6.6516882400011385E-4</v>
      </c>
      <c r="K70" s="417">
        <v>1.1378056921532269E-3</v>
      </c>
      <c r="L70" s="561">
        <v>1.5073479589894747E-3</v>
      </c>
      <c r="M70" s="715">
        <v>1.6943692538730867E-3</v>
      </c>
      <c r="N70" s="704">
        <v>1.6181499147558953E-3</v>
      </c>
      <c r="O70" s="704">
        <v>1.7728238744741387E-3</v>
      </c>
      <c r="P70" s="704">
        <v>1.9274978341923821E-3</v>
      </c>
      <c r="Q70" s="704">
        <v>2.0821717939106255E-3</v>
      </c>
      <c r="R70" s="704">
        <v>2.2368457536288688E-3</v>
      </c>
      <c r="S70" s="704">
        <v>2.3915197133471122E-3</v>
      </c>
      <c r="T70" s="704">
        <v>2.5461936730653556E-3</v>
      </c>
      <c r="U70" s="704">
        <v>2.700867632783599E-3</v>
      </c>
      <c r="V70" s="704">
        <v>2.8555415925018424E-3</v>
      </c>
      <c r="W70" s="704">
        <v>3.0102155522200857E-3</v>
      </c>
      <c r="X70" s="704">
        <v>3.0102155522200857E-3</v>
      </c>
      <c r="Y70" s="704">
        <v>3.0102155522200857E-3</v>
      </c>
      <c r="Z70" s="704">
        <v>3.0102155522200857E-3</v>
      </c>
      <c r="AA70" s="704">
        <v>3.0102155522200857E-3</v>
      </c>
      <c r="AB70" s="704">
        <v>3.0102155522200857E-3</v>
      </c>
      <c r="AC70" s="704">
        <v>3.0102155522200857E-3</v>
      </c>
      <c r="AD70" s="704">
        <v>3.0102155522200857E-3</v>
      </c>
      <c r="AE70" s="704">
        <v>3.0102155522200857E-3</v>
      </c>
      <c r="AF70" s="704">
        <v>3.0102155522200857E-3</v>
      </c>
      <c r="AG70" s="704">
        <v>3.0102155522200857E-3</v>
      </c>
      <c r="AH70" s="704">
        <v>3.0102155522200857E-3</v>
      </c>
      <c r="AI70" s="704">
        <v>3.0102155522200857E-3</v>
      </c>
      <c r="AJ70" s="704">
        <v>3.0102155522200853E-3</v>
      </c>
      <c r="AK70" s="704">
        <v>3.0102155522200853E-3</v>
      </c>
      <c r="AL70" s="704">
        <v>3.0102155522200862E-3</v>
      </c>
      <c r="AM70" s="704">
        <v>3.0102155522200857E-3</v>
      </c>
      <c r="AN70" s="704">
        <v>3.0102155522200857E-3</v>
      </c>
      <c r="AO70" s="704">
        <v>3.0102155522200853E-3</v>
      </c>
      <c r="AP70" s="704">
        <v>3.0102155522200853E-3</v>
      </c>
      <c r="AQ70" s="704">
        <v>3.0102155522200857E-3</v>
      </c>
      <c r="AR70" s="704">
        <v>3.0102155522200862E-3</v>
      </c>
      <c r="AS70" s="704">
        <v>3.0102155522200857E-3</v>
      </c>
      <c r="AT70" s="704">
        <v>3.0102155522200857E-3</v>
      </c>
      <c r="AU70" s="704">
        <v>3.0102155522200857E-3</v>
      </c>
    </row>
    <row r="71" spans="1:47">
      <c r="A71" s="91" t="s">
        <v>373</v>
      </c>
      <c r="B71" s="416">
        <v>1.7988273821387636E-3</v>
      </c>
      <c r="C71" s="416">
        <v>3.7971039237130817E-3</v>
      </c>
      <c r="D71" s="416">
        <v>3.2678155152453532E-3</v>
      </c>
      <c r="E71" s="416">
        <v>3.1014176230452087E-3</v>
      </c>
      <c r="F71" s="416">
        <v>3.3325198104813079E-3</v>
      </c>
      <c r="G71" s="416">
        <v>3.757657773227268E-3</v>
      </c>
      <c r="H71" s="416">
        <v>3.6984032984225131E-3</v>
      </c>
      <c r="I71" s="417">
        <v>3.343485915486194E-3</v>
      </c>
      <c r="J71" s="418">
        <v>2.4301587792292067E-3</v>
      </c>
      <c r="K71" s="417">
        <v>2.2222026885845405E-3</v>
      </c>
      <c r="L71" s="561">
        <v>1.2535607064825711E-3</v>
      </c>
      <c r="M71" s="715">
        <v>1.2658171108505154E-3</v>
      </c>
      <c r="N71" s="704">
        <v>2.7842448602387157E-3</v>
      </c>
      <c r="O71" s="704">
        <v>2.7842448602387157E-3</v>
      </c>
      <c r="P71" s="704">
        <v>2.7842448602387157E-3</v>
      </c>
      <c r="Q71" s="704">
        <v>2.7842448602387157E-3</v>
      </c>
      <c r="R71" s="704">
        <v>2.7842448602387157E-3</v>
      </c>
      <c r="S71" s="704">
        <v>2.7842448602387157E-3</v>
      </c>
      <c r="T71" s="704">
        <v>2.7842448602387157E-3</v>
      </c>
      <c r="U71" s="704">
        <v>2.7842448602387157E-3</v>
      </c>
      <c r="V71" s="704">
        <v>2.7842448602387157E-3</v>
      </c>
      <c r="W71" s="704">
        <v>2.7842448602387157E-3</v>
      </c>
      <c r="X71" s="704">
        <v>2.7842448602387157E-3</v>
      </c>
      <c r="Y71" s="704">
        <v>2.7842448602387157E-3</v>
      </c>
      <c r="Z71" s="704">
        <v>2.7842448602387157E-3</v>
      </c>
      <c r="AA71" s="704">
        <v>2.7842448602387157E-3</v>
      </c>
      <c r="AB71" s="704">
        <v>2.7842448602387157E-3</v>
      </c>
      <c r="AC71" s="704">
        <v>2.7842448602387157E-3</v>
      </c>
      <c r="AD71" s="704">
        <v>2.7842448602387157E-3</v>
      </c>
      <c r="AE71" s="704">
        <v>2.7842448602387157E-3</v>
      </c>
      <c r="AF71" s="704">
        <v>2.7842448602387157E-3</v>
      </c>
      <c r="AG71" s="704">
        <v>2.7842448602387157E-3</v>
      </c>
      <c r="AH71" s="704">
        <v>2.7842448602387157E-3</v>
      </c>
      <c r="AI71" s="704">
        <v>2.7842448602387157E-3</v>
      </c>
      <c r="AJ71" s="704">
        <v>2.7842448602387157E-3</v>
      </c>
      <c r="AK71" s="704">
        <v>2.7842448602387157E-3</v>
      </c>
      <c r="AL71" s="704">
        <v>2.7842448602387157E-3</v>
      </c>
      <c r="AM71" s="704">
        <v>2.7842448602387162E-3</v>
      </c>
      <c r="AN71" s="704">
        <v>2.7842448602387162E-3</v>
      </c>
      <c r="AO71" s="704">
        <v>2.7842448602387157E-3</v>
      </c>
      <c r="AP71" s="704">
        <v>2.7842448602387157E-3</v>
      </c>
      <c r="AQ71" s="704">
        <v>2.7842448602387157E-3</v>
      </c>
      <c r="AR71" s="704">
        <v>2.7842448602387157E-3</v>
      </c>
      <c r="AS71" s="704">
        <v>2.7842448602387157E-3</v>
      </c>
      <c r="AT71" s="704">
        <v>2.7842448602387157E-3</v>
      </c>
      <c r="AU71" s="704">
        <v>2.7842448602387157E-3</v>
      </c>
    </row>
    <row r="72" spans="1:47">
      <c r="A72" s="91" t="s">
        <v>375</v>
      </c>
      <c r="B72" s="416">
        <v>3.7126472073078284E-4</v>
      </c>
      <c r="C72" s="416">
        <v>1.2425532829452244E-4</v>
      </c>
      <c r="D72" s="416">
        <v>1.4636471939059393E-4</v>
      </c>
      <c r="E72" s="416">
        <v>2.173656326206033E-4</v>
      </c>
      <c r="F72" s="416">
        <v>3.2235988416141805E-4</v>
      </c>
      <c r="G72" s="416">
        <v>3.219222937879827E-4</v>
      </c>
      <c r="H72" s="416">
        <v>2.9972500167656517E-4</v>
      </c>
      <c r="I72" s="417">
        <v>4.0152243004053923E-4</v>
      </c>
      <c r="J72" s="418">
        <v>4.3286730997310711E-4</v>
      </c>
      <c r="K72" s="417">
        <v>6.5332497557503129E-4</v>
      </c>
      <c r="L72" s="561">
        <v>5.6699344327640919E-4</v>
      </c>
      <c r="M72" s="715">
        <v>5.4995504879317369E-4</v>
      </c>
      <c r="N72" s="704">
        <v>6.6354559303624661E-4</v>
      </c>
      <c r="O72" s="704">
        <v>7.1305568741927838E-4</v>
      </c>
      <c r="P72" s="704">
        <v>7.6256578180232404E-4</v>
      </c>
      <c r="Q72" s="704">
        <v>8.1207587618535582E-4</v>
      </c>
      <c r="R72" s="704">
        <v>8.6158597056840147E-4</v>
      </c>
      <c r="S72" s="704">
        <v>9.1109606495143325E-4</v>
      </c>
      <c r="T72" s="704">
        <v>9.606061593344789E-4</v>
      </c>
      <c r="U72" s="704">
        <v>1.0101162537175107E-3</v>
      </c>
      <c r="V72" s="704">
        <v>1.0596263481005563E-3</v>
      </c>
      <c r="W72" s="704">
        <v>1.1091364424835881E-3</v>
      </c>
      <c r="X72" s="704">
        <v>1.1091364424835881E-3</v>
      </c>
      <c r="Y72" s="704">
        <v>1.1091364424835881E-3</v>
      </c>
      <c r="Z72" s="704">
        <v>1.1091364424835881E-3</v>
      </c>
      <c r="AA72" s="704">
        <v>1.1091364424835881E-3</v>
      </c>
      <c r="AB72" s="704">
        <v>1.1091364424835881E-3</v>
      </c>
      <c r="AC72" s="704">
        <v>1.1091364424835881E-3</v>
      </c>
      <c r="AD72" s="704">
        <v>1.1091364424835881E-3</v>
      </c>
      <c r="AE72" s="704">
        <v>1.1091364424835881E-3</v>
      </c>
      <c r="AF72" s="704">
        <v>1.1091364424835881E-3</v>
      </c>
      <c r="AG72" s="704">
        <v>1.1091364424835881E-3</v>
      </c>
      <c r="AH72" s="704">
        <v>1.1091364424835881E-3</v>
      </c>
      <c r="AI72" s="704">
        <v>1.1091364424835881E-3</v>
      </c>
      <c r="AJ72" s="704">
        <v>1.1091364424835881E-3</v>
      </c>
      <c r="AK72" s="704">
        <v>1.1091364424835881E-3</v>
      </c>
      <c r="AL72" s="704">
        <v>1.1091364424835881E-3</v>
      </c>
      <c r="AM72" s="704">
        <v>1.1091364424835881E-3</v>
      </c>
      <c r="AN72" s="704">
        <v>1.1091364424835881E-3</v>
      </c>
      <c r="AO72" s="704">
        <v>1.1091364424835881E-3</v>
      </c>
      <c r="AP72" s="704">
        <v>1.1091364424835881E-3</v>
      </c>
      <c r="AQ72" s="704">
        <v>1.1091364424835881E-3</v>
      </c>
      <c r="AR72" s="704">
        <v>1.1091364424835881E-3</v>
      </c>
      <c r="AS72" s="704">
        <v>1.1091364424835881E-3</v>
      </c>
      <c r="AT72" s="704">
        <v>1.1091364424835881E-3</v>
      </c>
      <c r="AU72" s="704">
        <v>1.1091364424835881E-3</v>
      </c>
    </row>
    <row r="73" spans="1:47" ht="14.1" customHeight="1">
      <c r="B73" s="414"/>
      <c r="C73" s="414"/>
      <c r="D73" s="414"/>
      <c r="E73" s="414"/>
      <c r="F73" s="414"/>
      <c r="G73" s="414"/>
      <c r="H73" s="414"/>
      <c r="I73" s="412"/>
      <c r="J73" s="413"/>
      <c r="K73" s="412"/>
      <c r="L73" s="538"/>
      <c r="M73" s="449"/>
      <c r="N73" s="537"/>
      <c r="O73" s="537"/>
      <c r="P73" s="537"/>
      <c r="Q73" s="668">
        <f>SUM(Q60:Q72)</f>
        <v>1</v>
      </c>
      <c r="R73" s="537"/>
      <c r="S73" s="537"/>
      <c r="T73" s="537"/>
      <c r="U73" s="537"/>
      <c r="V73" s="537"/>
      <c r="W73" s="537"/>
      <c r="X73" s="537"/>
      <c r="Y73" s="537"/>
      <c r="Z73" s="537"/>
      <c r="AA73" s="668">
        <f>SUM(AA60:AA72)</f>
        <v>1.0000000000000004</v>
      </c>
      <c r="AB73" s="537"/>
      <c r="AC73" s="537"/>
      <c r="AD73" s="537"/>
      <c r="AE73" s="537"/>
      <c r="AF73" s="537"/>
      <c r="AG73" s="320"/>
      <c r="AH73" s="320"/>
      <c r="AI73" s="320"/>
      <c r="AJ73" s="320"/>
      <c r="AK73" s="61">
        <f>SUM(AK60:AK72)</f>
        <v>1.0000000000000004</v>
      </c>
      <c r="AU73" s="61">
        <f>SUM(AU60:AU72)</f>
        <v>1.0000000000000007</v>
      </c>
    </row>
    <row r="74" spans="1:47" ht="14.25">
      <c r="A74" s="57" t="s">
        <v>499</v>
      </c>
      <c r="B74" s="414"/>
      <c r="C74" s="414"/>
      <c r="D74" s="414"/>
      <c r="E74" s="414"/>
      <c r="F74" s="414"/>
      <c r="G74" s="414"/>
      <c r="H74" s="414"/>
      <c r="I74" s="415"/>
      <c r="J74" s="413"/>
      <c r="K74" s="415"/>
      <c r="L74" s="278"/>
      <c r="M74" s="376"/>
      <c r="N74" s="320"/>
      <c r="O74" s="320"/>
      <c r="P74" s="320"/>
      <c r="Q74" s="320"/>
      <c r="R74" s="320"/>
      <c r="S74" s="320"/>
      <c r="T74" s="320"/>
      <c r="U74" s="320"/>
      <c r="V74" s="320"/>
      <c r="W74" s="320"/>
      <c r="X74" s="320"/>
      <c r="Y74" s="320"/>
      <c r="Z74" s="320"/>
      <c r="AA74" s="320"/>
      <c r="AB74" s="320"/>
      <c r="AC74" s="320"/>
      <c r="AD74" s="320"/>
      <c r="AE74" s="320"/>
      <c r="AF74" s="320"/>
      <c r="AG74" s="320"/>
      <c r="AH74" s="320"/>
      <c r="AI74" s="320"/>
      <c r="AJ74" s="320"/>
      <c r="AK74" s="320"/>
    </row>
    <row r="75" spans="1:47">
      <c r="A75" s="77" t="s">
        <v>492</v>
      </c>
      <c r="B75" s="419">
        <v>0.5</v>
      </c>
      <c r="C75" s="419">
        <v>0.5</v>
      </c>
      <c r="D75" s="419">
        <v>0.5</v>
      </c>
      <c r="E75" s="419">
        <v>0.3</v>
      </c>
      <c r="F75" s="419">
        <v>0.3</v>
      </c>
      <c r="G75" s="419">
        <v>0.3</v>
      </c>
      <c r="H75" s="419">
        <v>0.3</v>
      </c>
      <c r="I75" s="412">
        <v>0.34</v>
      </c>
      <c r="J75" s="413">
        <v>0.34371834859623779</v>
      </c>
      <c r="K75" s="412">
        <v>0.3478287726829033</v>
      </c>
      <c r="L75" s="538">
        <v>0.3527122461311783</v>
      </c>
      <c r="M75" s="449">
        <v>0.35736804778010989</v>
      </c>
      <c r="N75" s="537">
        <v>0.36194235879169528</v>
      </c>
      <c r="O75" s="537">
        <v>0.36624947286131643</v>
      </c>
      <c r="P75" s="537">
        <v>0.37038809190464933</v>
      </c>
      <c r="Q75" s="537">
        <v>0.37438828329721957</v>
      </c>
      <c r="R75" s="537">
        <v>0.37828192144351058</v>
      </c>
      <c r="S75" s="537">
        <v>0.38221605342652304</v>
      </c>
      <c r="T75" s="537">
        <v>0.38615287877681626</v>
      </c>
      <c r="U75" s="537">
        <v>0.39009163814033976</v>
      </c>
      <c r="V75" s="537">
        <v>0.3939925545217432</v>
      </c>
      <c r="W75" s="537">
        <v>0.39785368155605638</v>
      </c>
      <c r="X75" s="537">
        <v>0.40171286226715003</v>
      </c>
      <c r="Y75" s="537">
        <v>0.40552913445868799</v>
      </c>
      <c r="Z75" s="537">
        <v>0.40930055540915383</v>
      </c>
      <c r="AA75" s="537">
        <v>0.41306612051891806</v>
      </c>
      <c r="AB75" s="537">
        <v>0.41674240899153642</v>
      </c>
      <c r="AC75" s="537">
        <v>0.42036806794976284</v>
      </c>
      <c r="AD75" s="537">
        <v>0.42394119652733575</v>
      </c>
      <c r="AE75" s="537">
        <v>0.42745990845851262</v>
      </c>
      <c r="AF75" s="537">
        <v>0.4309223337170266</v>
      </c>
      <c r="AG75" s="537">
        <v>0.43432662015339113</v>
      </c>
      <c r="AH75" s="537">
        <v>0.4376709351285723</v>
      </c>
      <c r="AI75" s="537">
        <v>0.44099723423554954</v>
      </c>
      <c r="AJ75" s="537">
        <v>0.44430471349231621</v>
      </c>
      <c r="AK75" s="537">
        <v>0.44754813790081011</v>
      </c>
      <c r="AL75" s="537">
        <v>0.44754813790081011</v>
      </c>
      <c r="AM75" s="537">
        <v>0.44754813790081011</v>
      </c>
      <c r="AN75" s="537">
        <v>0.44754813790081011</v>
      </c>
      <c r="AO75" s="537">
        <v>0.44754813790081011</v>
      </c>
      <c r="AP75" s="537">
        <v>0.44754813790081011</v>
      </c>
      <c r="AQ75" s="537">
        <v>0.44754813790081011</v>
      </c>
      <c r="AR75" s="537">
        <v>0.44754813790081011</v>
      </c>
      <c r="AS75" s="537">
        <v>0.44754813790081011</v>
      </c>
      <c r="AT75" s="537">
        <v>0.44754813790081011</v>
      </c>
      <c r="AU75" s="537">
        <v>0.44754813790081011</v>
      </c>
    </row>
    <row r="76" spans="1:47">
      <c r="A76" s="77" t="s">
        <v>493</v>
      </c>
      <c r="B76" s="419">
        <v>1</v>
      </c>
      <c r="C76" s="419">
        <v>2.1</v>
      </c>
      <c r="D76" s="419">
        <v>0.8</v>
      </c>
      <c r="E76" s="419">
        <v>0.9</v>
      </c>
      <c r="F76" s="419">
        <v>0.5</v>
      </c>
      <c r="G76" s="419">
        <v>0.5</v>
      </c>
      <c r="H76" s="419">
        <v>0.5</v>
      </c>
      <c r="I76" s="412">
        <v>0.64</v>
      </c>
      <c r="J76" s="413">
        <v>0.64699924441644752</v>
      </c>
      <c r="K76" s="412">
        <v>0.654736513285465</v>
      </c>
      <c r="L76" s="538">
        <v>0.66392893389398266</v>
      </c>
      <c r="M76" s="449">
        <v>0.6726927958213833</v>
      </c>
      <c r="N76" s="537">
        <v>0.68130326360789695</v>
      </c>
      <c r="O76" s="537">
        <v>0.68941077244483084</v>
      </c>
      <c r="P76" s="537">
        <v>0.69720111417345754</v>
      </c>
      <c r="Q76" s="537">
        <v>0.7047308862065309</v>
      </c>
      <c r="R76" s="537">
        <v>0.71206008742307869</v>
      </c>
      <c r="S76" s="537">
        <v>0.71946551233227862</v>
      </c>
      <c r="T76" s="537">
        <v>0.72687600710930111</v>
      </c>
      <c r="U76" s="537">
        <v>0.734290142381816</v>
      </c>
      <c r="V76" s="537">
        <v>0.74163304380563422</v>
      </c>
      <c r="W76" s="537">
        <v>0.7489010476349296</v>
      </c>
      <c r="X76" s="537">
        <v>0.75616538779698828</v>
      </c>
      <c r="Y76" s="537">
        <v>0.7633489589810597</v>
      </c>
      <c r="Z76" s="537">
        <v>0.77044810429958366</v>
      </c>
      <c r="AA76" s="537">
        <v>0.77753622685913981</v>
      </c>
      <c r="AB76" s="537">
        <v>0.78445629927818616</v>
      </c>
      <c r="AC76" s="537">
        <v>0.79128106908190643</v>
      </c>
      <c r="AD76" s="537">
        <v>0.7980069581691025</v>
      </c>
      <c r="AE76" s="537">
        <v>0.80463041592190609</v>
      </c>
      <c r="AF76" s="537">
        <v>0.81114792229087362</v>
      </c>
      <c r="AG76" s="537">
        <v>0.81755599087697151</v>
      </c>
      <c r="AH76" s="537">
        <v>0.82385117200672431</v>
      </c>
      <c r="AI76" s="537">
        <v>0.83011244091397562</v>
      </c>
      <c r="AJ76" s="537">
        <v>0.83633828422083045</v>
      </c>
      <c r="AK76" s="537">
        <v>0.8424435536956425</v>
      </c>
      <c r="AL76" s="537">
        <v>0.8424435536956425</v>
      </c>
      <c r="AM76" s="537">
        <v>0.8424435536956425</v>
      </c>
      <c r="AN76" s="537">
        <v>0.8424435536956425</v>
      </c>
      <c r="AO76" s="537">
        <v>0.8424435536956425</v>
      </c>
      <c r="AP76" s="537">
        <v>0.8424435536956425</v>
      </c>
      <c r="AQ76" s="537">
        <v>0.8424435536956425</v>
      </c>
      <c r="AR76" s="537">
        <v>0.8424435536956425</v>
      </c>
      <c r="AS76" s="537">
        <v>0.8424435536956425</v>
      </c>
      <c r="AT76" s="537">
        <v>0.8424435536956425</v>
      </c>
      <c r="AU76" s="537">
        <v>0.8424435536956425</v>
      </c>
    </row>
    <row r="77" spans="1:47">
      <c r="A77" s="77" t="s">
        <v>494</v>
      </c>
      <c r="B77" s="419">
        <v>0</v>
      </c>
      <c r="C77" s="419">
        <v>0</v>
      </c>
      <c r="D77" s="419">
        <v>0</v>
      </c>
      <c r="E77" s="419">
        <v>0</v>
      </c>
      <c r="F77" s="419">
        <v>0</v>
      </c>
      <c r="G77" s="419">
        <v>0</v>
      </c>
      <c r="H77" s="419">
        <v>0</v>
      </c>
      <c r="I77" s="412">
        <v>0</v>
      </c>
      <c r="J77" s="413">
        <v>0</v>
      </c>
      <c r="K77" s="412">
        <v>0</v>
      </c>
      <c r="L77" s="538">
        <v>0</v>
      </c>
      <c r="M77" s="449">
        <v>0</v>
      </c>
      <c r="N77" s="537">
        <v>0</v>
      </c>
      <c r="O77" s="537">
        <v>0</v>
      </c>
      <c r="P77" s="537">
        <v>0</v>
      </c>
      <c r="Q77" s="537">
        <v>0</v>
      </c>
      <c r="R77" s="537">
        <v>0</v>
      </c>
      <c r="S77" s="537">
        <v>0</v>
      </c>
      <c r="T77" s="537">
        <v>0</v>
      </c>
      <c r="U77" s="537">
        <v>0</v>
      </c>
      <c r="V77" s="537">
        <v>0</v>
      </c>
      <c r="W77" s="537">
        <v>0</v>
      </c>
      <c r="X77" s="537">
        <v>0</v>
      </c>
      <c r="Y77" s="537">
        <v>0</v>
      </c>
      <c r="Z77" s="537">
        <v>0</v>
      </c>
      <c r="AA77" s="537">
        <v>0</v>
      </c>
      <c r="AB77" s="537">
        <v>0</v>
      </c>
      <c r="AC77" s="537">
        <v>0</v>
      </c>
      <c r="AD77" s="537">
        <v>0</v>
      </c>
      <c r="AE77" s="537">
        <v>0</v>
      </c>
      <c r="AF77" s="537">
        <v>0</v>
      </c>
      <c r="AG77" s="537">
        <v>0</v>
      </c>
      <c r="AH77" s="537">
        <v>0</v>
      </c>
      <c r="AI77" s="537">
        <v>0</v>
      </c>
      <c r="AJ77" s="537">
        <v>0</v>
      </c>
      <c r="AK77" s="537">
        <v>0</v>
      </c>
      <c r="AL77" s="537">
        <v>0</v>
      </c>
      <c r="AM77" s="537">
        <v>0</v>
      </c>
      <c r="AN77" s="537">
        <v>0</v>
      </c>
      <c r="AO77" s="537">
        <v>0</v>
      </c>
      <c r="AP77" s="537">
        <v>0</v>
      </c>
      <c r="AQ77" s="537">
        <v>0</v>
      </c>
      <c r="AR77" s="537">
        <v>0</v>
      </c>
      <c r="AS77" s="537">
        <v>0</v>
      </c>
      <c r="AT77" s="537">
        <v>0</v>
      </c>
      <c r="AU77" s="537">
        <v>0</v>
      </c>
    </row>
    <row r="78" spans="1:47">
      <c r="A78" s="77" t="s">
        <v>495</v>
      </c>
      <c r="B78" s="419">
        <v>0.1</v>
      </c>
      <c r="C78" s="419">
        <v>0.1</v>
      </c>
      <c r="D78" s="419">
        <v>0.1</v>
      </c>
      <c r="E78" s="419">
        <v>0.1</v>
      </c>
      <c r="F78" s="419">
        <v>0.1</v>
      </c>
      <c r="G78" s="419">
        <v>0.1</v>
      </c>
      <c r="H78" s="419">
        <v>0.1</v>
      </c>
      <c r="I78" s="412">
        <v>0.1</v>
      </c>
      <c r="J78" s="413">
        <v>0.10109363194006993</v>
      </c>
      <c r="K78" s="412">
        <v>0.10230258020085391</v>
      </c>
      <c r="L78" s="538">
        <v>0.1037388959209348</v>
      </c>
      <c r="M78" s="449">
        <v>0.10510824934709113</v>
      </c>
      <c r="N78" s="537">
        <v>0.1064536349387339</v>
      </c>
      <c r="O78" s="537">
        <v>0.10772043319450482</v>
      </c>
      <c r="P78" s="537">
        <v>0.10893767408960274</v>
      </c>
      <c r="Q78" s="537">
        <v>0.11011420096977045</v>
      </c>
      <c r="R78" s="537">
        <v>0.11125938865985606</v>
      </c>
      <c r="S78" s="537">
        <v>0.11241648630191854</v>
      </c>
      <c r="T78" s="537">
        <v>0.11357437611082831</v>
      </c>
      <c r="U78" s="537">
        <v>0.11473283474715874</v>
      </c>
      <c r="V78" s="537">
        <v>0.11588016309463034</v>
      </c>
      <c r="W78" s="537">
        <v>0.11701578869295776</v>
      </c>
      <c r="X78" s="537">
        <v>0.11815084184327942</v>
      </c>
      <c r="Y78" s="537">
        <v>0.11927327484079059</v>
      </c>
      <c r="Z78" s="537">
        <v>0.12038251629680995</v>
      </c>
      <c r="AA78" s="537">
        <v>0.1214900354467406</v>
      </c>
      <c r="AB78" s="537">
        <v>0.12257129676221659</v>
      </c>
      <c r="AC78" s="537">
        <v>0.12363766704404788</v>
      </c>
      <c r="AD78" s="537">
        <v>0.12468858721392227</v>
      </c>
      <c r="AE78" s="537">
        <v>0.12572350248779782</v>
      </c>
      <c r="AF78" s="537">
        <v>0.126741862857949</v>
      </c>
      <c r="AG78" s="537">
        <v>0.1277431235745268</v>
      </c>
      <c r="AH78" s="537">
        <v>0.12872674562605066</v>
      </c>
      <c r="AI78" s="537">
        <v>0.12970506889280869</v>
      </c>
      <c r="AJ78" s="537">
        <v>0.13067785690950476</v>
      </c>
      <c r="AK78" s="537">
        <v>0.13163180526494414</v>
      </c>
      <c r="AL78" s="537">
        <v>0.13163180526494414</v>
      </c>
      <c r="AM78" s="537">
        <v>0.13163180526494414</v>
      </c>
      <c r="AN78" s="537">
        <v>0.13163180526494414</v>
      </c>
      <c r="AO78" s="537">
        <v>0.13163180526494414</v>
      </c>
      <c r="AP78" s="537">
        <v>0.13163180526494414</v>
      </c>
      <c r="AQ78" s="537">
        <v>0.13163180526494414</v>
      </c>
      <c r="AR78" s="537">
        <v>0.13163180526494414</v>
      </c>
      <c r="AS78" s="537">
        <v>0.13163180526494414</v>
      </c>
      <c r="AT78" s="537">
        <v>0.13163180526494414</v>
      </c>
      <c r="AU78" s="537">
        <v>0.13163180526494414</v>
      </c>
    </row>
    <row r="79" spans="1:47">
      <c r="A79" s="77" t="s">
        <v>496</v>
      </c>
      <c r="B79" s="419">
        <v>2.1</v>
      </c>
      <c r="C79" s="419">
        <v>2.2000000000000002</v>
      </c>
      <c r="D79" s="419">
        <v>2.2000000000000002</v>
      </c>
      <c r="E79" s="419">
        <v>2.2000000000000002</v>
      </c>
      <c r="F79" s="419">
        <v>2.2999999999999998</v>
      </c>
      <c r="G79" s="419">
        <v>2.5</v>
      </c>
      <c r="H79" s="419">
        <v>2.6</v>
      </c>
      <c r="I79" s="412">
        <v>2.36</v>
      </c>
      <c r="J79" s="413">
        <v>2.3858097137856502</v>
      </c>
      <c r="K79" s="412">
        <v>2.4143408927401517</v>
      </c>
      <c r="L79" s="538">
        <v>2.4482379437340609</v>
      </c>
      <c r="M79" s="449">
        <v>2.4805546845913504</v>
      </c>
      <c r="N79" s="537">
        <v>2.5123057845541199</v>
      </c>
      <c r="O79" s="537">
        <v>2.5422022233903134</v>
      </c>
      <c r="P79" s="537">
        <v>2.5709291085146244</v>
      </c>
      <c r="Q79" s="537">
        <v>2.5986951428865823</v>
      </c>
      <c r="R79" s="537">
        <v>2.6257215723726026</v>
      </c>
      <c r="S79" s="537">
        <v>2.6530290767252773</v>
      </c>
      <c r="T79" s="537">
        <v>2.6803552762155478</v>
      </c>
      <c r="U79" s="537">
        <v>2.707694900032946</v>
      </c>
      <c r="V79" s="537">
        <v>2.734771849033276</v>
      </c>
      <c r="W79" s="537">
        <v>2.7615726131538025</v>
      </c>
      <c r="X79" s="537">
        <v>2.7883598675013941</v>
      </c>
      <c r="Y79" s="537">
        <v>2.8148492862426573</v>
      </c>
      <c r="Z79" s="537">
        <v>2.8410273846047143</v>
      </c>
      <c r="AA79" s="537">
        <v>2.8671648365430777</v>
      </c>
      <c r="AB79" s="537">
        <v>2.8926826035883111</v>
      </c>
      <c r="AC79" s="537">
        <v>2.9178489422395297</v>
      </c>
      <c r="AD79" s="537">
        <v>2.9426506582485654</v>
      </c>
      <c r="AE79" s="537">
        <v>2.9670746587120282</v>
      </c>
      <c r="AF79" s="537">
        <v>2.9911079634475963</v>
      </c>
      <c r="AG79" s="537">
        <v>3.014737716358832</v>
      </c>
      <c r="AH79" s="537">
        <v>3.0379511967747956</v>
      </c>
      <c r="AI79" s="537">
        <v>3.0610396258702846</v>
      </c>
      <c r="AJ79" s="537">
        <v>3.0839974230643121</v>
      </c>
      <c r="AK79" s="537">
        <v>3.1065106042526813</v>
      </c>
      <c r="AL79" s="537">
        <v>3.1065106042526813</v>
      </c>
      <c r="AM79" s="537">
        <v>3.1065106042526813</v>
      </c>
      <c r="AN79" s="537">
        <v>3.1065106042526813</v>
      </c>
      <c r="AO79" s="537">
        <v>3.1065106042526813</v>
      </c>
      <c r="AP79" s="537">
        <v>3.1065106042526813</v>
      </c>
      <c r="AQ79" s="537">
        <v>3.1065106042526813</v>
      </c>
      <c r="AR79" s="537">
        <v>3.1065106042526813</v>
      </c>
      <c r="AS79" s="537">
        <v>3.1065106042526813</v>
      </c>
      <c r="AT79" s="537">
        <v>3.1065106042526813</v>
      </c>
      <c r="AU79" s="537">
        <v>3.1065106042526813</v>
      </c>
    </row>
    <row r="80" spans="1:47">
      <c r="A80" s="77" t="s">
        <v>497</v>
      </c>
      <c r="B80" s="419">
        <v>0.1</v>
      </c>
      <c r="C80" s="419">
        <v>0.1</v>
      </c>
      <c r="D80" s="419">
        <v>0.1</v>
      </c>
      <c r="E80" s="419">
        <v>0.1</v>
      </c>
      <c r="F80" s="419">
        <v>0.1</v>
      </c>
      <c r="G80" s="419">
        <v>0.1</v>
      </c>
      <c r="H80" s="419">
        <v>0.1</v>
      </c>
      <c r="I80" s="412">
        <v>0.1</v>
      </c>
      <c r="J80" s="413">
        <v>0.10109363194006993</v>
      </c>
      <c r="K80" s="412">
        <v>0.10230258020085391</v>
      </c>
      <c r="L80" s="538">
        <v>0.1037388959209348</v>
      </c>
      <c r="M80" s="449">
        <v>0.10510824934709113</v>
      </c>
      <c r="N80" s="537">
        <v>0.1064536349387339</v>
      </c>
      <c r="O80" s="537">
        <v>0.10772043319450482</v>
      </c>
      <c r="P80" s="537">
        <v>0.10893767408960274</v>
      </c>
      <c r="Q80" s="537">
        <v>0.11011420096977045</v>
      </c>
      <c r="R80" s="537">
        <v>0.11125938865985606</v>
      </c>
      <c r="S80" s="537">
        <v>0.11241648630191854</v>
      </c>
      <c r="T80" s="537">
        <v>0.11357437611082831</v>
      </c>
      <c r="U80" s="537">
        <v>0.11473283474715874</v>
      </c>
      <c r="V80" s="537">
        <v>0.11588016309463034</v>
      </c>
      <c r="W80" s="537">
        <v>0.11701578869295776</v>
      </c>
      <c r="X80" s="537">
        <v>0.11815084184327942</v>
      </c>
      <c r="Y80" s="537">
        <v>0.11927327484079059</v>
      </c>
      <c r="Z80" s="537">
        <v>0.12038251629680995</v>
      </c>
      <c r="AA80" s="537">
        <v>0.1214900354467406</v>
      </c>
      <c r="AB80" s="537">
        <v>0.12257129676221659</v>
      </c>
      <c r="AC80" s="537">
        <v>0.12363766704404788</v>
      </c>
      <c r="AD80" s="537">
        <v>0.12468858721392227</v>
      </c>
      <c r="AE80" s="537">
        <v>0.12572350248779782</v>
      </c>
      <c r="AF80" s="537">
        <v>0.126741862857949</v>
      </c>
      <c r="AG80" s="537">
        <v>0.1277431235745268</v>
      </c>
      <c r="AH80" s="537">
        <v>0.12872674562605066</v>
      </c>
      <c r="AI80" s="537">
        <v>0.12970506889280869</v>
      </c>
      <c r="AJ80" s="537">
        <v>0.13067785690950476</v>
      </c>
      <c r="AK80" s="537">
        <v>0.13163180526494414</v>
      </c>
      <c r="AL80" s="537">
        <v>0.13163180526494414</v>
      </c>
      <c r="AM80" s="537">
        <v>0.13163180526494414</v>
      </c>
      <c r="AN80" s="537">
        <v>0.13163180526494414</v>
      </c>
      <c r="AO80" s="537">
        <v>0.13163180526494414</v>
      </c>
      <c r="AP80" s="537">
        <v>0.13163180526494414</v>
      </c>
      <c r="AQ80" s="537">
        <v>0.13163180526494414</v>
      </c>
      <c r="AR80" s="537">
        <v>0.13163180526494414</v>
      </c>
      <c r="AS80" s="537">
        <v>0.13163180526494414</v>
      </c>
      <c r="AT80" s="537">
        <v>0.13163180526494414</v>
      </c>
      <c r="AU80" s="537">
        <v>0.13163180526494414</v>
      </c>
    </row>
    <row r="81" spans="1:47">
      <c r="A81" s="77" t="s">
        <v>498</v>
      </c>
      <c r="B81" s="419">
        <v>0.3</v>
      </c>
      <c r="C81" s="419">
        <v>0.3</v>
      </c>
      <c r="D81" s="419">
        <v>0.3</v>
      </c>
      <c r="E81" s="419">
        <v>0.3</v>
      </c>
      <c r="F81" s="419">
        <v>0.3</v>
      </c>
      <c r="G81" s="419">
        <v>0.3</v>
      </c>
      <c r="H81" s="419">
        <v>0.2</v>
      </c>
      <c r="I81" s="412">
        <v>0.27999999999999997</v>
      </c>
      <c r="J81" s="413">
        <v>0.28306216943219575</v>
      </c>
      <c r="K81" s="412">
        <v>0.28644722456239091</v>
      </c>
      <c r="L81" s="538">
        <v>0.2904689085786174</v>
      </c>
      <c r="M81" s="449">
        <v>0.29430309817185513</v>
      </c>
      <c r="N81" s="537">
        <v>0.29807017782845491</v>
      </c>
      <c r="O81" s="537">
        <v>0.30161721294461347</v>
      </c>
      <c r="P81" s="537">
        <v>0.30502548745088764</v>
      </c>
      <c r="Q81" s="537">
        <v>0.30831976271535722</v>
      </c>
      <c r="R81" s="537">
        <v>0.31152628824759693</v>
      </c>
      <c r="S81" s="537">
        <v>0.31476616164537186</v>
      </c>
      <c r="T81" s="537">
        <v>0.31800825311031922</v>
      </c>
      <c r="U81" s="537">
        <v>0.32125193729204443</v>
      </c>
      <c r="V81" s="537">
        <v>0.32446445666496493</v>
      </c>
      <c r="W81" s="537">
        <v>0.32764420834028163</v>
      </c>
      <c r="X81" s="537">
        <v>0.33082235716118236</v>
      </c>
      <c r="Y81" s="537">
        <v>0.33396516955421357</v>
      </c>
      <c r="Z81" s="537">
        <v>0.33707104563106777</v>
      </c>
      <c r="AA81" s="537">
        <v>0.34017209925087366</v>
      </c>
      <c r="AB81" s="537">
        <v>0.34319963093420641</v>
      </c>
      <c r="AC81" s="537">
        <v>0.34618546772333403</v>
      </c>
      <c r="AD81" s="537">
        <v>0.3491280441989823</v>
      </c>
      <c r="AE81" s="537">
        <v>0.35202580696583385</v>
      </c>
      <c r="AF81" s="537">
        <v>0.35487721600225713</v>
      </c>
      <c r="AG81" s="537">
        <v>0.357680746008675</v>
      </c>
      <c r="AH81" s="537">
        <v>0.3604348877529418</v>
      </c>
      <c r="AI81" s="537">
        <v>0.3631741928998643</v>
      </c>
      <c r="AJ81" s="537">
        <v>0.36589799934661327</v>
      </c>
      <c r="AK81" s="537">
        <v>0.36856905474184354</v>
      </c>
      <c r="AL81" s="537">
        <v>0.36856905474184354</v>
      </c>
      <c r="AM81" s="537">
        <v>0.36856905474184354</v>
      </c>
      <c r="AN81" s="537">
        <v>0.36856905474184354</v>
      </c>
      <c r="AO81" s="537">
        <v>0.36856905474184354</v>
      </c>
      <c r="AP81" s="537">
        <v>0.36856905474184354</v>
      </c>
      <c r="AQ81" s="537">
        <v>0.36856905474184354</v>
      </c>
      <c r="AR81" s="537">
        <v>0.36856905474184354</v>
      </c>
      <c r="AS81" s="537">
        <v>0.36856905474184354</v>
      </c>
      <c r="AT81" s="537">
        <v>0.36856905474184354</v>
      </c>
      <c r="AU81" s="537">
        <v>0.36856905474184354</v>
      </c>
    </row>
    <row r="82" spans="1:47">
      <c r="K82" s="2"/>
      <c r="L82" s="2"/>
      <c r="M82" s="18"/>
      <c r="AL82" s="710"/>
      <c r="AM82" s="710"/>
      <c r="AN82" s="710"/>
      <c r="AO82" s="710"/>
      <c r="AP82" s="710"/>
      <c r="AQ82" s="710"/>
      <c r="AR82" s="710"/>
      <c r="AS82" s="710"/>
      <c r="AT82" s="710"/>
      <c r="AU82" s="710"/>
    </row>
    <row r="83" spans="1:47">
      <c r="K83" s="2"/>
      <c r="L83" s="2"/>
      <c r="M83" s="18"/>
      <c r="N83" s="719">
        <v>7.3349520635301757E-2</v>
      </c>
      <c r="O83" s="511">
        <v>7.6022063870470336E-2</v>
      </c>
      <c r="P83" s="511">
        <v>7.6752025458178413E-2</v>
      </c>
      <c r="Q83" s="511">
        <v>7.7126403264409726E-2</v>
      </c>
    </row>
    <row r="84" spans="1:47">
      <c r="K84" s="2"/>
      <c r="L84" s="2"/>
      <c r="M84" s="18"/>
    </row>
    <row r="85" spans="1:47">
      <c r="A85"/>
      <c r="B85"/>
      <c r="C85"/>
      <c r="D85"/>
      <c r="E85"/>
      <c r="F85"/>
      <c r="G85"/>
      <c r="H85"/>
      <c r="I85"/>
      <c r="J85"/>
      <c r="K85"/>
      <c r="L85"/>
      <c r="M85"/>
      <c r="N85"/>
      <c r="O85"/>
      <c r="P85"/>
      <c r="Q85"/>
      <c r="R85"/>
      <c r="S85"/>
      <c r="T85"/>
      <c r="U85"/>
      <c r="V85"/>
      <c r="W85"/>
      <c r="X85"/>
      <c r="Y85"/>
      <c r="Z85"/>
      <c r="AA85"/>
      <c r="AB85"/>
      <c r="AC85"/>
      <c r="AD85"/>
      <c r="AE85"/>
      <c r="AF85"/>
      <c r="AG85"/>
      <c r="AH85"/>
      <c r="AI85"/>
      <c r="AJ85"/>
      <c r="AK85"/>
    </row>
    <row r="86" spans="1:47">
      <c r="A86"/>
      <c r="B86"/>
      <c r="C86"/>
      <c r="D86"/>
      <c r="E86"/>
      <c r="F86"/>
      <c r="G86"/>
      <c r="H86"/>
      <c r="I86"/>
      <c r="J86"/>
      <c r="K86"/>
      <c r="L86"/>
      <c r="M86"/>
      <c r="N86"/>
      <c r="O86"/>
      <c r="P86"/>
      <c r="Q86"/>
      <c r="R86"/>
      <c r="S86"/>
      <c r="T86"/>
      <c r="U86"/>
      <c r="V86"/>
      <c r="W86"/>
      <c r="X86"/>
      <c r="Y86"/>
      <c r="Z86"/>
      <c r="AA86"/>
      <c r="AB86"/>
      <c r="AC86"/>
      <c r="AD86"/>
      <c r="AE86"/>
      <c r="AF86"/>
      <c r="AG86"/>
      <c r="AH86"/>
      <c r="AI86"/>
      <c r="AJ86"/>
      <c r="AK86"/>
    </row>
  </sheetData>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7F82A00B46344287D29A2B5774955F" ma:contentTypeVersion="14" ma:contentTypeDescription="Create a new document." ma:contentTypeScope="" ma:versionID="973bd6561572a3005a6b7ab97f1f6e80">
  <xsd:schema xmlns:xsd="http://www.w3.org/2001/XMLSchema" xmlns:xs="http://www.w3.org/2001/XMLSchema" xmlns:p="http://schemas.microsoft.com/office/2006/metadata/properties" xmlns:ns1="http://schemas.microsoft.com/sharepoint/v3" xmlns:ns2="63979cc8-f6b2-4ee6-8bed-630b6048d169" xmlns:ns4="59db5950-9a61-4c09-b3e2-fe6d472fba04" targetNamespace="http://schemas.microsoft.com/office/2006/metadata/properties" ma:root="true" ma:fieldsID="0c769d9437d03691a8a8f58a18ba4cc8" ns1:_="" ns2:_="" ns4:_="">
    <xsd:import namespace="http://schemas.microsoft.com/sharepoint/v3"/>
    <xsd:import namespace="63979cc8-f6b2-4ee6-8bed-630b6048d169"/>
    <xsd:import namespace="59db5950-9a61-4c09-b3e2-fe6d472fba04"/>
    <xsd:element name="properties">
      <xsd:complexType>
        <xsd:sequence>
          <xsd:element name="documentManagement">
            <xsd:complexType>
              <xsd:all>
                <xsd:element ref="ns1:PublishingStartDate" minOccurs="0"/>
                <xsd:element ref="ns1:PublishingExpirationDate" minOccurs="0"/>
                <xsd:element ref="ns2:Program"/>
                <xsd:element ref="ns2:Content_x0020_Type"/>
                <xsd:element ref="ns1:RoutingRuleDescription"/>
                <xsd:element ref="ns4:d599451e10b14aceb47619c4acf6a5e3" minOccurs="0"/>
                <xsd:element ref="ns4:TaxCatchAll" minOccurs="0"/>
                <xsd:element ref="ns2:BusinessUnit" minOccurs="0"/>
                <xsd:element ref="ns2:Year" minOccurs="0"/>
                <xsd:element ref="ns2:Publish" minOccurs="0"/>
                <xsd:element ref="ns2:Topi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element name="RoutingRuleDescription" ma:index="12" ma:displayName="Description" ma:internalName="RoutingRuleDescriptio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979cc8-f6b2-4ee6-8bed-630b6048d169" elementFormDefault="qualified">
    <xsd:import namespace="http://schemas.microsoft.com/office/2006/documentManagement/types"/>
    <xsd:import namespace="http://schemas.microsoft.com/office/infopath/2007/PartnerControls"/>
    <xsd:element name="Program" ma:index="10" ma:displayName="Theme" ma:format="Dropdown" ma:internalName="Program">
      <xsd:simpleType>
        <xsd:restriction base="dms:Choice">
          <xsd:enumeration value="About Commerce"/>
          <xsd:enumeration value="Business and Economic Development"/>
          <xsd:enumeration value="Community Services and Facilities"/>
          <xsd:enumeration value="Crime Victims and Public Safety"/>
          <xsd:enumeration value="Energy and Technology"/>
          <xsd:enumeration value="Foreclosure Fairness Program"/>
          <xsd:enumeration value="Growth Management"/>
          <xsd:enumeration value="Homeless Programs"/>
          <xsd:enumeration value="Housing and Homeless"/>
          <xsd:enumeration value="Infrastructure and Community Development"/>
          <xsd:enumeration value="Open Grants and Loan Applications"/>
          <xsd:enumeration value="Research Services"/>
          <xsd:enumeration value="Services and Assistance"/>
          <xsd:enumeration value="Reports and Publications"/>
        </xsd:restriction>
      </xsd:simpleType>
    </xsd:element>
    <xsd:element name="Content_x0020_Type" ma:index="11" ma:displayName="Content Type" ma:format="Dropdown" ma:internalName="Content_x0020_Type">
      <xsd:simpleType>
        <xsd:restriction base="dms:Choice">
          <xsd:enumeration value="Grant Application"/>
          <xsd:enumeration value="Loan Application"/>
          <xsd:enumeration value="Report"/>
          <xsd:enumeration value="Form"/>
          <xsd:enumeration value="Training Material"/>
          <xsd:enumeration value="Policy"/>
          <xsd:enumeration value="Presentation"/>
          <xsd:enumeration value="Award Lists"/>
          <xsd:enumeration value="Contract"/>
          <xsd:enumeration value="Project Information"/>
          <xsd:enumeration value="Data"/>
          <xsd:enumeration value="Commerce Solicitation"/>
          <xsd:enumeration value="Loan Application"/>
          <xsd:enumeration value="Public Input Process"/>
          <xsd:enumeration value="Fact Sheet"/>
          <xsd:enumeration value="Financial"/>
        </xsd:restriction>
      </xsd:simpleType>
    </xsd:element>
    <xsd:element name="BusinessUnit" ma:index="17" nillable="true" ma:displayName="Business Unit" ma:internalName="BusinessUnit">
      <xsd:simpleType>
        <xsd:restriction base="dms:Text">
          <xsd:maxLength value="55"/>
        </xsd:restriction>
      </xsd:simpleType>
    </xsd:element>
    <xsd:element name="Year" ma:index="18" nillable="true" ma:displayName="Year" ma:format="Dropdown" ma:internalName="Year">
      <xsd:simpleType>
        <xsd:restriction base="dms:Choice">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restriction>
      </xsd:simpleType>
    </xsd:element>
    <xsd:element name="Publish" ma:index="19" nillable="true" ma:displayName="Publish" ma:format="RadioButtons" ma:internalName="Publish">
      <xsd:simpleType>
        <xsd:restriction base="dms:Choice">
          <xsd:enumeration value="Yes"/>
          <xsd:enumeration value="No"/>
        </xsd:restriction>
      </xsd:simpleType>
    </xsd:element>
    <xsd:element name="Topic" ma:index="20" nillable="true" ma:displayName="Topic" ma:format="Dropdown" ma:internalName="Topic">
      <xsd:simpleType>
        <xsd:restriction base="dms:Choice">
          <xsd:enumeration value="Affordable Housing"/>
          <xsd:enumeration value="Agriculture"/>
          <xsd:enumeration value="Annexation"/>
          <xsd:enumeration value="Annual Report"/>
          <xsd:enumeration value="Best Available Science"/>
          <xsd:enumeration value="Bicycling, Walking"/>
          <xsd:enumeration value="Buildable Lands"/>
          <xsd:enumeration value="Capital Facilities"/>
          <xsd:enumeration value="Capital Facilities Template"/>
          <xsd:enumeration value="Citizen Participation"/>
          <xsd:enumeration value="Clearing, Grading"/>
          <xsd:enumeration value="Coastal Erosion"/>
          <xsd:enumeration value="Comprehensive Plans"/>
          <xsd:enumeration value="Concurrency"/>
          <xsd:enumeration value="Critical Areas"/>
          <xsd:enumeration value="Development Regulations"/>
          <xsd:enumeration value="Economic Development"/>
          <xsd:enumeration value="ESA Listings"/>
          <xsd:enumeration value="ESHB 1724"/>
          <xsd:enumeration value="GMA"/>
          <xsd:enumeration value="GMA"/>
          <xsd:enumeration value="GMA RCWs"/>
          <xsd:enumeration value="Governor's Smart Communities Awards Program Brochure"/>
          <xsd:enumeration value="Growth Management 15-Year - An Overview, Brochure"/>
          <xsd:enumeration value="Growth Management 15-Year Report"/>
          <xsd:enumeration value="Growth Management Hearings Boards"/>
          <xsd:enumeration value="Growth Management Services"/>
          <xsd:enumeration value="Historic Preservation"/>
          <xsd:enumeration value="Housing"/>
          <xsd:enumeration value="Impact Fees"/>
          <xsd:enumeration value="Interagency Contacts"/>
          <xsd:enumeration value="Land Use Element"/>
          <xsd:enumeration value="Medical Marijuana"/>
          <xsd:enumeration value="Military Installation Compatibility"/>
          <xsd:enumeration value="Military Installations"/>
          <xsd:enumeration value="Minimum Guidelines"/>
          <xsd:enumeration value="Model Codes"/>
          <xsd:enumeration value="Natural Hazard Reduction"/>
          <xsd:enumeration value="Parks, Recreation, and Open Space"/>
          <xsd:enumeration value="Permits"/>
          <xsd:enumeration value="Planner's Update Bulletin"/>
          <xsd:enumeration value="Planner's Update Newsletter"/>
          <xsd:enumeration value="Population Forecasting"/>
          <xsd:enumeration value="Procedural Criteria"/>
          <xsd:enumeration value="Project Consistency"/>
          <xsd:enumeration value="Property Rights"/>
          <xsd:enumeration value="Quality of Life"/>
          <xsd:enumeration value="RCWs"/>
          <xsd:enumeration value="Resource Lands"/>
          <xsd:enumeration value="Rural"/>
          <xsd:enumeration value="Rural Lands"/>
          <xsd:enumeration value="SEPA/GMA"/>
          <xsd:enumeration value="Shoreline Management"/>
          <xsd:enumeration value="Short Course"/>
          <xsd:enumeration value="Success Stories"/>
          <xsd:enumeration value="Transportation"/>
          <xsd:enumeration value="Update Process"/>
          <xsd:enumeration value="Update, GMA"/>
          <xsd:enumeration value="Urban"/>
          <xsd:enumeration value="Urban Growth Areas"/>
          <xsd:enumeration value="WAC"/>
          <xsd:enumeration value="Energy"/>
          <xsd:enumeration value="Energy strategy"/>
          <xsd:enumeration value="Energy policy"/>
          <xsd:enumeration value="Electric Utilities"/>
          <xsd:enumeration value="Building Codes"/>
          <xsd:enumeration value="Appliances"/>
          <xsd:enumeration value="SEP Grants and Loans"/>
          <xsd:enumeration value="Bioenergy"/>
          <xsd:enumeration value="Petroleum and Natural Gas"/>
          <xsd:enumeration value="Renewable Resources"/>
          <xsd:enumeration value="Transportation"/>
          <xsd:enumeration value="Energy Emergencies"/>
          <xsd:enumeration value="Energy Data"/>
          <xsd:enumeration value="60 day notice"/>
          <xsd:enumeration value="Appellate Decisions"/>
          <xsd:enumeration value="Biodiversity"/>
          <xsd:enumeration value="Checklist"/>
          <xsd:enumeration value="Citizen Participation"/>
          <xsd:enumeration value="Climate Change"/>
          <xsd:enumeration value="Energy"/>
          <xsd:enumeration value="Energy Aware"/>
          <xsd:enumeration value="Evergreen Communities"/>
          <xsd:enumeration value="GMA Effectiveness"/>
          <xsd:enumeration value="GMA Publications"/>
          <xsd:enumeration value="GMA RCW Update"/>
          <xsd:enumeration value="GMA Update Map"/>
          <xsd:enumeration value="Land Use Study Commission"/>
          <xsd:enumeration value="Mineral Lands"/>
          <xsd:enumeration value="Multi-Unit Tax Exemption"/>
          <xsd:enumeration value="Multi-Unit Tax Form"/>
          <xsd:enumeration value="NSP"/>
          <xsd:enumeration value="Planner Forums"/>
          <xsd:enumeration value="Property Rights"/>
          <xsd:enumeration value="Guidebook"/>
          <xsd:enumeration value="Parks and Open Space"/>
          <xsd:enumeration value="Periodic Update"/>
          <xsd:enumeration value="GMA Update (update process)"/>
          <xsd:enumeration value="Permitting"/>
          <xsd:enumeration value="Planners Update Newsletter"/>
          <xsd:enumeration value="Regulatory Reform"/>
          <xsd:enumeration value="School Planning"/>
          <xsd:enumeration value="Rural Lands"/>
          <xsd:enumeration value="SEPA"/>
          <xsd:enumeration value="SEPA/GMA"/>
          <xsd:enumeration value="Smart Growth"/>
          <xsd:enumeration value="TDR"/>
          <xsd:enumeration value="UGA"/>
          <xsd:enumeration value="Update"/>
          <xsd:enumeration value="Update Schedule Map"/>
          <xsd:enumeration value="Urban Growth Areas"/>
        </xsd:restriction>
      </xsd:simpleType>
    </xsd:element>
  </xsd:schema>
  <xsd:schema xmlns:xsd="http://www.w3.org/2001/XMLSchema" xmlns:xs="http://www.w3.org/2001/XMLSchema" xmlns:dms="http://schemas.microsoft.com/office/2006/documentManagement/types" xmlns:pc="http://schemas.microsoft.com/office/infopath/2007/PartnerControls" targetNamespace="59db5950-9a61-4c09-b3e2-fe6d472fba04" elementFormDefault="qualified">
    <xsd:import namespace="http://schemas.microsoft.com/office/2006/documentManagement/types"/>
    <xsd:import namespace="http://schemas.microsoft.com/office/infopath/2007/PartnerControls"/>
    <xsd:element name="d599451e10b14aceb47619c4acf6a5e3" ma:index="15" nillable="true" ma:taxonomy="true" ma:internalName="d599451e10b14aceb47619c4acf6a5e3" ma:taxonomyFieldName="Tags" ma:displayName="Tags" ma:default="" ma:fieldId="{d599451e-10b1-4ace-b476-19c4acf6a5e3}" ma:taxonomyMulti="true" ma:sspId="bf6a826f-2cab-45dc-9ffe-fa5cab908faa" ma:termSetId="1ce3ecf8-e5ae-413d-890c-de5413657a20" ma:anchorId="00000000-0000-0000-0000-000000000000" ma:open="false" ma:isKeyword="false">
      <xsd:complexType>
        <xsd:sequence>
          <xsd:element ref="pc:Terms" minOccurs="0" maxOccurs="1"/>
        </xsd:sequence>
      </xsd:complexType>
    </xsd:element>
    <xsd:element name="TaxCatchAll" ma:index="16" nillable="true" ma:displayName="Taxonomy Catch All Column" ma:hidden="true" ma:list="{ae2a0ba3-27c4-4c52-bac5-ed8a80cb3154}" ma:internalName="TaxCatchAll" ma:showField="CatchAllData" ma:web="36660fb1-bd30-4810-8537-b68c6e8405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13"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ntent_x0020_Type xmlns="63979cc8-f6b2-4ee6-8bed-630b6048d169">Form</Content_x0020_Type>
    <Year xmlns="63979cc8-f6b2-4ee6-8bed-630b6048d169">2015</Year>
    <d599451e10b14aceb47619c4acf6a5e3 xmlns="59db5950-9a61-4c09-b3e2-fe6d472fba04">
      <Terms xmlns="http://schemas.microsoft.com/office/infopath/2007/PartnerControls"/>
    </d599451e10b14aceb47619c4acf6a5e3>
    <TaxCatchAll xmlns="59db5950-9a61-4c09-b3e2-fe6d472fba04"/>
    <BusinessUnit xmlns="63979cc8-f6b2-4ee6-8bed-630b6048d169">Energy Office</BusinessUnit>
    <PublishingExpirationDate xmlns="http://schemas.microsoft.com/sharepoint/v3" xsi:nil="true"/>
    <RoutingRuleDescription xmlns="http://schemas.microsoft.com/sharepoint/v3">carbon</RoutingRuleDescription>
    <PublishingStartDate xmlns="http://schemas.microsoft.com/sharepoint/v3" xsi:nil="true"/>
    <Publish xmlns="63979cc8-f6b2-4ee6-8bed-630b6048d169">Yes</Publish>
    <Topic xmlns="63979cc8-f6b2-4ee6-8bed-630b6048d169">Energy</Topic>
    <Program xmlns="63979cc8-f6b2-4ee6-8bed-630b6048d169">Energy and Technology</Program>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2B73E2-A98E-4266-A15B-C2339DD2A4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3979cc8-f6b2-4ee6-8bed-630b6048d169"/>
    <ds:schemaRef ds:uri="59db5950-9a61-4c09-b3e2-fe6d472fba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DA0716-B71C-4EAB-B73D-12B0E8AE7CCD}">
  <ds:schemaRefs>
    <ds:schemaRef ds:uri="http://www.w3.org/XML/1998/namespace"/>
    <ds:schemaRef ds:uri="http://purl.org/dc/dcmitype/"/>
    <ds:schemaRef ds:uri="59db5950-9a61-4c09-b3e2-fe6d472fba04"/>
    <ds:schemaRef ds:uri="http://schemas.microsoft.com/office/2006/metadata/properties"/>
    <ds:schemaRef ds:uri="http://schemas.microsoft.com/sharepoint/v3"/>
    <ds:schemaRef ds:uri="63979cc8-f6b2-4ee6-8bed-630b6048d169"/>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4E13854F-8521-4FB5-9D9B-2C46AB221C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182</vt:i4>
      </vt:variant>
    </vt:vector>
  </HeadingPairs>
  <TitlesOfParts>
    <vt:vector size="207" baseType="lpstr">
      <vt:lpstr>Cover</vt:lpstr>
      <vt:lpstr>Dashboard</vt:lpstr>
      <vt:lpstr>parameters</vt:lpstr>
      <vt:lpstr>elasticities</vt:lpstr>
      <vt:lpstr>ramps</vt:lpstr>
      <vt:lpstr>price scenario A</vt:lpstr>
      <vt:lpstr>price scenario B</vt:lpstr>
      <vt:lpstr>price scenario C</vt:lpstr>
      <vt:lpstr>consumption scenario A</vt:lpstr>
      <vt:lpstr>consumption scenario B</vt:lpstr>
      <vt:lpstr>consumption scenario C</vt:lpstr>
      <vt:lpstr>Baseline Price</vt:lpstr>
      <vt:lpstr>Baseline Consumption</vt:lpstr>
      <vt:lpstr>Baseline Emissions</vt:lpstr>
      <vt:lpstr>Baseline expend</vt:lpstr>
      <vt:lpstr>Price Change</vt:lpstr>
      <vt:lpstr>Adjusted price</vt:lpstr>
      <vt:lpstr>Adjusted Consumption</vt:lpstr>
      <vt:lpstr>Adjusted Emissions</vt:lpstr>
      <vt:lpstr>Adjusted expend</vt:lpstr>
      <vt:lpstr>Revenue</vt:lpstr>
      <vt:lpstr>Sources</vt:lpstr>
      <vt:lpstr>Versions</vt:lpstr>
      <vt:lpstr>units</vt:lpstr>
      <vt:lpstr>lookup</vt:lpstr>
      <vt:lpstr>acreftTOgal</vt:lpstr>
      <vt:lpstr>acreftTOm3</vt:lpstr>
      <vt:lpstr>acreinTOgal</vt:lpstr>
      <vt:lpstr>acreTOft2</vt:lpstr>
      <vt:lpstr>acreTOha</vt:lpstr>
      <vt:lpstr>units!acreTOkm2</vt:lpstr>
      <vt:lpstr>acreTOm2</vt:lpstr>
      <vt:lpstr>acreTOmi2</vt:lpstr>
      <vt:lpstr>atmTObar</vt:lpstr>
      <vt:lpstr>atmTOpsi</vt:lpstr>
      <vt:lpstr>B</vt:lpstr>
      <vt:lpstr>barTOPa</vt:lpstr>
      <vt:lpstr>barTOpsi</vt:lpstr>
      <vt:lpstr>units!bblTOgal</vt:lpstr>
      <vt:lpstr>units!bblTOL</vt:lpstr>
      <vt:lpstr>Btu.ft3TOMJ.m3</vt:lpstr>
      <vt:lpstr>Btu.hphTOmmBtu.MWh</vt:lpstr>
      <vt:lpstr>Btu.lbTOMJ.kg</vt:lpstr>
      <vt:lpstr>units!Btu.lbTOmmBtu.ton</vt:lpstr>
      <vt:lpstr>BtuTOcal</vt:lpstr>
      <vt:lpstr>units!BtuTOJ</vt:lpstr>
      <vt:lpstr>units!BtuTOkJ</vt:lpstr>
      <vt:lpstr>units!BtuTOkWh</vt:lpstr>
      <vt:lpstr>units!BtuTOMJ</vt:lpstr>
      <vt:lpstr>BtuTOWh</vt:lpstr>
      <vt:lpstr>calTOBtu</vt:lpstr>
      <vt:lpstr>calTOJ</vt:lpstr>
      <vt:lpstr>cmTOin</vt:lpstr>
      <vt:lpstr>units!dayTOmin</vt:lpstr>
      <vt:lpstr>dayTOyr</vt:lpstr>
      <vt:lpstr>EJTOTWh</vt:lpstr>
      <vt:lpstr>ft2TOm2</vt:lpstr>
      <vt:lpstr>ft2TOyd2</vt:lpstr>
      <vt:lpstr>ft3TOgal</vt:lpstr>
      <vt:lpstr>ft3TOL</vt:lpstr>
      <vt:lpstr>units!ft3TOm3</vt:lpstr>
      <vt:lpstr>ftTOm</vt:lpstr>
      <vt:lpstr>g.hphTOlb.MWh</vt:lpstr>
      <vt:lpstr>g.kWhTOlb.MWh</vt:lpstr>
      <vt:lpstr>galTOacreft</vt:lpstr>
      <vt:lpstr>galTOacrein</vt:lpstr>
      <vt:lpstr>galTObbl</vt:lpstr>
      <vt:lpstr>units!galTOL</vt:lpstr>
      <vt:lpstr>units!galTOliter</vt:lpstr>
      <vt:lpstr>galTOm3</vt:lpstr>
      <vt:lpstr>units!GJ.hrTOMW</vt:lpstr>
      <vt:lpstr>units!GJTOmmBtu</vt:lpstr>
      <vt:lpstr>GJTOMWh</vt:lpstr>
      <vt:lpstr>units!GJTOtherm</vt:lpstr>
      <vt:lpstr>gpmTOliter.s</vt:lpstr>
      <vt:lpstr>gTOlb</vt:lpstr>
      <vt:lpstr>GWTOkW</vt:lpstr>
      <vt:lpstr>GWTOquad.yr</vt:lpstr>
      <vt:lpstr>GWTOTWh.yr</vt:lpstr>
      <vt:lpstr>units!haTOacre</vt:lpstr>
      <vt:lpstr>units!haTOkm2</vt:lpstr>
      <vt:lpstr>hpTOkW</vt:lpstr>
      <vt:lpstr>hrTOday</vt:lpstr>
      <vt:lpstr>units!hrTOmin</vt:lpstr>
      <vt:lpstr>units!hrTOs</vt:lpstr>
      <vt:lpstr>units!hrTOyr</vt:lpstr>
      <vt:lpstr>inTOcm</vt:lpstr>
      <vt:lpstr>inTOmm</vt:lpstr>
      <vt:lpstr>JTOBtu</vt:lpstr>
      <vt:lpstr>JTOcal</vt:lpstr>
      <vt:lpstr>JTOWh</vt:lpstr>
      <vt:lpstr>kcalTOMJ</vt:lpstr>
      <vt:lpstr>kg.GJTOlb.MWh</vt:lpstr>
      <vt:lpstr>kgTOg</vt:lpstr>
      <vt:lpstr>kgTOlb</vt:lpstr>
      <vt:lpstr>kJ.kWhTOmmBtu.MWh</vt:lpstr>
      <vt:lpstr>units!kJTOBtu</vt:lpstr>
      <vt:lpstr>km.lTOmi.gal</vt:lpstr>
      <vt:lpstr>km2TOacre</vt:lpstr>
      <vt:lpstr>km2TOha</vt:lpstr>
      <vt:lpstr>km2TOm2</vt:lpstr>
      <vt:lpstr>km2TOmi2</vt:lpstr>
      <vt:lpstr>units!kmTOmi</vt:lpstr>
      <vt:lpstr>kWh.tonTOMJ.kg</vt:lpstr>
      <vt:lpstr>kWhTOBtu</vt:lpstr>
      <vt:lpstr>kWhTOMJ</vt:lpstr>
      <vt:lpstr>kWTOhp</vt:lpstr>
      <vt:lpstr>units!L.sTOgpm</vt:lpstr>
      <vt:lpstr>lb.mmBtuTOMg.mmBtu</vt:lpstr>
      <vt:lpstr>lb.mmBtuTOng.J</vt:lpstr>
      <vt:lpstr>lb.mmBtuTOTg.quad</vt:lpstr>
      <vt:lpstr>lb.MWhTOg.hph</vt:lpstr>
      <vt:lpstr>lb.MWhTOg.kWh</vt:lpstr>
      <vt:lpstr>lb.MWhTOkg.GJ</vt:lpstr>
      <vt:lpstr>lb.MWhTOton.GWh</vt:lpstr>
      <vt:lpstr>lbTOg</vt:lpstr>
      <vt:lpstr>units!lbTOkg</vt:lpstr>
      <vt:lpstr>lbTOMg</vt:lpstr>
      <vt:lpstr>lbTON</vt:lpstr>
      <vt:lpstr>units!lbTOoz</vt:lpstr>
      <vt:lpstr>lbTOton</vt:lpstr>
      <vt:lpstr>lookupBoolean</vt:lpstr>
      <vt:lpstr>LTOft3</vt:lpstr>
      <vt:lpstr>units!LTOgal</vt:lpstr>
      <vt:lpstr>units!LTOm3</vt:lpstr>
      <vt:lpstr>m2TOacre</vt:lpstr>
      <vt:lpstr>m2TOft2</vt:lpstr>
      <vt:lpstr>m2TOha</vt:lpstr>
      <vt:lpstr>m2TOkm2</vt:lpstr>
      <vt:lpstr>m3.dayTOgpm</vt:lpstr>
      <vt:lpstr>m3TOacreft</vt:lpstr>
      <vt:lpstr>m3TOft3</vt:lpstr>
      <vt:lpstr>m3TOgal</vt:lpstr>
      <vt:lpstr>m3TOliter</vt:lpstr>
      <vt:lpstr>Mg.hayrTOton.acreyr</vt:lpstr>
      <vt:lpstr>MgTOkg</vt:lpstr>
      <vt:lpstr>units!MgTOton</vt:lpstr>
      <vt:lpstr>mi2TOacre</vt:lpstr>
      <vt:lpstr>mi2TOkm2</vt:lpstr>
      <vt:lpstr>minTOday</vt:lpstr>
      <vt:lpstr>miTOkm</vt:lpstr>
      <vt:lpstr>MJ.hrTOkW</vt:lpstr>
      <vt:lpstr>units!MJ.kgTOBtu.lb</vt:lpstr>
      <vt:lpstr>MJ.kgTOkWh.ton</vt:lpstr>
      <vt:lpstr>MJ.kgTOmmBtu.ton</vt:lpstr>
      <vt:lpstr>MJ.kWhTOmmBtu.MWh</vt:lpstr>
      <vt:lpstr>MJ.m3TOBtu.ft3</vt:lpstr>
      <vt:lpstr>MJTOBtu</vt:lpstr>
      <vt:lpstr>units!MJTOkcal</vt:lpstr>
      <vt:lpstr>units!MJTOkWh</vt:lpstr>
      <vt:lpstr>MJTOMWh</vt:lpstr>
      <vt:lpstr>units!MJTOtherm</vt:lpstr>
      <vt:lpstr>mmBtu.MWhTOBtu.hph</vt:lpstr>
      <vt:lpstr>mmBtu.MWhTOkJ.kWh</vt:lpstr>
      <vt:lpstr>mmBtu.MWhTOMJ.kWh</vt:lpstr>
      <vt:lpstr>mmBtu.tonTOBtu.lb</vt:lpstr>
      <vt:lpstr>mmBtuTOkWh</vt:lpstr>
      <vt:lpstr>units!mmBtuTOMJ</vt:lpstr>
      <vt:lpstr>mmBtuTOMWh</vt:lpstr>
      <vt:lpstr>units!mmBtuTOtherm</vt:lpstr>
      <vt:lpstr>mmBtuTOTJ</vt:lpstr>
      <vt:lpstr>mmTOin</vt:lpstr>
      <vt:lpstr>moTOday</vt:lpstr>
      <vt:lpstr>moTOyr</vt:lpstr>
      <vt:lpstr>MtoeTOGWh</vt:lpstr>
      <vt:lpstr>MtoeTOmmBtu</vt:lpstr>
      <vt:lpstr>MtoeTOTJ</vt:lpstr>
      <vt:lpstr>MWaTOMWh</vt:lpstr>
      <vt:lpstr>units!MWhTOGJ</vt:lpstr>
      <vt:lpstr>MWhTOmmBtu</vt:lpstr>
      <vt:lpstr>MWhTOMWa</vt:lpstr>
      <vt:lpstr>MWhTOTJ</vt:lpstr>
      <vt:lpstr>MWTOGJ.hr</vt:lpstr>
      <vt:lpstr>MWTOkW</vt:lpstr>
      <vt:lpstr>ng.JTOlb.mmBtu</vt:lpstr>
      <vt:lpstr>ozTOkg</vt:lpstr>
      <vt:lpstr>Property_Tax_Offset</vt:lpstr>
      <vt:lpstr>psiTOPa</vt:lpstr>
      <vt:lpstr>quad.yrTOGW</vt:lpstr>
      <vt:lpstr>units!quadTOEJ</vt:lpstr>
      <vt:lpstr>units!quadTOTWh</vt:lpstr>
      <vt:lpstr>Regional_baseline</vt:lpstr>
      <vt:lpstr>sTOday</vt:lpstr>
      <vt:lpstr>sTOhr</vt:lpstr>
      <vt:lpstr>sTOyr</vt:lpstr>
      <vt:lpstr>tableBoolean</vt:lpstr>
      <vt:lpstr>Tg.quadTOlb.mmBtu</vt:lpstr>
      <vt:lpstr>units!thermTOBtu</vt:lpstr>
      <vt:lpstr>thermTOGJ</vt:lpstr>
      <vt:lpstr>thermTOkWh</vt:lpstr>
      <vt:lpstr>units!thermTOMJ</vt:lpstr>
      <vt:lpstr>thermTOTJ</vt:lpstr>
      <vt:lpstr>ton.GWhTOlb.MWh</vt:lpstr>
      <vt:lpstr>units!tonTOkg</vt:lpstr>
      <vt:lpstr>tonTOlb</vt:lpstr>
      <vt:lpstr>units!tonTOMg</vt:lpstr>
      <vt:lpstr>TWh.yrTOGW</vt:lpstr>
      <vt:lpstr>units!TWhTOEJ</vt:lpstr>
      <vt:lpstr>TWhTOquad</vt:lpstr>
      <vt:lpstr>WhTOBtu</vt:lpstr>
      <vt:lpstr>units!WhTOJ</vt:lpstr>
      <vt:lpstr>yd2TOft2</vt:lpstr>
      <vt:lpstr>yd3TOm3</vt:lpstr>
      <vt:lpstr>units!yrTOday</vt:lpstr>
      <vt:lpstr>units!yrTOhr</vt:lpstr>
      <vt:lpstr>units!yrTOmo</vt:lpstr>
      <vt:lpstr>yrTOs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Carbon Tax Analysis Model v3.1c</dc:title>
  <dc:creator>Keibun Mori;greg.nothstein@commerce.wa.gov</dc:creator>
  <cp:keywords>carbon tax analysis data model</cp:keywords>
  <cp:lastModifiedBy>rkrfa140</cp:lastModifiedBy>
  <cp:lastPrinted>2016-10-04T20:36:35Z</cp:lastPrinted>
  <dcterms:created xsi:type="dcterms:W3CDTF">2010-11-19T18:38:07Z</dcterms:created>
  <dcterms:modified xsi:type="dcterms:W3CDTF">2018-08-23T00:48:42Z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0x010100B37F82A00B46344287D29A2B5774955F</vt:lpwstr>
  </property>
  <property fmtid="{D5CDD505-2E9C-101B-9397-08002B2CF9AE}" pid="3" name="Tags">
    <vt:lpwstr/>
  </property>
  <property fmtid="{D5CDD505-2E9C-101B-9397-08002B2CF9AE}" pid="4" name="TemplateUrl">
    <vt:lpwstr/>
  </property>
  <property fmtid="{D5CDD505-2E9C-101B-9397-08002B2CF9AE}" pid="5" name="Order">
    <vt:r8>393900</vt:r8>
  </property>
  <property fmtid="{D5CDD505-2E9C-101B-9397-08002B2CF9AE}" pid="6" name="xd_Signature">
    <vt:bool>false</vt:bool>
  </property>
  <property fmtid="{D5CDD505-2E9C-101B-9397-08002B2CF9AE}" pid="7" name="xd_ProgID">
    <vt:lpwstr/>
  </property>
</Properties>
</file>