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66925"/>
  <mc:AlternateContent xmlns:mc="http://schemas.openxmlformats.org/markup-compatibility/2006">
    <mc:Choice Requires="x15">
      <x15ac:absPath xmlns:x15ac="http://schemas.microsoft.com/office/spreadsheetml/2010/11/ac" url="https://aecom-my.sharepoint.com/personal/peter_morris_aecom_com/Documents/Documents/Holding Projects/Washington State/"/>
    </mc:Choice>
  </mc:AlternateContent>
  <xr:revisionPtr revIDLastSave="0" documentId="8_{AF9289AD-0A55-45D3-8BDF-0DDF5AA51DC2}" xr6:coauthVersionLast="47" xr6:coauthVersionMax="47" xr10:uidLastSave="{00000000-0000-0000-0000-000000000000}"/>
  <bookViews>
    <workbookView xWindow="-108" yWindow="-108" windowWidth="23256" windowHeight="14616" firstSheet="1" activeTab="1" xr2:uid="{A5B7D73E-28DF-4D05-8B64-C3EABF30513F}"/>
  </bookViews>
  <sheets>
    <sheet name="QuickStartGuide" sheetId="11" r:id="rId1"/>
    <sheet name="Summary" sheetId="2" r:id="rId2"/>
    <sheet name="Biennium Summary" sheetId="16" r:id="rId3"/>
    <sheet name="Basis of Estimate" sheetId="14" state="veryHidden" r:id="rId4"/>
    <sheet name="A. Acquisition" sheetId="4" r:id="rId5"/>
    <sheet name="B. Consultant Services" sheetId="3" r:id="rId6"/>
    <sheet name="C. Construction Contracts" sheetId="1" r:id="rId7"/>
    <sheet name="D. Equipment" sheetId="5" r:id="rId8"/>
    <sheet name="E. Artwork" sheetId="6" r:id="rId9"/>
    <sheet name="F. Project Management" sheetId="7" r:id="rId10"/>
    <sheet name="G. Other Costs" sheetId="8" r:id="rId11"/>
    <sheet name="H. Additional Notes" sheetId="9" r:id="rId12"/>
    <sheet name="Audit" sheetId="12" state="veryHidden" r:id="rId13"/>
    <sheet name="Data Extract" sheetId="17" state="veryHidden" r:id="rId14"/>
    <sheet name="Data Tables" sheetId="10" state="veryHidden" r:id="rId15"/>
    <sheet name="Transition" sheetId="13" state="veryHidden" r:id="rId16"/>
  </sheets>
  <definedNames>
    <definedName name="ACQ_TOTAL">'A. Acquisition'!$C$12</definedName>
    <definedName name="ACQ_TOTAL_ESC">'A. Acquisition'!$F$12</definedName>
    <definedName name="AEFP">Summary!$F$18</definedName>
    <definedName name="Agency">Summary!$C$4</definedName>
    <definedName name="AGENCY_PM">'F. Project Management'!$C$6</definedName>
    <definedName name="APW">Transition!$D$20</definedName>
    <definedName name="ART">'Data Tables'!$N$2</definedName>
    <definedName name="Art_Req">Summary!$F$21</definedName>
    <definedName name="ART_TOTAL">'E. Artwork'!$C$10</definedName>
    <definedName name="ART_TOTAL_ESC">'E. Artwork'!$F$10</definedName>
    <definedName name="b_infl">'Data Tables'!$N$8</definedName>
    <definedName name="Base_Month">Summary!$C$25</definedName>
    <definedName name="CONST_DOCS">'B. Consultant Services'!$C$17</definedName>
    <definedName name="CONST_DOCS_ESC">'B. Consultant Services'!$F$17</definedName>
    <definedName name="CONST_TOTAL">'C. Construction Contracts'!$C$81</definedName>
    <definedName name="CONST_TOTAL_ESC">'C. Construction Contracts'!$F$81</definedName>
    <definedName name="CONSUL_TOTAL">'B. Consultant Services'!$C$49</definedName>
    <definedName name="CONSUL_TOTAL_ESC">'B. Consultant Services'!$F$49</definedName>
    <definedName name="CONT">'C. Construction Contracts'!$C$71</definedName>
    <definedName name="CONT_ESC">'C. Construction Contracts'!$F$71</definedName>
    <definedName name="CONT_RATE">Summary!$C$24</definedName>
    <definedName name="ContN">'Data Tables'!$N$4</definedName>
    <definedName name="ContR">'Data Tables'!$N$5</definedName>
    <definedName name="data_extract_val">'Data Extract'!$C$3:$C$162</definedName>
    <definedName name="DES_ADD_SVCS">'F. Project Management'!$C$7</definedName>
    <definedName name="DES_CONT_TOTAL">'B. Consultant Services'!$C$47</definedName>
    <definedName name="DES_CONT_TOTAL_ESC">'B. Consultant Services'!$F$47</definedName>
    <definedName name="EndC">Summary!$F$31</definedName>
    <definedName name="EndD">Summary!$F$30</definedName>
    <definedName name="ENDPD">Summary!$F$29</definedName>
    <definedName name="EQUIP_NON_TAX">'D. Equipment'!$C$16</definedName>
    <definedName name="EQUIP_NON_TAX_ESC">'D. Equipment'!$F$16</definedName>
    <definedName name="EQUIP_SALES_TAX">'D. Equipment'!$C$19</definedName>
    <definedName name="EQUIP_SALES_TAX_ESC">'D. Equipment'!$F$19</definedName>
    <definedName name="EQUIP_SUBTOTAL">'D. Equipment'!$C$11</definedName>
    <definedName name="EQUIP_SUBTOTAL_ESC">'D. Equipment'!$F$11</definedName>
    <definedName name="EQUIP_TOTAL">'D. Equipment'!$C$21</definedName>
    <definedName name="EQUIP_TOTAL_ESC">'D. Equipment'!$F$21</definedName>
    <definedName name="ESC_MidC" localSheetId="2">ROUND((1+[0]!Infl)^(([0]!MPC-[0]!Base_Month)/365), 4)</definedName>
    <definedName name="ESC_MidC">ROUND((1+Infl)^((MPC-Base_Month)/365), 4)</definedName>
    <definedName name="ESC_MidD" localSheetId="2">ROUND((1+[0]!Infl)^(([0]!MPD-[0]!Base_Month)/365), 4)</definedName>
    <definedName name="ESC_MidD">ROUND((1+Infl)^((MPD-Base_Month)/365), 4)</definedName>
    <definedName name="ESC_StartC" localSheetId="2">ROUND((1+[0]!Infl)^(([0]!StartC-[0]!Base_Month)/365), 4)</definedName>
    <definedName name="ESC_StartC">ROUND((1+Infl)^((StartC-Base_Month)/365), 4)</definedName>
    <definedName name="ESC_StartD" localSheetId="2">ROUND((1+[0]!Infl)^(([0]!StartD-[0]!Base_Month)/365), 4)</definedName>
    <definedName name="ESC_StartD">ROUND((1+Infl)^((StartD-Base_Month)/365), 4)</definedName>
    <definedName name="EX_SVCS_TOTAL">'B. Consultant Services'!$C$33</definedName>
    <definedName name="EX_SVCS_TOTAL_ESC">'B. Consultant Services'!$F$33</definedName>
    <definedName name="FACILITY_TOTAL">'C. Construction Contracts'!$C$43</definedName>
    <definedName name="FACILITY_TOTAL_ESC">'C. Construction Contracts'!$F$43</definedName>
    <definedName name="GCCM_DB_TOTAL">'C. Construction Contracts'!$C$61</definedName>
    <definedName name="GCCM_DB_TOTAL_ESC">'C. Construction Contracts'!$F$61</definedName>
    <definedName name="GCCM_RISK">'C. Construction Contracts'!$C$53</definedName>
    <definedName name="GCCM_RISK_ESC">'C. Construction Contracts'!$F$53</definedName>
    <definedName name="GSF">Summary!$C$14</definedName>
    <definedName name="HEI">Summary!$F$22</definedName>
    <definedName name="Infl">'Data Tables'!$N$3</definedName>
    <definedName name="MACC">'C. Construction Contracts'!$C$46</definedName>
    <definedName name="MACC_ESC">'C. Construction Contracts'!$F$46</definedName>
    <definedName name="MPC">'Data Tables'!$I$2</definedName>
    <definedName name="MPD">'Data Tables'!$H$2</definedName>
    <definedName name="OTHER_SVCS_TOTAL">'B. Consultant Services'!$C$41</definedName>
    <definedName name="OTHER_SVCS_TOTAL_ESC">'B. Consultant Services'!$F$41</definedName>
    <definedName name="OTHER_TOTAL">'G. Other Costs'!$C$10</definedName>
    <definedName name="OTHER_TOTAL_ESC">'G. Other Costs'!$F$10</definedName>
    <definedName name="PM_OTHER">'F. Project Management'!$C$10</definedName>
    <definedName name="PM_TOTAL">'F. Project Management'!$C$11</definedName>
    <definedName name="PM_TOTAL_ESC">'F. Project Management'!$F$11</definedName>
    <definedName name="PMD">'Data Tables'!$N$1</definedName>
    <definedName name="PMMinor">'Data Tables'!$N$7</definedName>
    <definedName name="PREDESIGN_TOTAL">'B. Consultant Services'!$C$11</definedName>
    <definedName name="PREDESIGN_TOTAL_ESC">'B. Consultant Services'!$F$11</definedName>
    <definedName name="_xlnm.Print_Area" localSheetId="1">Summary!$A$1:$G$91</definedName>
    <definedName name="Project_Name">Summary!$C$5</definedName>
    <definedName name="RELATED_COSTS_TOTAL">'C. Construction Contracts'!$C$22</definedName>
    <definedName name="RELATED_COSTS_TOTAL_ESC">'C. Construction Contracts'!$F$22</definedName>
    <definedName name="Rem_Ad">'Data Tables'!$N$6</definedName>
    <definedName name="SALES_TAX">'C. Construction Contracts'!$C$79</definedName>
    <definedName name="SALES_TAX_ESC">'C. Construction Contracts'!$F$79</definedName>
    <definedName name="SITE_TOTAL">'C. Construction Contracts'!$C$13</definedName>
    <definedName name="SITE_TOTAL_ESC">'C. Construction Contracts'!$F$13</definedName>
    <definedName name="StartC">Summary!$C$31</definedName>
    <definedName name="StartD">Summary!$C$30</definedName>
    <definedName name="StartPD">Summary!$C$29</definedName>
    <definedName name="STR">Summary!$C$23</definedName>
    <definedName name="sub_spec_cons">+SUM('B. Consultant Services'!#REF!:INDEX('B. Consultant Services'!$C$15:$C$17,ROWS('B. Consultant Services'!$C$15:$C$17)-1))</definedName>
    <definedName name="TCC">'C. Construction Contracts'!$C$64</definedName>
    <definedName name="TCC_ESC">'C. Construction Contracts'!$F$64</definedName>
    <definedName name="TotalMinusPM">ACQ_TOTAL+CONSUL_TOTAL+MACC+CONT+OTHER_TOTAL</definedName>
    <definedName name="USF">Summary!$C$15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5" i="1" l="1"/>
  <c r="D19" i="13" l="1"/>
  <c r="D20" i="13" s="1"/>
  <c r="J21" i="2"/>
  <c r="N3" i="10"/>
  <c r="C25" i="2"/>
  <c r="C23" i="17" s="1"/>
  <c r="C3" i="17" a="1"/>
  <c r="C3" i="17" s="1"/>
  <c r="I1" i="17" a="1"/>
  <c r="I1" i="17" s="1"/>
  <c r="C32" i="2"/>
  <c r="C7" i="6"/>
  <c r="C145" i="17" s="1"/>
  <c r="F17" i="2"/>
  <c r="C13" i="17" s="1"/>
  <c r="C10" i="17"/>
  <c r="C161" i="17"/>
  <c r="C162" i="17"/>
  <c r="C160" i="17"/>
  <c r="C159" i="17"/>
  <c r="C158" i="17"/>
  <c r="C157" i="17"/>
  <c r="C156" i="17"/>
  <c r="C152" i="17"/>
  <c r="C135" i="17"/>
  <c r="C134" i="17"/>
  <c r="C133" i="17"/>
  <c r="C113" i="17"/>
  <c r="C119" i="17"/>
  <c r="C118" i="17"/>
  <c r="C117" i="17"/>
  <c r="C107" i="17"/>
  <c r="C106" i="17"/>
  <c r="C105" i="17"/>
  <c r="C104" i="17"/>
  <c r="C103" i="17"/>
  <c r="C102" i="17"/>
  <c r="C101" i="17"/>
  <c r="C100" i="17"/>
  <c r="C99" i="17"/>
  <c r="C98" i="17"/>
  <c r="C97" i="17"/>
  <c r="C96" i="17"/>
  <c r="C95" i="17"/>
  <c r="C94" i="17"/>
  <c r="C93" i="17"/>
  <c r="C92" i="17"/>
  <c r="C78" i="17"/>
  <c r="C79" i="17"/>
  <c r="C80" i="17"/>
  <c r="C81" i="17"/>
  <c r="C85" i="17"/>
  <c r="C86" i="17"/>
  <c r="C87" i="17"/>
  <c r="C88" i="17"/>
  <c r="C77" i="17"/>
  <c r="C67" i="17"/>
  <c r="C66" i="17"/>
  <c r="C61" i="17"/>
  <c r="C60" i="17"/>
  <c r="C59" i="17"/>
  <c r="C58" i="17"/>
  <c r="C57" i="17"/>
  <c r="C56" i="17"/>
  <c r="C55" i="17"/>
  <c r="C54" i="17"/>
  <c r="C53" i="17"/>
  <c r="C52" i="17"/>
  <c r="C51" i="17"/>
  <c r="C43" i="17"/>
  <c r="C42" i="17"/>
  <c r="C41" i="17"/>
  <c r="C37" i="17"/>
  <c r="C36" i="17"/>
  <c r="C35" i="17"/>
  <c r="C34" i="17"/>
  <c r="C33" i="17"/>
  <c r="C24" i="17"/>
  <c r="C22" i="17"/>
  <c r="C21" i="17"/>
  <c r="C19" i="17"/>
  <c r="C20" i="17"/>
  <c r="C18" i="17"/>
  <c r="C17" i="17"/>
  <c r="C16" i="17"/>
  <c r="C15" i="17"/>
  <c r="C9" i="17"/>
  <c r="C8" i="17"/>
  <c r="C7" i="17"/>
  <c r="C6" i="17"/>
  <c r="C5" i="17"/>
  <c r="C4" i="17"/>
  <c r="C10" i="7"/>
  <c r="F12" i="13"/>
  <c r="D12" i="13"/>
  <c r="D11" i="13"/>
  <c r="F14" i="13" s="1"/>
  <c r="G47" i="1" s="1"/>
  <c r="C12" i="4"/>
  <c r="C31" i="17" s="1"/>
  <c r="C38" i="17" s="1"/>
  <c r="C16" i="5"/>
  <c r="C11" i="5"/>
  <c r="C131" i="17" s="1"/>
  <c r="C136" i="17" s="1"/>
  <c r="C76" i="1"/>
  <c r="C65" i="2" s="1"/>
  <c r="K28" i="16"/>
  <c r="C43" i="1"/>
  <c r="C22" i="1"/>
  <c r="C83" i="17" s="1"/>
  <c r="C13" i="1"/>
  <c r="C75" i="17" s="1"/>
  <c r="C82" i="17" s="1"/>
  <c r="K29" i="16"/>
  <c r="F43" i="2"/>
  <c r="D27" i="13"/>
  <c r="C33" i="3"/>
  <c r="C11" i="3"/>
  <c r="C53" i="2" s="1"/>
  <c r="D6" i="13"/>
  <c r="E32" i="13"/>
  <c r="D5" i="13"/>
  <c r="E31" i="13"/>
  <c r="E6" i="13"/>
  <c r="E5" i="13"/>
  <c r="E4" i="13"/>
  <c r="D4" i="13"/>
  <c r="E30" i="13"/>
  <c r="G31" i="13"/>
  <c r="F31" i="13"/>
  <c r="G32" i="13"/>
  <c r="F32" i="13"/>
  <c r="H4" i="13"/>
  <c r="G30" i="13"/>
  <c r="F30" i="13"/>
  <c r="H6" i="13"/>
  <c r="H5" i="13"/>
  <c r="G5" i="13"/>
  <c r="D31" i="13"/>
  <c r="G6" i="13"/>
  <c r="D32" i="13"/>
  <c r="G4" i="13"/>
  <c r="D30" i="13"/>
  <c r="G8" i="10"/>
  <c r="G9" i="10"/>
  <c r="G10" i="10"/>
  <c r="G11" i="10"/>
  <c r="G12" i="10"/>
  <c r="G13" i="10"/>
  <c r="G14" i="10"/>
  <c r="G15" i="10"/>
  <c r="G16" i="10"/>
  <c r="G17" i="10"/>
  <c r="G18" i="10"/>
  <c r="G19" i="10"/>
  <c r="G20" i="10"/>
  <c r="G21" i="10"/>
  <c r="G22" i="10"/>
  <c r="G23" i="10"/>
  <c r="G24" i="10"/>
  <c r="G25" i="10"/>
  <c r="G26" i="10"/>
  <c r="G27" i="10"/>
  <c r="G28" i="10"/>
  <c r="G29" i="10"/>
  <c r="G30" i="10"/>
  <c r="G31" i="10"/>
  <c r="G32" i="10"/>
  <c r="G33" i="10"/>
  <c r="G34" i="10"/>
  <c r="G35" i="10"/>
  <c r="G36" i="10"/>
  <c r="G37" i="10"/>
  <c r="G38" i="10"/>
  <c r="G39" i="10"/>
  <c r="G40" i="10"/>
  <c r="G41" i="10"/>
  <c r="G42" i="10"/>
  <c r="G43" i="10"/>
  <c r="G44" i="10"/>
  <c r="G45" i="10"/>
  <c r="G46" i="10"/>
  <c r="G47" i="10"/>
  <c r="G48" i="10"/>
  <c r="G49" i="10"/>
  <c r="G50" i="10"/>
  <c r="G51" i="10"/>
  <c r="G52" i="10"/>
  <c r="G53" i="10"/>
  <c r="G54" i="10"/>
  <c r="G55" i="10"/>
  <c r="G56" i="10"/>
  <c r="G57" i="10"/>
  <c r="G58" i="10"/>
  <c r="G59" i="10"/>
  <c r="G60" i="10"/>
  <c r="G61" i="10"/>
  <c r="G62" i="10"/>
  <c r="G63" i="10"/>
  <c r="G64" i="10"/>
  <c r="G65" i="10"/>
  <c r="G66" i="10"/>
  <c r="G67" i="10"/>
  <c r="G68" i="10"/>
  <c r="G69" i="10"/>
  <c r="G70" i="10"/>
  <c r="G71" i="10"/>
  <c r="G72" i="10"/>
  <c r="G73" i="10"/>
  <c r="G74" i="10"/>
  <c r="G75" i="10"/>
  <c r="G76" i="10"/>
  <c r="G77" i="10"/>
  <c r="G78" i="10"/>
  <c r="G79" i="10"/>
  <c r="G80" i="10"/>
  <c r="G81" i="10"/>
  <c r="G82" i="10"/>
  <c r="G83" i="10"/>
  <c r="G84" i="10"/>
  <c r="G85" i="10"/>
  <c r="G86" i="10"/>
  <c r="G87" i="10"/>
  <c r="G88" i="10"/>
  <c r="G89" i="10"/>
  <c r="G90" i="10"/>
  <c r="G91" i="10"/>
  <c r="G92" i="10"/>
  <c r="G93" i="10"/>
  <c r="G94" i="10"/>
  <c r="G95" i="10"/>
  <c r="G96" i="10"/>
  <c r="G97" i="10"/>
  <c r="G98" i="10"/>
  <c r="G99" i="10"/>
  <c r="G100" i="10"/>
  <c r="G101" i="10"/>
  <c r="G102" i="10"/>
  <c r="G103" i="10"/>
  <c r="G104" i="10"/>
  <c r="G105" i="10"/>
  <c r="G106" i="10"/>
  <c r="G107" i="10"/>
  <c r="G108" i="10"/>
  <c r="G109" i="10"/>
  <c r="G110" i="10"/>
  <c r="G111" i="10"/>
  <c r="G112" i="10"/>
  <c r="G113" i="10"/>
  <c r="G114" i="10"/>
  <c r="G115" i="10"/>
  <c r="G116" i="10"/>
  <c r="G117" i="10"/>
  <c r="G118" i="10"/>
  <c r="G119" i="10"/>
  <c r="G120" i="10"/>
  <c r="G121" i="10"/>
  <c r="G122" i="10"/>
  <c r="G123" i="10"/>
  <c r="G124" i="10"/>
  <c r="G125" i="10"/>
  <c r="G126" i="10"/>
  <c r="G127" i="10"/>
  <c r="G128" i="10"/>
  <c r="G129" i="10"/>
  <c r="G130" i="10"/>
  <c r="G131" i="10"/>
  <c r="G132" i="10"/>
  <c r="G133" i="10"/>
  <c r="G134" i="10"/>
  <c r="G135" i="10"/>
  <c r="G136" i="10"/>
  <c r="G137" i="10"/>
  <c r="G138" i="10"/>
  <c r="G139" i="10"/>
  <c r="G140" i="10"/>
  <c r="G141" i="10"/>
  <c r="G142" i="10"/>
  <c r="G143" i="10"/>
  <c r="G144" i="10"/>
  <c r="G145" i="10"/>
  <c r="G146" i="10"/>
  <c r="G147" i="10"/>
  <c r="G148" i="10"/>
  <c r="G149" i="10"/>
  <c r="G150" i="10"/>
  <c r="G151" i="10"/>
  <c r="G152" i="10"/>
  <c r="G153" i="10"/>
  <c r="G154" i="10"/>
  <c r="G155" i="10"/>
  <c r="G156" i="10"/>
  <c r="G157" i="10"/>
  <c r="G158" i="10"/>
  <c r="G159" i="10"/>
  <c r="G160" i="10"/>
  <c r="G161" i="10"/>
  <c r="G162" i="10"/>
  <c r="G163" i="10"/>
  <c r="G164" i="10"/>
  <c r="G165" i="10"/>
  <c r="G166" i="10"/>
  <c r="G167" i="10"/>
  <c r="G168" i="10"/>
  <c r="G169" i="10"/>
  <c r="G170" i="10"/>
  <c r="G171" i="10"/>
  <c r="G172" i="10"/>
  <c r="G173" i="10"/>
  <c r="G174" i="10"/>
  <c r="G175" i="10"/>
  <c r="G176" i="10"/>
  <c r="G177" i="10"/>
  <c r="G178" i="10"/>
  <c r="G179" i="10"/>
  <c r="G180" i="10"/>
  <c r="G181" i="10"/>
  <c r="G182" i="10"/>
  <c r="G183" i="10"/>
  <c r="G184" i="10"/>
  <c r="G185" i="10"/>
  <c r="G186" i="10"/>
  <c r="G187" i="10"/>
  <c r="G188" i="10"/>
  <c r="G189" i="10"/>
  <c r="G190" i="10"/>
  <c r="G191" i="10"/>
  <c r="G192" i="10"/>
  <c r="G193" i="10"/>
  <c r="G194" i="10"/>
  <c r="G195" i="10"/>
  <c r="G196" i="10"/>
  <c r="G197" i="10"/>
  <c r="G198" i="10"/>
  <c r="G199" i="10"/>
  <c r="G200" i="10"/>
  <c r="G201" i="10"/>
  <c r="G202" i="10"/>
  <c r="G203" i="10"/>
  <c r="G204" i="10"/>
  <c r="G205" i="10"/>
  <c r="G206" i="10"/>
  <c r="G207" i="10"/>
  <c r="G208" i="10"/>
  <c r="G209" i="10"/>
  <c r="G210" i="10"/>
  <c r="G211" i="10"/>
  <c r="G212" i="10"/>
  <c r="G213" i="10"/>
  <c r="G214" i="10"/>
  <c r="G215" i="10"/>
  <c r="G216" i="10"/>
  <c r="G217" i="10"/>
  <c r="G218" i="10"/>
  <c r="G219" i="10"/>
  <c r="G220" i="10"/>
  <c r="G221" i="10"/>
  <c r="G222" i="10"/>
  <c r="G223" i="10"/>
  <c r="G224" i="10"/>
  <c r="G225" i="10"/>
  <c r="G226" i="10"/>
  <c r="G227" i="10"/>
  <c r="G228" i="10"/>
  <c r="G229" i="10"/>
  <c r="G230" i="10"/>
  <c r="G231" i="10"/>
  <c r="G232" i="10"/>
  <c r="G233" i="10"/>
  <c r="G234" i="10"/>
  <c r="G235" i="10"/>
  <c r="G236" i="10"/>
  <c r="G237" i="10"/>
  <c r="G238" i="10"/>
  <c r="G239" i="10"/>
  <c r="G240" i="10"/>
  <c r="G241" i="10"/>
  <c r="G242" i="10"/>
  <c r="G243" i="10"/>
  <c r="G244" i="10"/>
  <c r="G245" i="10"/>
  <c r="G246" i="10"/>
  <c r="G247" i="10"/>
  <c r="G248" i="10"/>
  <c r="G249" i="10"/>
  <c r="G250" i="10"/>
  <c r="G251" i="10"/>
  <c r="G252" i="10"/>
  <c r="G253" i="10"/>
  <c r="G5" i="10"/>
  <c r="G6" i="10"/>
  <c r="G7" i="10"/>
  <c r="G4" i="10"/>
  <c r="F4" i="10"/>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15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F185" i="10"/>
  <c r="F186" i="10"/>
  <c r="F187" i="10"/>
  <c r="F188" i="10"/>
  <c r="F189" i="10"/>
  <c r="F190" i="10"/>
  <c r="F191" i="10"/>
  <c r="F192" i="10"/>
  <c r="F193" i="10"/>
  <c r="F194" i="10"/>
  <c r="F195" i="10"/>
  <c r="F196" i="10"/>
  <c r="F197" i="10"/>
  <c r="F198" i="10"/>
  <c r="F199" i="10"/>
  <c r="F200" i="10"/>
  <c r="F201" i="10"/>
  <c r="F202" i="10"/>
  <c r="F203" i="10"/>
  <c r="F204" i="10"/>
  <c r="F205" i="10"/>
  <c r="F206" i="10"/>
  <c r="F207" i="10"/>
  <c r="F208" i="10"/>
  <c r="F209" i="10"/>
  <c r="F210" i="10"/>
  <c r="F211" i="10"/>
  <c r="F212" i="10"/>
  <c r="F213" i="10"/>
  <c r="F214" i="10"/>
  <c r="F215" i="10"/>
  <c r="F216" i="10"/>
  <c r="F217" i="10"/>
  <c r="F218" i="10"/>
  <c r="F219" i="10"/>
  <c r="F220" i="10"/>
  <c r="F221" i="10"/>
  <c r="F222" i="10"/>
  <c r="F223" i="10"/>
  <c r="F224" i="10"/>
  <c r="F225" i="10"/>
  <c r="F226" i="10"/>
  <c r="F227" i="10"/>
  <c r="F228" i="10"/>
  <c r="F229" i="10"/>
  <c r="F230" i="10"/>
  <c r="F231" i="10"/>
  <c r="F232" i="10"/>
  <c r="F233" i="10"/>
  <c r="F234" i="10"/>
  <c r="F235" i="10"/>
  <c r="F236" i="10"/>
  <c r="F237" i="10"/>
  <c r="F238" i="10"/>
  <c r="F239" i="10"/>
  <c r="F240" i="10"/>
  <c r="F241" i="10"/>
  <c r="F242" i="10"/>
  <c r="F243" i="10"/>
  <c r="F244" i="10"/>
  <c r="F245" i="10"/>
  <c r="F246" i="10"/>
  <c r="F247" i="10"/>
  <c r="F248" i="10"/>
  <c r="F249" i="10"/>
  <c r="F250" i="10"/>
  <c r="F251" i="10"/>
  <c r="F252" i="10"/>
  <c r="F253" i="10"/>
  <c r="D4" i="10"/>
  <c r="D5" i="10"/>
  <c r="D6"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D64" i="10"/>
  <c r="D65" i="10"/>
  <c r="D66" i="10"/>
  <c r="D67" i="10"/>
  <c r="D68" i="10"/>
  <c r="D69" i="10"/>
  <c r="D70" i="10"/>
  <c r="D71" i="10"/>
  <c r="D72" i="10"/>
  <c r="D73" i="10"/>
  <c r="D74" i="10"/>
  <c r="D75" i="10"/>
  <c r="D76" i="10"/>
  <c r="D77" i="10"/>
  <c r="D78" i="10"/>
  <c r="D79" i="10"/>
  <c r="D80" i="10"/>
  <c r="D81" i="10"/>
  <c r="D82" i="10"/>
  <c r="D83" i="10"/>
  <c r="D84" i="10"/>
  <c r="D85" i="10"/>
  <c r="D86" i="10"/>
  <c r="D87" i="10"/>
  <c r="D88" i="10"/>
  <c r="D89" i="10"/>
  <c r="D90" i="10"/>
  <c r="D91" i="10"/>
  <c r="D92" i="10"/>
  <c r="D93" i="10"/>
  <c r="D94" i="10"/>
  <c r="D95" i="10"/>
  <c r="D96" i="10"/>
  <c r="D97" i="10"/>
  <c r="D98" i="10"/>
  <c r="D99" i="10"/>
  <c r="D100" i="10"/>
  <c r="D101" i="10"/>
  <c r="D102" i="10"/>
  <c r="D103" i="10"/>
  <c r="D104" i="10"/>
  <c r="D105" i="10"/>
  <c r="D106" i="10"/>
  <c r="D107" i="10"/>
  <c r="D108" i="10"/>
  <c r="D109" i="10"/>
  <c r="D110" i="10"/>
  <c r="D111" i="10"/>
  <c r="D112" i="10"/>
  <c r="D113" i="10"/>
  <c r="D114" i="10"/>
  <c r="D115" i="10"/>
  <c r="D116" i="10"/>
  <c r="D117" i="10"/>
  <c r="D118" i="10"/>
  <c r="D119" i="10"/>
  <c r="D120" i="10"/>
  <c r="D121" i="10"/>
  <c r="D122" i="10"/>
  <c r="D123" i="10"/>
  <c r="D124" i="10"/>
  <c r="D125" i="10"/>
  <c r="D126" i="10"/>
  <c r="D127" i="10"/>
  <c r="D128" i="10"/>
  <c r="D129" i="10"/>
  <c r="D130" i="10"/>
  <c r="D131" i="10"/>
  <c r="D132" i="10"/>
  <c r="D133" i="10"/>
  <c r="D134" i="10"/>
  <c r="D135" i="10"/>
  <c r="D136" i="10"/>
  <c r="D137" i="10"/>
  <c r="D138" i="10"/>
  <c r="D139" i="10"/>
  <c r="D140" i="10"/>
  <c r="D141" i="10"/>
  <c r="D142" i="10"/>
  <c r="D143" i="10"/>
  <c r="D144" i="10"/>
  <c r="D145" i="10"/>
  <c r="D146" i="10"/>
  <c r="D147" i="10"/>
  <c r="D148" i="10"/>
  <c r="D149" i="10"/>
  <c r="D150" i="10"/>
  <c r="D151" i="10"/>
  <c r="D152" i="10"/>
  <c r="D153" i="10"/>
  <c r="D154" i="10"/>
  <c r="D155" i="10"/>
  <c r="D156" i="10"/>
  <c r="D157" i="10"/>
  <c r="D158" i="10"/>
  <c r="D159" i="10"/>
  <c r="D160" i="10"/>
  <c r="D161" i="10"/>
  <c r="D162" i="10"/>
  <c r="D163" i="10"/>
  <c r="D164" i="10"/>
  <c r="D165" i="10"/>
  <c r="D166" i="10"/>
  <c r="D167" i="10"/>
  <c r="D168" i="10"/>
  <c r="D169" i="10"/>
  <c r="D170" i="10"/>
  <c r="D171" i="10"/>
  <c r="D172" i="10"/>
  <c r="D173" i="10"/>
  <c r="D174" i="10"/>
  <c r="D175" i="10"/>
  <c r="D176" i="10"/>
  <c r="D177" i="10"/>
  <c r="D178" i="10"/>
  <c r="D179" i="10"/>
  <c r="D180" i="10"/>
  <c r="D181" i="10"/>
  <c r="D182" i="10"/>
  <c r="D183" i="10"/>
  <c r="D184" i="10"/>
  <c r="D185" i="10"/>
  <c r="D186" i="10"/>
  <c r="D187" i="10"/>
  <c r="D188" i="10"/>
  <c r="D189" i="10"/>
  <c r="D190" i="10"/>
  <c r="D191" i="10"/>
  <c r="D192" i="10"/>
  <c r="D193" i="10"/>
  <c r="D194" i="10"/>
  <c r="D195" i="10"/>
  <c r="D196" i="10"/>
  <c r="D197" i="10"/>
  <c r="D198" i="10"/>
  <c r="D199" i="10"/>
  <c r="D200" i="10"/>
  <c r="D201" i="10"/>
  <c r="D202" i="10"/>
  <c r="D203" i="10"/>
  <c r="D204" i="10"/>
  <c r="D205" i="10"/>
  <c r="D206" i="10"/>
  <c r="D207" i="10"/>
  <c r="D208" i="10"/>
  <c r="D209" i="10"/>
  <c r="D210" i="10"/>
  <c r="D211" i="10"/>
  <c r="D212" i="10"/>
  <c r="D213" i="10"/>
  <c r="D214" i="10"/>
  <c r="D215" i="10"/>
  <c r="D216" i="10"/>
  <c r="D217" i="10"/>
  <c r="D218" i="10"/>
  <c r="D219" i="10"/>
  <c r="D220" i="10"/>
  <c r="D221" i="10"/>
  <c r="D222" i="10"/>
  <c r="D223" i="10"/>
  <c r="D224" i="10"/>
  <c r="D225" i="10"/>
  <c r="D226" i="10"/>
  <c r="D227" i="10"/>
  <c r="D228" i="10"/>
  <c r="D229" i="10"/>
  <c r="D230" i="10"/>
  <c r="D231" i="10"/>
  <c r="D232" i="10"/>
  <c r="D233" i="10"/>
  <c r="D234" i="10"/>
  <c r="D235" i="10"/>
  <c r="D236" i="10"/>
  <c r="D237" i="10"/>
  <c r="D238" i="10"/>
  <c r="D239" i="10"/>
  <c r="D240" i="10"/>
  <c r="D241" i="10"/>
  <c r="D242" i="10"/>
  <c r="D243" i="10"/>
  <c r="D244" i="10"/>
  <c r="D245" i="10"/>
  <c r="D246" i="10"/>
  <c r="D247" i="10"/>
  <c r="D248" i="10"/>
  <c r="D249" i="10"/>
  <c r="D250" i="10"/>
  <c r="D251" i="10"/>
  <c r="D252" i="10"/>
  <c r="D253" i="10"/>
  <c r="G3" i="10"/>
  <c r="F3" i="10"/>
  <c r="E3" i="10"/>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53" i="10"/>
  <c r="E54" i="10"/>
  <c r="E55" i="10"/>
  <c r="E56" i="10"/>
  <c r="E57" i="10"/>
  <c r="E58" i="10"/>
  <c r="E59" i="10"/>
  <c r="E60" i="10"/>
  <c r="E61" i="10"/>
  <c r="E62" i="10"/>
  <c r="E63" i="10"/>
  <c r="E64" i="10"/>
  <c r="E65" i="10"/>
  <c r="E66" i="10"/>
  <c r="E67" i="10"/>
  <c r="E68" i="10"/>
  <c r="E69" i="10"/>
  <c r="E70" i="10"/>
  <c r="E71" i="10"/>
  <c r="E72" i="10"/>
  <c r="E73" i="10"/>
  <c r="E74" i="10"/>
  <c r="E75" i="10"/>
  <c r="E76" i="10"/>
  <c r="E77" i="10"/>
  <c r="E78" i="10"/>
  <c r="E79" i="10"/>
  <c r="E80" i="10"/>
  <c r="E81" i="10"/>
  <c r="E82" i="10"/>
  <c r="E83" i="10"/>
  <c r="E84" i="10"/>
  <c r="E85" i="10"/>
  <c r="E86" i="10"/>
  <c r="E87" i="10"/>
  <c r="E88" i="10"/>
  <c r="E89" i="10"/>
  <c r="E90" i="10"/>
  <c r="E91" i="10"/>
  <c r="E92" i="10"/>
  <c r="E93" i="10"/>
  <c r="E94" i="10"/>
  <c r="E95" i="10"/>
  <c r="E96" i="10"/>
  <c r="E97" i="10"/>
  <c r="E98" i="10"/>
  <c r="E99" i="10"/>
  <c r="E100" i="10"/>
  <c r="E101" i="10"/>
  <c r="E102" i="10"/>
  <c r="E103" i="10"/>
  <c r="E104" i="10"/>
  <c r="E105" i="10"/>
  <c r="E106" i="10"/>
  <c r="E107" i="10"/>
  <c r="E108" i="10"/>
  <c r="E109" i="10"/>
  <c r="E110" i="10"/>
  <c r="E111" i="10"/>
  <c r="E112" i="10"/>
  <c r="E113" i="10"/>
  <c r="E114" i="10"/>
  <c r="E115" i="10"/>
  <c r="E116" i="10"/>
  <c r="E117" i="10"/>
  <c r="E118" i="10"/>
  <c r="E119" i="10"/>
  <c r="E120" i="10"/>
  <c r="E121" i="10"/>
  <c r="E122" i="10"/>
  <c r="E123" i="10"/>
  <c r="E124" i="10"/>
  <c r="E125" i="10"/>
  <c r="E126" i="10"/>
  <c r="E127" i="10"/>
  <c r="E128" i="10"/>
  <c r="E129" i="10"/>
  <c r="E130" i="10"/>
  <c r="E131" i="10"/>
  <c r="E132" i="10"/>
  <c r="E133" i="10"/>
  <c r="E134" i="10"/>
  <c r="E135" i="10"/>
  <c r="E136" i="10"/>
  <c r="E137" i="10"/>
  <c r="E138" i="10"/>
  <c r="E139" i="10"/>
  <c r="E140" i="10"/>
  <c r="E141" i="10"/>
  <c r="E142" i="10"/>
  <c r="E143" i="10"/>
  <c r="E144" i="10"/>
  <c r="E145" i="10"/>
  <c r="E146" i="10"/>
  <c r="E147" i="10"/>
  <c r="E148" i="10"/>
  <c r="E149" i="10"/>
  <c r="E150" i="10"/>
  <c r="E151" i="10"/>
  <c r="E152" i="10"/>
  <c r="E153" i="10"/>
  <c r="E154" i="10"/>
  <c r="E155" i="10"/>
  <c r="E156" i="10"/>
  <c r="E157" i="10"/>
  <c r="E158" i="10"/>
  <c r="E159" i="10"/>
  <c r="E160" i="10"/>
  <c r="E161" i="10"/>
  <c r="E162" i="10"/>
  <c r="E163" i="10"/>
  <c r="E164" i="10"/>
  <c r="E165" i="10"/>
  <c r="E166" i="10"/>
  <c r="E167" i="10"/>
  <c r="E168" i="10"/>
  <c r="E169" i="10"/>
  <c r="E170" i="10"/>
  <c r="E171" i="10"/>
  <c r="E172" i="10"/>
  <c r="E173" i="10"/>
  <c r="E174" i="10"/>
  <c r="E175" i="10"/>
  <c r="E176" i="10"/>
  <c r="E177" i="10"/>
  <c r="E178" i="10"/>
  <c r="E179" i="10"/>
  <c r="E180" i="10"/>
  <c r="E181" i="10"/>
  <c r="E182" i="10"/>
  <c r="E183" i="10"/>
  <c r="E184" i="10"/>
  <c r="E185" i="10"/>
  <c r="E186" i="10"/>
  <c r="E187" i="10"/>
  <c r="E188" i="10"/>
  <c r="E189" i="10"/>
  <c r="E190" i="10"/>
  <c r="E191" i="10"/>
  <c r="E192" i="10"/>
  <c r="E193" i="10"/>
  <c r="E194" i="10"/>
  <c r="E195" i="10"/>
  <c r="E196" i="10"/>
  <c r="E197" i="10"/>
  <c r="E198" i="10"/>
  <c r="E199" i="10"/>
  <c r="E200" i="10"/>
  <c r="E201" i="10"/>
  <c r="E202" i="10"/>
  <c r="E203" i="10"/>
  <c r="E204" i="10"/>
  <c r="E205" i="10"/>
  <c r="E206" i="10"/>
  <c r="E207" i="10"/>
  <c r="E208" i="10"/>
  <c r="E209" i="10"/>
  <c r="E210" i="10"/>
  <c r="E211" i="10"/>
  <c r="E212" i="10"/>
  <c r="E213" i="10"/>
  <c r="E214" i="10"/>
  <c r="E215" i="10"/>
  <c r="E216" i="10"/>
  <c r="E217" i="10"/>
  <c r="E218" i="10"/>
  <c r="E219" i="10"/>
  <c r="E220" i="10"/>
  <c r="E221" i="10"/>
  <c r="E222" i="10"/>
  <c r="E223" i="10"/>
  <c r="E224" i="10"/>
  <c r="E225" i="10"/>
  <c r="E226" i="10"/>
  <c r="E227" i="10"/>
  <c r="E228" i="10"/>
  <c r="E229" i="10"/>
  <c r="E230" i="10"/>
  <c r="E231" i="10"/>
  <c r="E232" i="10"/>
  <c r="E233" i="10"/>
  <c r="E234" i="10"/>
  <c r="E235" i="10"/>
  <c r="E236" i="10"/>
  <c r="E237" i="10"/>
  <c r="E238" i="10"/>
  <c r="E239" i="10"/>
  <c r="E240" i="10"/>
  <c r="E241" i="10"/>
  <c r="E242" i="10"/>
  <c r="E243" i="10"/>
  <c r="E244" i="10"/>
  <c r="E245" i="10"/>
  <c r="E246" i="10"/>
  <c r="E247" i="10"/>
  <c r="E248" i="10"/>
  <c r="E249" i="10"/>
  <c r="E250" i="10"/>
  <c r="E251" i="10"/>
  <c r="E252" i="10"/>
  <c r="E253" i="10"/>
  <c r="D3" i="10"/>
  <c r="I2" i="10"/>
  <c r="H2" i="10"/>
  <c r="C10" i="8"/>
  <c r="C154" i="17"/>
  <c r="C85" i="2"/>
  <c r="C81" i="2"/>
  <c r="C80" i="2"/>
  <c r="C17" i="2"/>
  <c r="E28" i="16"/>
  <c r="E29" i="16"/>
  <c r="F41" i="2"/>
  <c r="D25" i="13"/>
  <c r="H28" i="16"/>
  <c r="H29" i="16"/>
  <c r="F42" i="2"/>
  <c r="D26" i="13"/>
  <c r="D71" i="12" a="1"/>
  <c r="D70" i="12" a="1"/>
  <c r="D73" i="12" a="1"/>
  <c r="D10" i="12" a="1"/>
  <c r="D49" i="12" a="1"/>
  <c r="D68" i="12" a="1"/>
  <c r="D47" i="12" a="1"/>
  <c r="D59" i="12" a="1"/>
  <c r="D76" i="12" a="1"/>
  <c r="D52" i="12" a="1"/>
  <c r="D19" i="12" a="1"/>
  <c r="D77" i="12" a="1"/>
  <c r="D51" i="12" a="1"/>
  <c r="D75" i="12" a="1"/>
  <c r="D46" i="12" a="1"/>
  <c r="D82" i="12" a="1"/>
  <c r="D61" i="12" a="1"/>
  <c r="D69" i="12" a="1"/>
  <c r="D81" i="12" a="1"/>
  <c r="D7" i="12" a="1"/>
  <c r="D66" i="12" a="1"/>
  <c r="D64" i="12" a="1"/>
  <c r="D67" i="12" a="1"/>
  <c r="D74" i="12" a="1"/>
  <c r="D65" i="12" a="1"/>
  <c r="D48" i="12" a="1"/>
  <c r="D79" i="12" a="1"/>
  <c r="D80" i="12" a="1"/>
  <c r="D4" i="12" a="1"/>
  <c r="D45" i="12" a="1"/>
  <c r="D72" i="12" a="1"/>
  <c r="D58" i="12" a="1"/>
  <c r="D20" i="12" a="1"/>
  <c r="D21" i="12" a="1"/>
  <c r="D50" i="12" a="1"/>
  <c r="D38" i="12" a="1"/>
  <c r="D37" i="12" a="1"/>
  <c r="D83" i="12" a="1"/>
  <c r="D63" i="12" a="1"/>
  <c r="D53" i="12" a="1"/>
  <c r="D14" i="13" l="1"/>
  <c r="B62" i="2"/>
  <c r="B55" i="1"/>
  <c r="B49" i="1"/>
  <c r="C39" i="17"/>
  <c r="C44" i="17" s="1"/>
  <c r="C89" i="17"/>
  <c r="B60" i="1"/>
  <c r="C53" i="1"/>
  <c r="B50" i="1"/>
  <c r="B61" i="1"/>
  <c r="B63" i="2"/>
  <c r="E33" i="3"/>
  <c r="F33" i="3" s="1"/>
  <c r="E11" i="7"/>
  <c r="E16" i="5"/>
  <c r="F16" i="5" s="1"/>
  <c r="E11" i="3"/>
  <c r="F11" i="3" s="1"/>
  <c r="C40" i="17" s="1"/>
  <c r="E11" i="5"/>
  <c r="F11" i="5" s="1"/>
  <c r="C132" i="17" s="1"/>
  <c r="E76" i="1"/>
  <c r="F76" i="1" s="1"/>
  <c r="C126" i="17" s="1"/>
  <c r="E53" i="1"/>
  <c r="E41" i="3"/>
  <c r="D3" i="13"/>
  <c r="E17" i="3"/>
  <c r="F12" i="4"/>
  <c r="E22" i="1"/>
  <c r="F22" i="1" s="1"/>
  <c r="C46" i="1"/>
  <c r="F14" i="2" s="1"/>
  <c r="C70" i="2"/>
  <c r="E71" i="1"/>
  <c r="E47" i="3"/>
  <c r="C26" i="17"/>
  <c r="E43" i="1"/>
  <c r="F43" i="1" s="1"/>
  <c r="C125" i="17"/>
  <c r="C19" i="5"/>
  <c r="C21" i="5" s="1"/>
  <c r="C50" i="2"/>
  <c r="E10" i="8"/>
  <c r="F10" i="8" s="1"/>
  <c r="C155" i="17" s="1"/>
  <c r="E13" i="1"/>
  <c r="F13" i="1" s="1"/>
  <c r="C76" i="17" s="1"/>
  <c r="E61" i="1"/>
  <c r="B54" i="1"/>
  <c r="B51" i="1"/>
  <c r="B53" i="1"/>
  <c r="B56" i="1"/>
  <c r="B57" i="1"/>
  <c r="C61" i="1"/>
  <c r="B52" i="1"/>
  <c r="C30" i="17"/>
  <c r="B58" i="1"/>
  <c r="B59" i="1"/>
  <c r="D21" i="12"/>
  <c r="D75" i="12"/>
  <c r="D83" i="12"/>
  <c r="D68" i="12"/>
  <c r="D37" i="12"/>
  <c r="D73" i="12"/>
  <c r="D52" i="12"/>
  <c r="D20" i="12"/>
  <c r="D38" i="12"/>
  <c r="D77" i="12"/>
  <c r="D65" i="12"/>
  <c r="D70" i="12"/>
  <c r="D79" i="12"/>
  <c r="D71" i="12"/>
  <c r="D74" i="12"/>
  <c r="D46" i="12"/>
  <c r="D51" i="12"/>
  <c r="D47" i="12"/>
  <c r="D45" i="12"/>
  <c r="D63" i="12"/>
  <c r="D49" i="12"/>
  <c r="D61" i="12"/>
  <c r="D72" i="12"/>
  <c r="D59" i="12"/>
  <c r="D82" i="12"/>
  <c r="D10" i="12"/>
  <c r="D50" i="12"/>
  <c r="D64" i="12"/>
  <c r="D69" i="12"/>
  <c r="D58" i="12"/>
  <c r="D66" i="12"/>
  <c r="D7" i="12"/>
  <c r="D4" i="12"/>
  <c r="D48" i="12"/>
  <c r="D81" i="12"/>
  <c r="D76" i="12"/>
  <c r="D19" i="12"/>
  <c r="D80" i="12"/>
  <c r="D53" i="12"/>
  <c r="D67" i="12"/>
  <c r="C49" i="17"/>
  <c r="C62" i="17" s="1"/>
  <c r="C25" i="17"/>
  <c r="C55" i="2"/>
  <c r="C27" i="17"/>
  <c r="C28" i="17"/>
  <c r="C29" i="17"/>
  <c r="C137" i="17"/>
  <c r="C90" i="17"/>
  <c r="C108" i="17" s="1"/>
  <c r="C72" i="2"/>
  <c r="D41" i="12" a="1"/>
  <c r="D22" i="12" a="1"/>
  <c r="D42" i="12" a="1"/>
  <c r="D30" i="12" a="1"/>
  <c r="D39" i="12" a="1"/>
  <c r="D29" i="12" a="1"/>
  <c r="D23" i="12" a="1"/>
  <c r="D24" i="12" a="1"/>
  <c r="D5" i="12" a="1"/>
  <c r="D28" i="12" a="1"/>
  <c r="D16" i="12" a="1"/>
  <c r="D62" i="12" a="1"/>
  <c r="D13" i="12" a="1"/>
  <c r="D40" i="12" a="1"/>
  <c r="F53" i="1" l="1"/>
  <c r="F62" i="2" s="1"/>
  <c r="C64" i="1"/>
  <c r="C109" i="17"/>
  <c r="C47" i="1"/>
  <c r="C62" i="2"/>
  <c r="F19" i="5"/>
  <c r="C140" i="17" s="1"/>
  <c r="D23" i="12"/>
  <c r="C111" i="17"/>
  <c r="C114" i="17" s="1"/>
  <c r="D41" i="12"/>
  <c r="F65" i="2"/>
  <c r="C61" i="2"/>
  <c r="D29" i="12"/>
  <c r="D39" i="12"/>
  <c r="D62" i="12"/>
  <c r="D30" i="12"/>
  <c r="D22" i="12"/>
  <c r="D5" i="12"/>
  <c r="D28" i="12"/>
  <c r="C84" i="17"/>
  <c r="C139" i="17"/>
  <c r="C71" i="2"/>
  <c r="F46" i="1"/>
  <c r="C91" i="17"/>
  <c r="C32" i="17"/>
  <c r="F50" i="2"/>
  <c r="C6" i="16" s="1"/>
  <c r="M6" i="16" s="1"/>
  <c r="F85" i="2"/>
  <c r="C24" i="16" s="1"/>
  <c r="M24" i="16" s="1"/>
  <c r="D16" i="12"/>
  <c r="D13" i="12"/>
  <c r="D24" i="12"/>
  <c r="D42" i="12"/>
  <c r="C50" i="17"/>
  <c r="C63" i="2"/>
  <c r="C115" i="17"/>
  <c r="C120" i="17" s="1"/>
  <c r="F61" i="1"/>
  <c r="C138" i="17"/>
  <c r="D40" i="12"/>
  <c r="C73" i="2"/>
  <c r="C142" i="17"/>
  <c r="D32" i="12" a="1"/>
  <c r="D33" i="12" a="1"/>
  <c r="D31" i="12" a="1"/>
  <c r="D43" i="12" a="1"/>
  <c r="C112" i="17" l="1"/>
  <c r="D32" i="12"/>
  <c r="C65" i="1"/>
  <c r="F64" i="1"/>
  <c r="F65" i="1" s="1"/>
  <c r="C68" i="1"/>
  <c r="F15" i="2"/>
  <c r="F21" i="5"/>
  <c r="F73" i="2" s="1"/>
  <c r="C15" i="16" s="1"/>
  <c r="M15" i="16" s="1"/>
  <c r="D43" i="12"/>
  <c r="F47" i="1"/>
  <c r="D31" i="12"/>
  <c r="C110" i="17"/>
  <c r="F61" i="2"/>
  <c r="D33" i="12"/>
  <c r="C116" i="17"/>
  <c r="F63" i="2"/>
  <c r="D44" i="12" a="1"/>
  <c r="C123" i="17" l="1"/>
  <c r="C71" i="1"/>
  <c r="C79" i="1" s="1"/>
  <c r="D44" i="12"/>
  <c r="C143" i="17"/>
  <c r="D25" i="12" a="1"/>
  <c r="C81" i="1" l="1"/>
  <c r="D25" i="12"/>
  <c r="K8" i="10"/>
  <c r="F71" i="1"/>
  <c r="K6" i="10"/>
  <c r="K7" i="10"/>
  <c r="C64" i="2"/>
  <c r="C121" i="17"/>
  <c r="C124" i="17" s="1"/>
  <c r="K5" i="10"/>
  <c r="D26" i="12" a="1"/>
  <c r="D34" i="12" a="1"/>
  <c r="K2" i="10" l="1"/>
  <c r="F18" i="2" s="1"/>
  <c r="K4" i="10"/>
  <c r="D26" i="12"/>
  <c r="D34" i="12"/>
  <c r="C66" i="2"/>
  <c r="C127" i="17"/>
  <c r="C122" i="17"/>
  <c r="F79" i="1"/>
  <c r="F81" i="1" s="1"/>
  <c r="F64" i="2"/>
  <c r="D35" i="12" a="1"/>
  <c r="D27" i="12" a="1"/>
  <c r="D78" i="12" a="1"/>
  <c r="K3" i="10" l="1"/>
  <c r="D35" i="12"/>
  <c r="D27" i="12"/>
  <c r="D78" i="12"/>
  <c r="F66" i="2"/>
  <c r="C128" i="17"/>
  <c r="C67" i="2"/>
  <c r="C129" i="17"/>
  <c r="C36" i="3"/>
  <c r="C14" i="3"/>
  <c r="L2" i="10"/>
  <c r="C14" i="17"/>
  <c r="D36" i="12" a="1"/>
  <c r="D36" i="12" l="1"/>
  <c r="C47" i="17"/>
  <c r="C17" i="3"/>
  <c r="C41" i="3"/>
  <c r="C65" i="17"/>
  <c r="C130" i="17"/>
  <c r="F67" i="2"/>
  <c r="C12" i="16" s="1"/>
  <c r="M12" i="16" s="1"/>
  <c r="D8" i="12" a="1"/>
  <c r="D9" i="12" a="1"/>
  <c r="D8" i="12" l="1"/>
  <c r="D9" i="12"/>
  <c r="C45" i="17"/>
  <c r="C48" i="17" s="1"/>
  <c r="C44" i="3"/>
  <c r="F17" i="3"/>
  <c r="C54" i="2"/>
  <c r="C56" i="2"/>
  <c r="F41" i="3"/>
  <c r="C63" i="17"/>
  <c r="C68" i="17" s="1"/>
  <c r="D15" i="12" a="1"/>
  <c r="D14" i="12" a="1"/>
  <c r="D15" i="12" l="1"/>
  <c r="D14" i="12"/>
  <c r="C71" i="17"/>
  <c r="C47" i="3"/>
  <c r="C64" i="17"/>
  <c r="C46" i="17"/>
  <c r="D11" i="12" a="1"/>
  <c r="D11" i="12" l="1"/>
  <c r="C57" i="2"/>
  <c r="F47" i="3"/>
  <c r="C69" i="17"/>
  <c r="C72" i="17" s="1"/>
  <c r="C49" i="3"/>
  <c r="D12" i="12" a="1"/>
  <c r="D17" i="12" a="1"/>
  <c r="D17" i="12" l="1"/>
  <c r="D12" i="12"/>
  <c r="C70" i="17"/>
  <c r="F49" i="3"/>
  <c r="C73" i="17"/>
  <c r="C6" i="7"/>
  <c r="C58" i="2"/>
  <c r="D18" i="12" a="1"/>
  <c r="D57" i="12" a="1"/>
  <c r="D18" i="12" l="1"/>
  <c r="D57" i="12"/>
  <c r="C74" i="17"/>
  <c r="F58" i="2"/>
  <c r="C9" i="16" s="1"/>
  <c r="M9" i="16" s="1"/>
  <c r="C151" i="17"/>
  <c r="C79" i="2"/>
  <c r="C11" i="7"/>
  <c r="D56" i="12" a="1"/>
  <c r="D56" i="12" l="1"/>
  <c r="C82" i="2"/>
  <c r="C149" i="17"/>
  <c r="C153" i="17" s="1"/>
  <c r="F11" i="7"/>
  <c r="D60" i="12" a="1"/>
  <c r="D60" i="12" l="1"/>
  <c r="F82" i="2"/>
  <c r="C21" i="16" s="1"/>
  <c r="M21" i="16" s="1"/>
  <c r="C150" i="17"/>
  <c r="C6" i="6"/>
  <c r="C144" i="17" l="1"/>
  <c r="C10" i="6"/>
  <c r="D54" i="12" a="1"/>
  <c r="D54" i="12" l="1"/>
  <c r="C147" i="17"/>
  <c r="C146" i="17" s="1"/>
  <c r="C89" i="2"/>
  <c r="F10" i="6"/>
  <c r="C76" i="2"/>
  <c r="C38" i="2"/>
  <c r="D55" i="12" a="1"/>
  <c r="D55" i="12" l="1"/>
  <c r="C148" i="17"/>
  <c r="F38" i="2"/>
  <c r="F39" i="2" s="1"/>
  <c r="F89" i="2"/>
  <c r="F90" i="2" s="1"/>
  <c r="F76" i="2"/>
  <c r="C18" i="16" s="1"/>
  <c r="M18" i="16" l="1"/>
  <c r="M28" i="16" s="1"/>
  <c r="C28" i="16"/>
  <c r="H31" i="16" l="1"/>
  <c r="C29" i="16"/>
  <c r="M29" i="16"/>
  <c r="D28" i="13"/>
  <c r="F44" i="2" l="1"/>
  <c r="F45" i="2" s="1"/>
  <c r="E37" i="13"/>
  <c r="E38" i="13"/>
  <c r="E36" i="13"/>
  <c r="E3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<sst xmlns="http://schemas.openxmlformats.org/spreadsheetml/2006/main" count="1076" uniqueCount="608">
  <si>
    <t>Updated June 2024</t>
  </si>
  <si>
    <t>Quick Start Guide</t>
  </si>
  <si>
    <t>GENERAL INFORMATION</t>
  </si>
  <si>
    <t>2) This workbook is protected so that the worksheets within it cannot be moved or deleted in the usual manner.  This protection is necessary to ensure that the cost estimate details and formulas align with the estimating application in the Capital Budgeting System.</t>
  </si>
  <si>
    <t>3) The estimating format to develop the maximum allowable construction cost (MACC) is presented in Uniformat II.</t>
  </si>
  <si>
    <t>4) Form-calculated costs such as A/E Basic Design Service fees and Agency Project Management costs are dependent on other estimated project costs such as MACC, equipment, etc.</t>
  </si>
  <si>
    <t xml:space="preserve">5) Project estimates generated with this tool are not sufficient for budget request submittals to OFM.  Use the Capital Budgeting System to submit capital project budget requests and attach the C-100 form. </t>
  </si>
  <si>
    <t>6) Contact your assigned OFM Capital Budget Analyst with questions.</t>
  </si>
  <si>
    <t>OFM Capital Budget Analyst</t>
  </si>
  <si>
    <t>INSTRUCTIONS</t>
  </si>
  <si>
    <t>1) Only green cells are available for data entry.</t>
  </si>
  <si>
    <t>2) Fill in all known cells in the 'Summary' tab prior to moving on to the cost entry tabs A-G.</t>
  </si>
  <si>
    <t>3) It is recommended, but not required, to fill out cost entry tabs in the following order:</t>
  </si>
  <si>
    <t>A. Acquisition, C. Construction Contracts, D. Equipment, G. Other Costs, B. Consultant Services, F. Project Management, then E. Artwork.</t>
  </si>
  <si>
    <t>4) If additional rows are inserted to capture additional project costs, a description must be provided in the Notes column or within Tab H. Additional Notes.  Be particularly detailed for additional costs estimated for contingencies and project management.</t>
  </si>
  <si>
    <t>FORM-CALCULATED COSTS (FEE CALCULATIONS)</t>
  </si>
  <si>
    <t>1) A/E Basic Design Services:  AE Fee % (x) (MACC or TCC + Contingency)</t>
  </si>
  <si>
    <t>2) Design Services Contingency:  Contingency % (x) Consultant Services Subtotal</t>
  </si>
  <si>
    <t>3) Construction Contingency:  Contingency % (x) MACC or TCC</t>
  </si>
  <si>
    <t>4) Artwork:  0.5% (x) Total Project Cost</t>
  </si>
  <si>
    <t>5) Agency Project Management (Greater than $1million):  (AE Fee % - 3%) (x) (Acquisition Total + Consultant Services Total + MACC + Construction Contingency + Other Costs)</t>
  </si>
  <si>
    <r>
      <rPr>
        <b/>
        <sz val="16"/>
        <color theme="1"/>
        <rFont val="Calibri"/>
        <family val="2"/>
        <scheme val="minor"/>
      </rPr>
      <t>S</t>
    </r>
    <r>
      <rPr>
        <b/>
        <sz val="11"/>
        <color theme="1"/>
        <rFont val="Calibri"/>
        <family val="2"/>
        <scheme val="minor"/>
      </rPr>
      <t xml:space="preserve">TATE OF </t>
    </r>
    <r>
      <rPr>
        <b/>
        <sz val="16"/>
        <color theme="1"/>
        <rFont val="Calibri"/>
        <family val="2"/>
        <scheme val="minor"/>
      </rPr>
      <t>W</t>
    </r>
    <r>
      <rPr>
        <b/>
        <sz val="11"/>
        <color theme="1"/>
        <rFont val="Calibri"/>
        <family val="2"/>
        <scheme val="minor"/>
      </rPr>
      <t>ASHINGTON</t>
    </r>
  </si>
  <si>
    <t>AGENCY / INSTITUTION PROJECT COST SUMMARY</t>
  </si>
  <si>
    <t>Agency</t>
  </si>
  <si>
    <t>Project Name</t>
  </si>
  <si>
    <t>OFM Project Number</t>
  </si>
  <si>
    <t>Contact Information</t>
  </si>
  <si>
    <t>Name</t>
  </si>
  <si>
    <t>Phone Number</t>
  </si>
  <si>
    <t>Email</t>
  </si>
  <si>
    <t>Statistics</t>
  </si>
  <si>
    <t>Gross Square Feet</t>
  </si>
  <si>
    <t>MACC per Gross Square Foot</t>
  </si>
  <si>
    <t>Usable Square Feet</t>
  </si>
  <si>
    <t>Escalated MACC per Gross Square Foot</t>
  </si>
  <si>
    <t>Alt Gross Unit of Measure</t>
  </si>
  <si>
    <t>Space Efficiency</t>
  </si>
  <si>
    <t>A/E Fee Class</t>
  </si>
  <si>
    <t>Construction Type</t>
  </si>
  <si>
    <t>Courthouses</t>
  </si>
  <si>
    <t>A/E Fee Percentage</t>
  </si>
  <si>
    <t>Remodel</t>
  </si>
  <si>
    <t>Projected Life of Asset (Years)</t>
  </si>
  <si>
    <t>Additional Project Details</t>
  </si>
  <si>
    <t>Procurement Approach</t>
  </si>
  <si>
    <t>GCCM</t>
  </si>
  <si>
    <t>Art Requirement Applies</t>
  </si>
  <si>
    <t>Inflation Rate</t>
  </si>
  <si>
    <t>Higher Ed Institution</t>
  </si>
  <si>
    <t>Sales Tax Rate %</t>
  </si>
  <si>
    <t>Location Used for Tax Rate</t>
  </si>
  <si>
    <t>Contingency Rate</t>
  </si>
  <si>
    <t>Base Month (Estimate Date)</t>
  </si>
  <si>
    <t>OFM UFI# (from FPMT, if available)</t>
  </si>
  <si>
    <t>Project Administered By</t>
  </si>
  <si>
    <t>Schedule</t>
  </si>
  <si>
    <t>Predesign Start</t>
  </si>
  <si>
    <t>Predesign End</t>
  </si>
  <si>
    <t>Design Start</t>
  </si>
  <si>
    <t>Design End</t>
  </si>
  <si>
    <t>Construction Start</t>
  </si>
  <si>
    <t>Construction End</t>
  </si>
  <si>
    <t>Construction Duration</t>
  </si>
  <si>
    <t>Green cells must be filled in by user</t>
  </si>
  <si>
    <t>Project Cost Summary</t>
  </si>
  <si>
    <t>Total Project</t>
  </si>
  <si>
    <t>Total Project Escalated</t>
  </si>
  <si>
    <t>Rounded Escalated Total</t>
  </si>
  <si>
    <t>Amount funded in Prior Biennia</t>
  </si>
  <si>
    <t>Amount in current Biennium</t>
  </si>
  <si>
    <t>Next Biennium</t>
  </si>
  <si>
    <t>Out Years</t>
  </si>
  <si>
    <t>Acquisition</t>
  </si>
  <si>
    <t>Acquisition Subtotal</t>
  </si>
  <si>
    <t>Acquisition Subtotal Escalated</t>
  </si>
  <si>
    <t>Consultant Services</t>
  </si>
  <si>
    <t>Predesign Services</t>
  </si>
  <si>
    <t>Design Phase Services</t>
  </si>
  <si>
    <t>Extra Services</t>
  </si>
  <si>
    <t>Other Services</t>
  </si>
  <si>
    <t>Design Services Contingency</t>
  </si>
  <si>
    <t>Consultant Services Subtotal</t>
  </si>
  <si>
    <t>Consultant Services Subtotal Escalated</t>
  </si>
  <si>
    <t>Construction</t>
  </si>
  <si>
    <t>Maximum Allowable Construction Cost (MACC)</t>
  </si>
  <si>
    <t>Maximum Allowable Construction Cost (MACC) Escalated</t>
  </si>
  <si>
    <t>Owner Construction Contingency</t>
  </si>
  <si>
    <t>Non-Taxable Items</t>
  </si>
  <si>
    <t>Sales Tax</t>
  </si>
  <si>
    <t>Sales Tax Escalated</t>
  </si>
  <si>
    <t>Construction Subtotal</t>
  </si>
  <si>
    <t>Construction Subtotal Escalated</t>
  </si>
  <si>
    <t>Equipment</t>
  </si>
  <si>
    <t>Equipment Subtotal</t>
  </si>
  <si>
    <t>Equipment Subtotal Escalated</t>
  </si>
  <si>
    <t>Artwork</t>
  </si>
  <si>
    <t>Artwork Subtotal</t>
  </si>
  <si>
    <t>Artwork Subtotal Escalated</t>
  </si>
  <si>
    <t>Agency Project Administration</t>
  </si>
  <si>
    <t>Agency Project Administration Subtotal</t>
  </si>
  <si>
    <t>DES Additional Services Subtotal</t>
  </si>
  <si>
    <t>Other Project Admin Costs</t>
  </si>
  <si>
    <t>Project Administration Subtotal</t>
  </si>
  <si>
    <t>Project Administration Subtotal Escalated</t>
  </si>
  <si>
    <t>Other Costs</t>
  </si>
  <si>
    <t>Other Costs Subtotal</t>
  </si>
  <si>
    <t>Other Costs Subtotal Escalated</t>
  </si>
  <si>
    <t>Project Cost Estimate</t>
  </si>
  <si>
    <t>Funding Summary</t>
  </si>
  <si>
    <t>Current Biennium</t>
  </si>
  <si>
    <t>Project Cost (Escalated)</t>
  </si>
  <si>
    <t>Funded in Prior Biennia</t>
  </si>
  <si>
    <t>2025-2027</t>
  </si>
  <si>
    <t>2027-2029</t>
  </si>
  <si>
    <t>Percentage requested as a new appropriation</t>
  </si>
  <si>
    <r>
      <t>What is planned for the requested new appropriation? (</t>
    </r>
    <r>
      <rPr>
        <b/>
        <i/>
        <sz val="12"/>
        <color theme="1"/>
        <rFont val="Calibri"/>
        <family val="2"/>
        <scheme val="minor"/>
      </rPr>
      <t>Ex. Acquisition and design, phase 1 construction, etc.</t>
    </r>
    <r>
      <rPr>
        <b/>
        <sz val="12"/>
        <color theme="1"/>
        <rFont val="Calibri"/>
        <family val="2"/>
        <scheme val="minor"/>
      </rPr>
      <t>)</t>
    </r>
  </si>
  <si>
    <t>Insert Row Here</t>
  </si>
  <si>
    <t>What has been completed or is underway with a previous appropriation?</t>
  </si>
  <si>
    <t xml:space="preserve">What is planned with a future appropriation? </t>
  </si>
  <si>
    <t>C-100(2021)</t>
  </si>
  <si>
    <t>Basis of Estimate</t>
  </si>
  <si>
    <t>Scope of work: Brief description of project</t>
  </si>
  <si>
    <t>Function, size, number of storys, character, quality</t>
  </si>
  <si>
    <t>Site Conditions: Brief summary of key site factors influencing cost</t>
  </si>
  <si>
    <t>Site constraints, congestion, site access, topography, ground conditions</t>
  </si>
  <si>
    <t>Construction Conditions: Brief summary of key construction operations influencing cost</t>
  </si>
  <si>
    <t>Working hours, noise/dust, other users, ease of access</t>
  </si>
  <si>
    <t>Market Conditions: Brief summary of key bidding factors influencing cost</t>
  </si>
  <si>
    <t>Availability of labor, market hunger, market readiness</t>
  </si>
  <si>
    <t>Major Risks</t>
  </si>
  <si>
    <t>Exclusions: Major cost items excluded from the project</t>
  </si>
  <si>
    <t>Other Comments</t>
  </si>
  <si>
    <t>Cost Estimate Details</t>
  </si>
  <si>
    <t>Acquisition Costs</t>
  </si>
  <si>
    <t>Item</t>
  </si>
  <si>
    <t>Base Amount</t>
  </si>
  <si>
    <t>Escalation Factor</t>
  </si>
  <si>
    <t>Escalated Cost</t>
  </si>
  <si>
    <t>Notes</t>
  </si>
  <si>
    <t>Purchase/Lease</t>
  </si>
  <si>
    <t>Appraisal and Closing</t>
  </si>
  <si>
    <t>Right of Way</t>
  </si>
  <si>
    <t>Demolition</t>
  </si>
  <si>
    <t>Pre-Site Development</t>
  </si>
  <si>
    <t>Other</t>
  </si>
  <si>
    <t>ACQUISITION TOTAL</t>
  </si>
  <si>
    <t>NA</t>
  </si>
  <si>
    <t>1) Pre-Schematic Design Services</t>
  </si>
  <si>
    <t>Programming/Site Analysis</t>
  </si>
  <si>
    <t>Environmental Analysis</t>
  </si>
  <si>
    <t>Predesign Study</t>
  </si>
  <si>
    <t xml:space="preserve">Other </t>
  </si>
  <si>
    <t>Sub TOTAL</t>
  </si>
  <si>
    <t>Escalated to Design Start</t>
  </si>
  <si>
    <t>2) Construction Documents</t>
  </si>
  <si>
    <t>A/E Basic Design Services</t>
  </si>
  <si>
    <t>69% of A/E Basic Services</t>
  </si>
  <si>
    <t>Escalated to Mid-Design</t>
  </si>
  <si>
    <t>3) Extra Services</t>
  </si>
  <si>
    <t>Civil Design (Above Basic Svcs)</t>
  </si>
  <si>
    <t>Geotechnical Investigation</t>
  </si>
  <si>
    <t>Commissioning</t>
  </si>
  <si>
    <t>Site Survey</t>
  </si>
  <si>
    <t>Testing</t>
  </si>
  <si>
    <t>LEED Services</t>
  </si>
  <si>
    <t>Voice/Data Consultant</t>
  </si>
  <si>
    <t>Value Engineering</t>
  </si>
  <si>
    <t>Constructability Review</t>
  </si>
  <si>
    <t>Environmental Mitigation (EIS)</t>
  </si>
  <si>
    <t>Landscape Consultant</t>
  </si>
  <si>
    <t>4) Other Services</t>
  </si>
  <si>
    <t>Bid/Construction/Closeout</t>
  </si>
  <si>
    <t>31% of A/E Basic Services</t>
  </si>
  <si>
    <t>HVAC Balancing</t>
  </si>
  <si>
    <t>Staffing</t>
  </si>
  <si>
    <t>Escalated to Mid-Const.</t>
  </si>
  <si>
    <t>5) Design Services Contingency</t>
  </si>
  <si>
    <t>CONSULTANT SERVICES TOTAL</t>
  </si>
  <si>
    <t>Construction Contracts</t>
  </si>
  <si>
    <t>1) Site Work</t>
  </si>
  <si>
    <t>G10 - Site Preparation</t>
  </si>
  <si>
    <t>G20 - Site Improvements</t>
  </si>
  <si>
    <t>G30 - Site Mechanical Utilities</t>
  </si>
  <si>
    <t>G40 - Site Electrical Utilities</t>
  </si>
  <si>
    <t>G60 - Other Site Construction</t>
  </si>
  <si>
    <t>2) Related Project Costs</t>
  </si>
  <si>
    <t>Offsite Improvements</t>
  </si>
  <si>
    <t>City Utilities Relocation</t>
  </si>
  <si>
    <t>Parking Mitigation</t>
  </si>
  <si>
    <t>Stormwater Retention/Detention</t>
  </si>
  <si>
    <t>3) Facility Construction</t>
  </si>
  <si>
    <t>A10 - Foundations</t>
  </si>
  <si>
    <t>A20 - Basement Construction</t>
  </si>
  <si>
    <t>B10 - Superstructure</t>
  </si>
  <si>
    <t>B20 - Exterior Closure</t>
  </si>
  <si>
    <t>B30 - Roofing</t>
  </si>
  <si>
    <t>C10 - Interior Construction</t>
  </si>
  <si>
    <t>C20 - Stairs</t>
  </si>
  <si>
    <t>C30 - Interior Finishes</t>
  </si>
  <si>
    <t>D10 - Conveying</t>
  </si>
  <si>
    <t>D20 - Plumbing Systems</t>
  </si>
  <si>
    <t>D30 - HVAC Systems</t>
  </si>
  <si>
    <t>D40 - Fire Protection Systems</t>
  </si>
  <si>
    <t>D50 - Electrical Systems</t>
  </si>
  <si>
    <t>F10 - Special Construction</t>
  </si>
  <si>
    <t>F20 - Selective Demolition</t>
  </si>
  <si>
    <t>General Conditions</t>
  </si>
  <si>
    <t>Other  Direct Cost</t>
  </si>
  <si>
    <t>4) Maximum Allowable Construction Cost</t>
  </si>
  <si>
    <t>MACC Sub TOTAL</t>
  </si>
  <si>
    <t>6) Total Cost of Construction (TCC)</t>
  </si>
  <si>
    <t>TCC Sub TOTAL</t>
  </si>
  <si>
    <t>7) Owner Construction Contingency</t>
  </si>
  <si>
    <t>Allowance for Change Orders</t>
  </si>
  <si>
    <t>8) Non-Taxable Items</t>
  </si>
  <si>
    <t>9) Sales Tax</t>
  </si>
  <si>
    <t>CONSTRUCTION CONTRACTS TOTAL</t>
  </si>
  <si>
    <t>1) Equipment</t>
  </si>
  <si>
    <t>E10 - Equipment</t>
  </si>
  <si>
    <t>E20 - Furnishings</t>
  </si>
  <si>
    <t>2) Non Taxable Items</t>
  </si>
  <si>
    <t>3) Sales Tax</t>
  </si>
  <si>
    <t>EQUIPMENT TOTAL</t>
  </si>
  <si>
    <t>1) Artwork</t>
  </si>
  <si>
    <t>Project Artwork</t>
  </si>
  <si>
    <t>0.5% of total project cost for new construction</t>
  </si>
  <si>
    <t>Higher Ed Artwork</t>
  </si>
  <si>
    <t>0.5% of total project cost for new and renewal construction</t>
  </si>
  <si>
    <t>ARTWORK TOTAL</t>
  </si>
  <si>
    <t>Project Management</t>
  </si>
  <si>
    <t>1) Agency Project Management</t>
  </si>
  <si>
    <t>Agency Project Management</t>
  </si>
  <si>
    <t>Additional Services</t>
  </si>
  <si>
    <t>Subtotal of Other</t>
  </si>
  <si>
    <t>PROJECT MANAGEMENT TOTAL</t>
  </si>
  <si>
    <t>Mitigation Costs</t>
  </si>
  <si>
    <t>Hazardous Material Remediation/Removal</t>
  </si>
  <si>
    <t>Historic and Archeological Mitigation</t>
  </si>
  <si>
    <t>OTHER COSTS TOTAL</t>
  </si>
  <si>
    <t>C-100(2024)</t>
  </si>
  <si>
    <t>Additional Notes</t>
  </si>
  <si>
    <t>Tab A. Acquisition</t>
  </si>
  <si>
    <t>Tab B. Consultant Services</t>
  </si>
  <si>
    <t>Tab C. Construction Contracts</t>
  </si>
  <si>
    <t>Tab D. Equipment</t>
  </si>
  <si>
    <t>Tab E. Artwork</t>
  </si>
  <si>
    <t>Tab F. Project Management</t>
  </si>
  <si>
    <t>Tab G. Other Costs</t>
  </si>
  <si>
    <t>Named Ranges</t>
  </si>
  <si>
    <t>Range Name</t>
  </si>
  <si>
    <t>Location</t>
  </si>
  <si>
    <t>Value</t>
  </si>
  <si>
    <t>ACQ_TOTAL</t>
  </si>
  <si>
    <t>='A. Acquisition'!$C$12</t>
  </si>
  <si>
    <t>ACQ_TOTAL_ESC</t>
  </si>
  <si>
    <t>='A. Acquisition'!$F$12</t>
  </si>
  <si>
    <t>TotalMinusPM</t>
  </si>
  <si>
    <t>=ACQ_TOTAL+CONSUL_TOTAL+MACC+CONT+OTHER_TOTAL</t>
  </si>
  <si>
    <t>PREDESIGN_TOTAL</t>
  </si>
  <si>
    <t>='B. Consultant Services'!$C$11</t>
  </si>
  <si>
    <t>CONST_DOCS</t>
  </si>
  <si>
    <t>='B. Consultant Services'!$C$20</t>
  </si>
  <si>
    <t>OTHER_SVCS_TOTAL</t>
  </si>
  <si>
    <t>='B. Consultant Services'!$C$29</t>
  </si>
  <si>
    <t>EX_SVCS_TOTAL</t>
  </si>
  <si>
    <t>='B. Consultant Services'!$C$52</t>
  </si>
  <si>
    <t>DES_CONT_TOTAL</t>
  </si>
  <si>
    <t>='B. Consultant Services'!$C$58</t>
  </si>
  <si>
    <t>CONSUL_TOTAL</t>
  </si>
  <si>
    <t>='B. Consultant Services'!$C$60</t>
  </si>
  <si>
    <t>PREDESIGN_TOTAL_ESC</t>
  </si>
  <si>
    <t>='B. Consultant Services'!$F$11</t>
  </si>
  <si>
    <t>CONST_DOCS_ESC</t>
  </si>
  <si>
    <t>='B. Consultant Services'!$F$20</t>
  </si>
  <si>
    <t>OTHER_SVCS_TOTAL_ESC</t>
  </si>
  <si>
    <t>='B. Consultant Services'!$F$29</t>
  </si>
  <si>
    <t>EX_SVCS_TOTAL_ESC</t>
  </si>
  <si>
    <t>='B. Consultant Services'!$F$52</t>
  </si>
  <si>
    <t>DES_CONT_TOTAL_ESC</t>
  </si>
  <si>
    <t>='B. Consultant Services'!$F$58</t>
  </si>
  <si>
    <t>CONSUL_TOTAL_ESC</t>
  </si>
  <si>
    <t>='B. Consultant Services'!$F$60</t>
  </si>
  <si>
    <t>SITE_TOTAL</t>
  </si>
  <si>
    <t>='C. Construction Contracts'!$C$13</t>
  </si>
  <si>
    <t>RELATED_COSTS_TOTAL</t>
  </si>
  <si>
    <t>='C. Construction Contracts'!$C$22</t>
  </si>
  <si>
    <t>FACILITY_TOTAL</t>
  </si>
  <si>
    <t>='C. Construction Contracts'!$C$42</t>
  </si>
  <si>
    <t>MACC</t>
  </si>
  <si>
    <t>='C. Construction Contracts'!$C$55</t>
  </si>
  <si>
    <t>GCCM_RISK</t>
  </si>
  <si>
    <t>='C. Construction Contracts'!$C$64</t>
  </si>
  <si>
    <t>GCCM_DB_TOTAL</t>
  </si>
  <si>
    <t>='C. Construction Contracts'!$C$72</t>
  </si>
  <si>
    <t>CONT</t>
  </si>
  <si>
    <t>='C. Construction Contracts'!$C$86</t>
  </si>
  <si>
    <t>SALES_TAX</t>
  </si>
  <si>
    <t>='C. Construction Contracts'!$C$94</t>
  </si>
  <si>
    <t>CONST_TOTAL</t>
  </si>
  <si>
    <t>='C. Construction Contracts'!$C$96</t>
  </si>
  <si>
    <t>SITE_TOTAL_ESC</t>
  </si>
  <si>
    <t>='C. Construction Contracts'!$F$13</t>
  </si>
  <si>
    <t>RELATED_COSTS_TOTAL_ESC</t>
  </si>
  <si>
    <t>='C. Construction Contracts'!$F$22</t>
  </si>
  <si>
    <t>FACILITY_TOTAL_ESC</t>
  </si>
  <si>
    <t>='C. Construction Contracts'!$F$42</t>
  </si>
  <si>
    <t>MACC_ESC</t>
  </si>
  <si>
    <t>='C. Construction Contracts'!$F$55</t>
  </si>
  <si>
    <t>GCCM_RISK_ESC</t>
  </si>
  <si>
    <t>='C. Construction Contracts'!$F$64</t>
  </si>
  <si>
    <t>GCCM_DB_TOTAL_ESC</t>
  </si>
  <si>
    <t>='C. Construction Contracts'!$F$72</t>
  </si>
  <si>
    <t>CONT_ESC</t>
  </si>
  <si>
    <t>='C. Construction Contracts'!$F$86</t>
  </si>
  <si>
    <t>SALES_TAX_ESC</t>
  </si>
  <si>
    <t>='C. Construction Contracts'!$F$94</t>
  </si>
  <si>
    <t>CONST_TOTAL_ESC</t>
  </si>
  <si>
    <t>='C. Construction Contracts'!$F$96</t>
  </si>
  <si>
    <t>EQUIP_SUBTOTAL</t>
  </si>
  <si>
    <t>='D. Equipment'!$C$10</t>
  </si>
  <si>
    <t>EQUIP_NON_TAX</t>
  </si>
  <si>
    <t>='D. Equipment'!$C$15</t>
  </si>
  <si>
    <t>EQUIP_SALES_TAX</t>
  </si>
  <si>
    <t>='D. Equipment'!$C$18</t>
  </si>
  <si>
    <t>EQUIP_TOTAL</t>
  </si>
  <si>
    <t>='D. Equipment'!$C$20</t>
  </si>
  <si>
    <t>EQUIP_SUBTOTAL_ESC</t>
  </si>
  <si>
    <t>='D. Equipment'!$F$10</t>
  </si>
  <si>
    <t>EQUIP_NON_TAX_ESC</t>
  </si>
  <si>
    <t>='D. Equipment'!$F$15</t>
  </si>
  <si>
    <t>EQUIP_SALES_TAX_ESC</t>
  </si>
  <si>
    <t>='D. Equipment'!$F$18</t>
  </si>
  <si>
    <t>EQUIP_TOTAL_ESC</t>
  </si>
  <si>
    <t>='D. Equipment'!$F$20</t>
  </si>
  <si>
    <t>MPD</t>
  </si>
  <si>
    <t>='Data Tables'!$H$2</t>
  </si>
  <si>
    <t>MPC</t>
  </si>
  <si>
    <t>='Data Tables'!$I$2</t>
  </si>
  <si>
    <t>PMD</t>
  </si>
  <si>
    <t>='Data Tables'!$N$1</t>
  </si>
  <si>
    <t>ART</t>
  </si>
  <si>
    <t>='Data Tables'!$N$2</t>
  </si>
  <si>
    <t>Infl</t>
  </si>
  <si>
    <t>='Data Tables'!$N$3</t>
  </si>
  <si>
    <t>ContN</t>
  </si>
  <si>
    <t>='Data Tables'!$N$4</t>
  </si>
  <si>
    <t>ContR</t>
  </si>
  <si>
    <t>='Data Tables'!$N$5</t>
  </si>
  <si>
    <t>Rem_Ad</t>
  </si>
  <si>
    <t>='Data Tables'!$N$6</t>
  </si>
  <si>
    <t>PMMinor</t>
  </si>
  <si>
    <t>='Data Tables'!$N$7</t>
  </si>
  <si>
    <t>ART_TOTAL</t>
  </si>
  <si>
    <t>='E. Artwork'!$C$9</t>
  </si>
  <si>
    <t>ART_TOTAL_ESC</t>
  </si>
  <si>
    <t>='E. Artwork'!$F$9</t>
  </si>
  <si>
    <t>PM_TOTAL</t>
  </si>
  <si>
    <t>='F. Project Management'!$C$10</t>
  </si>
  <si>
    <t>AGENCY_PM</t>
  </si>
  <si>
    <t>='F. Project Management'!$C$5</t>
  </si>
  <si>
    <t>DES_ADD_SVCS</t>
  </si>
  <si>
    <t>='F. Project Management'!$C$6</t>
  </si>
  <si>
    <t>PM_OTHER</t>
  </si>
  <si>
    <t>='F. Project Management'!$C$8</t>
  </si>
  <si>
    <t>PM_TOTAL_ESC</t>
  </si>
  <si>
    <t>='F. Project Management'!$F$10</t>
  </si>
  <si>
    <t>OTHER_TOTAL</t>
  </si>
  <si>
    <t>='G. Other Costs'!$C$10</t>
  </si>
  <si>
    <t>OTHER_TOTAL_ESC</t>
  </si>
  <si>
    <t>='G. Other Costs'!$F$10</t>
  </si>
  <si>
    <t>ESC_MidC</t>
  </si>
  <si>
    <t>=ROUND((1+Infl)^((MPC-Base_Month)/365), 4)</t>
  </si>
  <si>
    <t>ESC_MidD</t>
  </si>
  <si>
    <t>=ROUND((1+Infl)^((MPD-Base_Month)/365), 4)</t>
  </si>
  <si>
    <t>ESC_StartC</t>
  </si>
  <si>
    <t>=ROUND((1+Infl)^((StartC-Base_Month)/365), 4)</t>
  </si>
  <si>
    <t>ESC_StartD</t>
  </si>
  <si>
    <t>=ROUND((1+Infl)^((StartD-Base_Month)/365), 4)</t>
  </si>
  <si>
    <t>GSF</t>
  </si>
  <si>
    <t>=Summary!$C$14</t>
  </si>
  <si>
    <t>USF</t>
  </si>
  <si>
    <t>=Summary!$C$15</t>
  </si>
  <si>
    <t>APW</t>
  </si>
  <si>
    <t>=Summary!$C$21</t>
  </si>
  <si>
    <t>STR</t>
  </si>
  <si>
    <t>=Summary!$C$23</t>
  </si>
  <si>
    <t>CONT_RATE</t>
  </si>
  <si>
    <t>=Summary!$C$24</t>
  </si>
  <si>
    <t>Base_Month</t>
  </si>
  <si>
    <t>=Summary!$C$25</t>
  </si>
  <si>
    <t>StartPD</t>
  </si>
  <si>
    <t>=Summary!$C$29</t>
  </si>
  <si>
    <t>StartD</t>
  </si>
  <si>
    <t>=Summary!$C$30</t>
  </si>
  <si>
    <t>StartC</t>
  </si>
  <si>
    <t>=Summary!$C$31</t>
  </si>
  <si>
    <t>=Summary!$C$4</t>
  </si>
  <si>
    <t>Project_Name</t>
  </si>
  <si>
    <t>=Summary!$C$5</t>
  </si>
  <si>
    <t>AEFP</t>
  </si>
  <si>
    <t>=Summary!$F$18</t>
  </si>
  <si>
    <t>Art_Req</t>
  </si>
  <si>
    <t>=Summary!$F$21</t>
  </si>
  <si>
    <t>HEI</t>
  </si>
  <si>
    <t>=Summary!$F$22</t>
  </si>
  <si>
    <t>ENDPD</t>
  </si>
  <si>
    <t>=Summary!$F$29</t>
  </si>
  <si>
    <t>EndD</t>
  </si>
  <si>
    <t>=Summary!$F$30</t>
  </si>
  <si>
    <t>EndC</t>
  </si>
  <si>
    <t>=Summary!$F$31</t>
  </si>
  <si>
    <t>Data Extract</t>
  </si>
  <si>
    <t>Field</t>
  </si>
  <si>
    <t>Data_type</t>
  </si>
  <si>
    <t>Filename</t>
  </si>
  <si>
    <t>text</t>
  </si>
  <si>
    <t>Text</t>
  </si>
  <si>
    <t>number</t>
  </si>
  <si>
    <t xml:space="preserve">Alt Gross </t>
  </si>
  <si>
    <t>Convention facilities</t>
  </si>
  <si>
    <t>No</t>
  </si>
  <si>
    <t>percentage</t>
  </si>
  <si>
    <t>Sales Tax Rate pct</t>
  </si>
  <si>
    <t>date</t>
  </si>
  <si>
    <t>currency</t>
  </si>
  <si>
    <t>Acquisition Subtotal Esc</t>
  </si>
  <si>
    <t>Acquisition Other</t>
  </si>
  <si>
    <t>Predesign Services Esc</t>
  </si>
  <si>
    <t>Predesign Other</t>
  </si>
  <si>
    <t>Design Phase Services Esc</t>
  </si>
  <si>
    <t>A/E Basic Design Services Other</t>
  </si>
  <si>
    <t>Extra Services Esc</t>
  </si>
  <si>
    <t>Extra Services Other</t>
  </si>
  <si>
    <t>Other Services Esc</t>
  </si>
  <si>
    <t>Other Services Other</t>
  </si>
  <si>
    <t>Design Services Contingency Esc</t>
  </si>
  <si>
    <t>Design Services Contingency Det</t>
  </si>
  <si>
    <t>Design Services Contingency Other</t>
  </si>
  <si>
    <t>Consultant Services Subtotal Esc</t>
  </si>
  <si>
    <t>Site Work</t>
  </si>
  <si>
    <t>Site Work Esc</t>
  </si>
  <si>
    <t xml:space="preserve">Site work Other </t>
  </si>
  <si>
    <t>Related Project Costs</t>
  </si>
  <si>
    <t>Related Project Costs Esc</t>
  </si>
  <si>
    <t>Related Project Costs Other</t>
  </si>
  <si>
    <t>Facility Construction</t>
  </si>
  <si>
    <t>Facility Construction Esc</t>
  </si>
  <si>
    <t>Facility Construction Other</t>
  </si>
  <si>
    <t>MACC Esc</t>
  </si>
  <si>
    <t>GCCM Risk Contingency</t>
  </si>
  <si>
    <t>GCCM Risk Contingency Esc</t>
  </si>
  <si>
    <t>GCCM Risk Contingency Det</t>
  </si>
  <si>
    <t>GCCM Risk Contingency Other</t>
  </si>
  <si>
    <t>GCCM or Design Build Costs</t>
  </si>
  <si>
    <t>GCCM or Design Build Costs Esc</t>
  </si>
  <si>
    <t>GCCM Fee</t>
  </si>
  <si>
    <t>Bid General Conditions</t>
  </si>
  <si>
    <t>GCCM Preconstruction Services</t>
  </si>
  <si>
    <t>GCCM Fee Other</t>
  </si>
  <si>
    <t>Owner Construction Contingency Esc</t>
  </si>
  <si>
    <t>Owner Construction Contingency Other</t>
  </si>
  <si>
    <t>Const Non-Taxable Items</t>
  </si>
  <si>
    <t>Const Non-Taxable Items Esc</t>
  </si>
  <si>
    <t>Sales Tax Esc</t>
  </si>
  <si>
    <t>CONSTRUCTION CONTRACTS TOTAL Esc</t>
  </si>
  <si>
    <t>Equipment Esc</t>
  </si>
  <si>
    <t>F10 - Special Construction - Eq</t>
  </si>
  <si>
    <t xml:space="preserve">Equipment Other </t>
  </si>
  <si>
    <t>Eq Non Taxable Items</t>
  </si>
  <si>
    <t>Eq Non Taxable Items Esc</t>
  </si>
  <si>
    <t>Eq Sales Tax</t>
  </si>
  <si>
    <t>Eq Sales Tax Esc</t>
  </si>
  <si>
    <t>EQUIPMENT TOTAL Esc</t>
  </si>
  <si>
    <t>Artwork Other</t>
  </si>
  <si>
    <t>ARTWORK TOTAL Esc</t>
  </si>
  <si>
    <t>PROJECT MANAGEMENT TOTAL Esc</t>
  </si>
  <si>
    <t>OTHER COSTS TOTAL Esc</t>
  </si>
  <si>
    <t>Add Notes - Acq</t>
  </si>
  <si>
    <t>long_text</t>
  </si>
  <si>
    <t>Add Notes - Cons</t>
  </si>
  <si>
    <t>Add Notes - Const</t>
  </si>
  <si>
    <t>Add Notes - Eq</t>
  </si>
  <si>
    <t>Add Notes - Art</t>
  </si>
  <si>
    <t>Add Notes - PM</t>
  </si>
  <si>
    <t>Add Notes - Other</t>
  </si>
  <si>
    <t>Yes/No</t>
  </si>
  <si>
    <t>Project Administration</t>
  </si>
  <si>
    <t>Contingency</t>
  </si>
  <si>
    <t>Month/Year</t>
  </si>
  <si>
    <t>Predesign Month/Year</t>
  </si>
  <si>
    <t>Design Month/Year</t>
  </si>
  <si>
    <t>Construction Month/Year</t>
  </si>
  <si>
    <t>Mid-Point of Design</t>
  </si>
  <si>
    <t>Mid-Point of Construction</t>
  </si>
  <si>
    <t>A/E Schedule</t>
  </si>
  <si>
    <t>A/E Fee Class Schedule A</t>
  </si>
  <si>
    <t>Project Mgmt                            (AE-4%)</t>
  </si>
  <si>
    <t>PM Discount</t>
  </si>
  <si>
    <t>Yes</t>
  </si>
  <si>
    <t>A</t>
  </si>
  <si>
    <t>Art</t>
  </si>
  <si>
    <t>DES</t>
  </si>
  <si>
    <t>B</t>
  </si>
  <si>
    <t>C</t>
  </si>
  <si>
    <t>Contingency New</t>
  </si>
  <si>
    <t>DBB A</t>
  </si>
  <si>
    <t>Contingency Remodel</t>
  </si>
  <si>
    <t>DBB C</t>
  </si>
  <si>
    <t>Remodel Add-on</t>
  </si>
  <si>
    <t>GCCM A</t>
  </si>
  <si>
    <t>PM Minor</t>
  </si>
  <si>
    <t>DBB</t>
  </si>
  <si>
    <t>GCCM C</t>
  </si>
  <si>
    <t>Base Inflation</t>
  </si>
  <si>
    <t>DB-Criteria</t>
  </si>
  <si>
    <t>DB-Bridging</t>
  </si>
  <si>
    <t>Other Sch. A Projects</t>
  </si>
  <si>
    <t>DB-Progressive</t>
  </si>
  <si>
    <t>Art galleries</t>
  </si>
  <si>
    <t>yes</t>
  </si>
  <si>
    <t>Auditorium with stage</t>
  </si>
  <si>
    <t>Communications Building</t>
  </si>
  <si>
    <t>Detention/correctional facilities - maximum</t>
  </si>
  <si>
    <t>Exposition building</t>
  </si>
  <si>
    <t>Extended care facilities</t>
  </si>
  <si>
    <t>Fish hatcheries</t>
  </si>
  <si>
    <t>Heating and power plants</t>
  </si>
  <si>
    <t>Hospitals</t>
  </si>
  <si>
    <t>Laboratories (Research)</t>
  </si>
  <si>
    <t>Medical office and clinics</t>
  </si>
  <si>
    <t>Mental Institutions</t>
  </si>
  <si>
    <t>Museums</t>
  </si>
  <si>
    <t>Observatories</t>
  </si>
  <si>
    <t>Research Facilities</t>
  </si>
  <si>
    <t>Sewer treatment plants</t>
  </si>
  <si>
    <t>Special schools for physically disadvantaged</t>
  </si>
  <si>
    <t>Theaters and similar facilities</t>
  </si>
  <si>
    <t>Veterinary hospitals</t>
  </si>
  <si>
    <t>Water treatment plants</t>
  </si>
  <si>
    <t>Other Sch. B Projects</t>
  </si>
  <si>
    <t>Apartment</t>
  </si>
  <si>
    <t>Archive building</t>
  </si>
  <si>
    <t>Armories</t>
  </si>
  <si>
    <t>Auditorium without stage</t>
  </si>
  <si>
    <t>College classroom facilities</t>
  </si>
  <si>
    <t>Computer rooms</t>
  </si>
  <si>
    <t>Day care facilities</t>
  </si>
  <si>
    <t>Detention/correctional facilities - min &amp; max</t>
  </si>
  <si>
    <t>Dining halls/institute</t>
  </si>
  <si>
    <t>Dormitories</t>
  </si>
  <si>
    <t>Fire and police stations</t>
  </si>
  <si>
    <t>Gymnasiums</t>
  </si>
  <si>
    <t>Laundry and cleaning facilities</t>
  </si>
  <si>
    <t>Libraries</t>
  </si>
  <si>
    <t>Neighborhood centers and similar recreation facilities</t>
  </si>
  <si>
    <t>Nursing homes</t>
  </si>
  <si>
    <t>Office buildings</t>
  </si>
  <si>
    <t>Recreational building</t>
  </si>
  <si>
    <t>Residence</t>
  </si>
  <si>
    <t>Schools (primary and secondary)</t>
  </si>
  <si>
    <t>Science labs (teaching)</t>
  </si>
  <si>
    <t>Stadiums multi-purpose</t>
  </si>
  <si>
    <t>Storage-cold</t>
  </si>
  <si>
    <t>Transportation terminals</t>
  </si>
  <si>
    <t>Vocational schools</t>
  </si>
  <si>
    <t>Other Sch. C Projects</t>
  </si>
  <si>
    <t>Civil Construction</t>
  </si>
  <si>
    <t>Emergency generator facilities</t>
  </si>
  <si>
    <t>Farm structures</t>
  </si>
  <si>
    <t>Greenhouses</t>
  </si>
  <si>
    <t>Guard towers</t>
  </si>
  <si>
    <t>Industrial buildings without special facilities</t>
  </si>
  <si>
    <t>Parking structures and garages</t>
  </si>
  <si>
    <t>Printing plants</t>
  </si>
  <si>
    <t>Prototype facilities</t>
  </si>
  <si>
    <t>Service garages</t>
  </si>
  <si>
    <t>Shop and maintenance facilities</t>
  </si>
  <si>
    <t>Simple loft-type structures (w/out special equipment)</t>
  </si>
  <si>
    <t>Stadium-grandstand type</t>
  </si>
  <si>
    <t>Warehouses</t>
  </si>
  <si>
    <t>Date Ranges</t>
  </si>
  <si>
    <t>Estimate Date</t>
  </si>
  <si>
    <t>Days</t>
  </si>
  <si>
    <t>Wkdays</t>
  </si>
  <si>
    <t>Predesign</t>
  </si>
  <si>
    <t>Design</t>
  </si>
  <si>
    <t>Closeout</t>
  </si>
  <si>
    <t>Unit of Measure</t>
  </si>
  <si>
    <t>Alt</t>
  </si>
  <si>
    <t>Use</t>
  </si>
  <si>
    <t>Method</t>
  </si>
  <si>
    <t>Check on Prior &amp; current biennium</t>
  </si>
  <si>
    <t>Prior Biennia</t>
  </si>
  <si>
    <t>Next</t>
  </si>
  <si>
    <t>Out</t>
  </si>
  <si>
    <t>prior</t>
  </si>
  <si>
    <t>current</t>
  </si>
  <si>
    <t>next</t>
  </si>
  <si>
    <t>out</t>
  </si>
  <si>
    <t>Is there predesign</t>
  </si>
  <si>
    <t>Is there design</t>
  </si>
  <si>
    <t>Is there construction</t>
  </si>
  <si>
    <t>Validation Flags</t>
  </si>
  <si>
    <t>Funding in prior, but no activity</t>
  </si>
  <si>
    <t>Activity in prior, but no funding</t>
  </si>
  <si>
    <t>Activity in current but no funding</t>
  </si>
  <si>
    <t>Activity in next but no funding</t>
  </si>
  <si>
    <t>1) The intended use of the C-100(2024) is to enable project managers to communicate their project cost estimates to budget officers in the standard format required for capital project budget requests/submittals to OFM.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</si>
</sst>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quot;$&quot;#,##0"/>
    <numFmt numFmtId="165" formatCode="0.0000"/>
    <numFmt numFmtId="166" formatCode="[&lt;=9999999]###\-####;\(###\)\ ###\-####"/>
    <numFmt numFmtId="167" formatCode="0.0%"/>
    <numFmt numFmtId="168" formatCode="[$-409]mmmm\-yy;@"/>
    <numFmt numFmtId="169" formatCode="0.0000%"/>
    <numFmt numFmtId="170" formatCode="0.00000000"/>
    <numFmt numFmtId="171" formatCode="0\ &quot;Months&quot;"/>
    <numFmt numFmtId="172" formatCode="&quot;$&quot;#,##0.00"/>
  </numFmts>
  <fonts count="15"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u/>
      <sz val="11"/>
      <color theme="10"/>
      <name val="Calibri"/>
      <family val="2"/>
      <scheme val="minor"/>
    </font>
    <font>
      <i/>
      <sz val="9"/>
      <color theme="1"/>
      <name val="Calibri"/>
      <family val="2"/>
      <scheme val="minor"/>
    </font>
    <font>
      <sz val="11"/>
      <name val="Calibri"/>
      <family val="2"/>
      <scheme val="minor"/>
    </font>
    <font>
      <b/>
      <sz val="12"/>
      <color theme="1"/>
      <name val="Calibri"/>
      <family val="2"/>
      <scheme val="minor"/>
    </font>
    <font>
      <i/>
      <sz val="11"/>
      <color theme="1"/>
      <name val="Calibri"/>
      <family val="2"/>
      <scheme val="minor"/>
    </font>
    <font>
      <sz val="11"/>
      <color theme="0"/>
      <name val="Calibri"/>
      <family val="2"/>
      <scheme val="minor"/>
    </font>
    <font>
      <b/>
      <i/>
      <sz val="12"/>
      <color theme="1"/>
      <name val="Calibri"/>
      <family val="2"/>
      <scheme val="minor"/>
    </font>
    <font>
      <b/>
      <sz val="14"/>
      <color theme="1"/>
      <name val="Calibri"/>
      <family val="2"/>
      <scheme val="minor"/>
    </font>
    <font>
      <sz val="14"/>
      <color theme="1"/>
      <name val="Calibri"/>
      <family val="2"/>
      <scheme val="minor"/>
    </font>
    <font>
      <b/>
      <sz val="11"/>
      <color rgb="FFC00000"/>
      <name val="Calibri"/>
      <family val="2"/>
      <scheme val="minor"/>
    </font>
    <font>
      <b/>
      <sz val="11"/>
      <name val="Calibri"/>
      <family val="2"/>
      <scheme val="minor"/>
    </font>
  </fonts>
  <fills count="9">
    <fill>
      <patternFill patternType="none"/>
    </fill>
    <fill>
      <patternFill patternType="gray125"/>
    </fill>
    <fill>
      <patternFill patternType="solid">
        <fgColor theme="0" tint="-0.249977111117893"/>
        <bgColor indexed="64"/>
      </patternFill>
    </fill>
    <fill>
      <patternFill patternType="solid">
        <fgColor rgb="FFCCFFCC"/>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1"/>
        <bgColor indexed="64"/>
      </patternFill>
    </fill>
    <fill>
      <patternFill patternType="solid">
        <fgColor rgb="FFFFFF00"/>
        <bgColor indexed="64"/>
      </patternFill>
    </fill>
  </fills>
  <borders count="74">
    <border>
      <left/>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right/>
      <top style="thin">
        <color auto="1"/>
      </top>
      <bottom style="thin">
        <color auto="1"/>
      </bottom>
      <diagonal/>
    </border>
    <border>
      <left/>
      <right style="double">
        <color auto="1"/>
      </right>
      <top style="thin">
        <color auto="1"/>
      </top>
      <bottom/>
      <diagonal/>
    </border>
    <border>
      <left style="double">
        <color auto="1"/>
      </left>
      <right/>
      <top/>
      <bottom style="double">
        <color auto="1"/>
      </bottom>
      <diagonal/>
    </border>
    <border>
      <left/>
      <right/>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right style="double">
        <color auto="1"/>
      </right>
      <top/>
      <bottom style="double">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double">
        <color auto="1"/>
      </top>
      <bottom/>
      <diagonal/>
    </border>
    <border>
      <left/>
      <right style="medium">
        <color indexed="64"/>
      </right>
      <top style="double">
        <color auto="1"/>
      </top>
      <bottom/>
      <diagonal/>
    </border>
    <border>
      <left style="medium">
        <color indexed="64"/>
      </left>
      <right/>
      <top/>
      <bottom style="double">
        <color auto="1"/>
      </bottom>
      <diagonal/>
    </border>
    <border>
      <left/>
      <right style="medium">
        <color indexed="64"/>
      </right>
      <top/>
      <bottom style="double">
        <color auto="1"/>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308">
    <xf numFmtId="0" fontId="0" fillId="0" borderId="0" xfId="0"/>
    <xf numFmtId="3" fontId="0" fillId="0" borderId="1" xfId="0" applyNumberFormat="1" applyBorder="1" applyAlignment="1">
      <alignment vertical="center"/>
    </xf>
    <xf numFmtId="3" fontId="0" fillId="0" borderId="3" xfId="0" applyNumberFormat="1" applyBorder="1" applyAlignment="1">
      <alignment vertical="center"/>
    </xf>
    <xf numFmtId="3" fontId="0" fillId="0" borderId="0" xfId="0" applyNumberFormat="1" applyAlignment="1">
      <alignment vertical="center"/>
    </xf>
    <xf numFmtId="164" fontId="2"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3" fontId="0" fillId="0" borderId="0" xfId="0" applyNumberFormat="1" applyAlignment="1">
      <alignment horizontal="center" vertical="center"/>
    </xf>
    <xf numFmtId="164" fontId="2" fillId="0" borderId="7" xfId="0" applyNumberFormat="1" applyFont="1" applyBorder="1" applyAlignment="1">
      <alignment horizontal="center" vertical="center" wrapText="1"/>
    </xf>
    <xf numFmtId="164" fontId="2" fillId="0" borderId="8" xfId="0" applyNumberFormat="1" applyFont="1" applyBorder="1" applyAlignment="1">
      <alignment horizontal="center" vertical="center"/>
    </xf>
    <xf numFmtId="165" fontId="2" fillId="0" borderId="8" xfId="0" applyNumberFormat="1" applyFont="1" applyBorder="1" applyAlignment="1">
      <alignment horizontal="center" vertical="center" wrapText="1"/>
    </xf>
    <xf numFmtId="164" fontId="2" fillId="0" borderId="9" xfId="0" applyNumberFormat="1" applyFont="1" applyBorder="1" applyAlignment="1">
      <alignment horizontal="center" vertical="center" wrapText="1"/>
    </xf>
    <xf numFmtId="164" fontId="0" fillId="0" borderId="10" xfId="0" applyNumberFormat="1" applyBorder="1" applyAlignment="1">
      <alignment horizontal="right" vertical="center" wrapText="1"/>
    </xf>
    <xf numFmtId="164" fontId="0" fillId="3" borderId="8" xfId="0" applyNumberFormat="1" applyFill="1" applyBorder="1" applyAlignment="1" applyProtection="1">
      <alignment vertical="center"/>
      <protection locked="0"/>
    </xf>
    <xf numFmtId="164" fontId="0" fillId="0" borderId="0" xfId="0" applyNumberFormat="1" applyAlignment="1">
      <alignment vertical="center"/>
    </xf>
    <xf numFmtId="165" fontId="0" fillId="0" borderId="0" xfId="0" applyNumberFormat="1" applyAlignment="1">
      <alignment horizontal="center" vertical="center" wrapText="1"/>
    </xf>
    <xf numFmtId="164" fontId="0" fillId="0" borderId="0" xfId="0" applyNumberFormat="1" applyAlignment="1">
      <alignment vertical="center" wrapText="1"/>
    </xf>
    <xf numFmtId="164" fontId="0" fillId="0" borderId="11" xfId="0" applyNumberFormat="1" applyBorder="1" applyAlignment="1">
      <alignment vertical="center" wrapText="1"/>
    </xf>
    <xf numFmtId="164" fontId="0" fillId="3" borderId="7" xfId="0" applyNumberFormat="1" applyFill="1" applyBorder="1" applyAlignment="1" applyProtection="1">
      <alignment horizontal="right" vertical="center" wrapText="1"/>
      <protection locked="0"/>
    </xf>
    <xf numFmtId="164" fontId="0" fillId="3" borderId="9" xfId="0" applyNumberFormat="1" applyFill="1" applyBorder="1" applyAlignment="1" applyProtection="1">
      <alignment vertical="center" wrapText="1"/>
      <protection locked="0"/>
    </xf>
    <xf numFmtId="164" fontId="0" fillId="3" borderId="12" xfId="0" applyNumberFormat="1" applyFill="1" applyBorder="1" applyAlignment="1" applyProtection="1">
      <alignment vertical="center"/>
      <protection locked="0"/>
    </xf>
    <xf numFmtId="164" fontId="0" fillId="0" borderId="13" xfId="0" applyNumberFormat="1" applyBorder="1" applyAlignment="1">
      <alignment vertical="center" wrapText="1"/>
    </xf>
    <xf numFmtId="164" fontId="2" fillId="0" borderId="10" xfId="0" applyNumberFormat="1" applyFont="1" applyBorder="1" applyAlignment="1">
      <alignment horizontal="right" vertical="center" wrapText="1"/>
    </xf>
    <xf numFmtId="164" fontId="2" fillId="0" borderId="14" xfId="0" applyNumberFormat="1" applyFont="1" applyBorder="1" applyAlignment="1">
      <alignment vertical="center"/>
    </xf>
    <xf numFmtId="164" fontId="2" fillId="0" borderId="15" xfId="0" applyNumberFormat="1" applyFont="1" applyBorder="1" applyAlignment="1">
      <alignment vertical="center"/>
    </xf>
    <xf numFmtId="165" fontId="2" fillId="0" borderId="9" xfId="0" applyNumberFormat="1" applyFont="1" applyBorder="1" applyAlignment="1">
      <alignment horizontal="center" vertical="center"/>
    </xf>
    <xf numFmtId="164" fontId="2" fillId="0" borderId="14" xfId="0" applyNumberFormat="1" applyFont="1" applyBorder="1" applyAlignment="1">
      <alignment horizontal="right" vertical="center" wrapText="1"/>
    </xf>
    <xf numFmtId="164" fontId="0" fillId="2" borderId="10" xfId="0" applyNumberFormat="1" applyFill="1" applyBorder="1" applyAlignment="1">
      <alignment vertical="center" wrapText="1"/>
    </xf>
    <xf numFmtId="164" fontId="0" fillId="2" borderId="0" xfId="0" applyNumberFormat="1" applyFill="1" applyAlignment="1">
      <alignment vertical="center"/>
    </xf>
    <xf numFmtId="165" fontId="0" fillId="2" borderId="0" xfId="0" applyNumberFormat="1" applyFill="1" applyAlignment="1">
      <alignment horizontal="center" vertical="center" wrapText="1"/>
    </xf>
    <xf numFmtId="164" fontId="0" fillId="2" borderId="0" xfId="0" applyNumberFormat="1" applyFill="1" applyAlignment="1">
      <alignment vertical="center" wrapText="1"/>
    </xf>
    <xf numFmtId="164" fontId="0" fillId="2" borderId="11" xfId="0" applyNumberFormat="1" applyFill="1" applyBorder="1" applyAlignment="1">
      <alignment vertical="center" wrapText="1"/>
    </xf>
    <xf numFmtId="164" fontId="0" fillId="0" borderId="8" xfId="0" applyNumberFormat="1" applyBorder="1" applyAlignment="1">
      <alignment vertical="center"/>
    </xf>
    <xf numFmtId="164" fontId="0" fillId="0" borderId="16" xfId="0" applyNumberFormat="1" applyBorder="1" applyAlignment="1">
      <alignment vertical="center"/>
    </xf>
    <xf numFmtId="164" fontId="2" fillId="0" borderId="17" xfId="0" applyNumberFormat="1" applyFont="1" applyBorder="1" applyAlignment="1">
      <alignment horizontal="right" vertical="center" wrapText="1"/>
    </xf>
    <xf numFmtId="164" fontId="2" fillId="0" borderId="17" xfId="0" applyNumberFormat="1" applyFont="1" applyBorder="1" applyAlignment="1">
      <alignment vertical="center"/>
    </xf>
    <xf numFmtId="165" fontId="2" fillId="0" borderId="18" xfId="0" applyNumberFormat="1" applyFont="1" applyBorder="1" applyAlignment="1">
      <alignment horizontal="center" vertical="center"/>
    </xf>
    <xf numFmtId="164" fontId="0" fillId="0" borderId="18" xfId="0" applyNumberFormat="1" applyBorder="1" applyAlignment="1">
      <alignment vertical="center" wrapText="1"/>
    </xf>
    <xf numFmtId="165" fontId="0" fillId="0" borderId="0" xfId="0" applyNumberFormat="1" applyAlignment="1">
      <alignment horizontal="center"/>
    </xf>
    <xf numFmtId="0" fontId="0" fillId="0" borderId="0" xfId="0" applyAlignment="1">
      <alignment wrapText="1"/>
    </xf>
    <xf numFmtId="3" fontId="2" fillId="0" borderId="21" xfId="0" applyNumberFormat="1" applyFont="1" applyBorder="1" applyAlignment="1">
      <alignment vertical="center"/>
    </xf>
    <xf numFmtId="3" fontId="2" fillId="0" borderId="23" xfId="0" applyNumberFormat="1" applyFont="1" applyBorder="1" applyAlignment="1">
      <alignment vertical="center"/>
    </xf>
    <xf numFmtId="3" fontId="2" fillId="0" borderId="0" xfId="0" applyNumberFormat="1" applyFont="1" applyAlignment="1">
      <alignment vertical="center"/>
    </xf>
    <xf numFmtId="3" fontId="3" fillId="0" borderId="24" xfId="0" applyNumberFormat="1" applyFont="1" applyBorder="1" applyAlignment="1">
      <alignment vertical="center"/>
    </xf>
    <xf numFmtId="3" fontId="3" fillId="0" borderId="25" xfId="0" applyNumberFormat="1" applyFont="1" applyBorder="1" applyAlignment="1">
      <alignment vertical="center"/>
    </xf>
    <xf numFmtId="3" fontId="3" fillId="0" borderId="0" xfId="0" applyNumberFormat="1" applyFont="1" applyAlignment="1">
      <alignment vertical="center"/>
    </xf>
    <xf numFmtId="3" fontId="2" fillId="0" borderId="24" xfId="0" applyNumberFormat="1" applyFont="1" applyBorder="1" applyAlignment="1">
      <alignment vertical="center"/>
    </xf>
    <xf numFmtId="3" fontId="2" fillId="0" borderId="25" xfId="0" applyNumberFormat="1" applyFont="1" applyBorder="1" applyAlignment="1">
      <alignment vertical="center"/>
    </xf>
    <xf numFmtId="3" fontId="0" fillId="0" borderId="26" xfId="0" applyNumberFormat="1" applyBorder="1" applyAlignment="1">
      <alignment vertical="center"/>
    </xf>
    <xf numFmtId="3" fontId="0" fillId="0" borderId="27" xfId="0" applyNumberFormat="1" applyBorder="1" applyAlignment="1">
      <alignment vertical="center" wrapText="1"/>
    </xf>
    <xf numFmtId="3" fontId="0" fillId="0" borderId="27" xfId="0" applyNumberFormat="1" applyBorder="1" applyAlignment="1">
      <alignment vertical="center"/>
    </xf>
    <xf numFmtId="3" fontId="0" fillId="0" borderId="29" xfId="0" applyNumberFormat="1" applyBorder="1" applyAlignment="1">
      <alignment vertical="center"/>
    </xf>
    <xf numFmtId="3" fontId="0" fillId="0" borderId="24" xfId="0" applyNumberFormat="1" applyBorder="1" applyAlignment="1">
      <alignment vertical="center"/>
    </xf>
    <xf numFmtId="3" fontId="0" fillId="0" borderId="0" xfId="0" applyNumberFormat="1" applyAlignment="1">
      <alignment vertical="center" wrapText="1"/>
    </xf>
    <xf numFmtId="3" fontId="0" fillId="0" borderId="25" xfId="0" applyNumberFormat="1" applyBorder="1" applyAlignment="1">
      <alignment vertical="center"/>
    </xf>
    <xf numFmtId="3" fontId="0" fillId="0" borderId="30" xfId="0" applyNumberFormat="1" applyBorder="1" applyAlignment="1">
      <alignment vertical="center"/>
    </xf>
    <xf numFmtId="3" fontId="0" fillId="0" borderId="31" xfId="0" applyNumberFormat="1" applyBorder="1" applyAlignment="1">
      <alignment vertical="center" wrapText="1"/>
    </xf>
    <xf numFmtId="3" fontId="0" fillId="0" borderId="31" xfId="0" applyNumberFormat="1" applyBorder="1" applyAlignment="1">
      <alignment vertical="center"/>
    </xf>
    <xf numFmtId="3" fontId="0" fillId="0" borderId="35" xfId="0" applyNumberFormat="1" applyBorder="1" applyAlignment="1">
      <alignment vertical="center"/>
    </xf>
    <xf numFmtId="3" fontId="0" fillId="0" borderId="38" xfId="0" applyNumberFormat="1" applyBorder="1" applyAlignment="1">
      <alignment vertical="center" wrapText="1"/>
    </xf>
    <xf numFmtId="3" fontId="0" fillId="0" borderId="39" xfId="0" applyNumberFormat="1" applyBorder="1" applyAlignment="1">
      <alignment vertical="center"/>
    </xf>
    <xf numFmtId="3" fontId="0" fillId="0" borderId="40" xfId="0" applyNumberFormat="1" applyBorder="1" applyAlignment="1">
      <alignment vertical="center" wrapText="1"/>
    </xf>
    <xf numFmtId="3" fontId="0" fillId="0" borderId="41" xfId="0" applyNumberFormat="1" applyBorder="1" applyAlignment="1">
      <alignment vertical="center"/>
    </xf>
    <xf numFmtId="3" fontId="0" fillId="3" borderId="8" xfId="0" applyNumberFormat="1" applyFill="1" applyBorder="1" applyAlignment="1" applyProtection="1">
      <alignment horizontal="center" vertical="center"/>
      <protection locked="0"/>
    </xf>
    <xf numFmtId="164" fontId="0" fillId="0" borderId="8" xfId="0" applyNumberFormat="1" applyBorder="1" applyAlignment="1">
      <alignment horizontal="center" vertical="center"/>
    </xf>
    <xf numFmtId="167" fontId="0" fillId="0" borderId="8" xfId="0" applyNumberFormat="1" applyBorder="1" applyAlignment="1">
      <alignment horizontal="center" vertical="center"/>
    </xf>
    <xf numFmtId="3" fontId="0" fillId="0" borderId="8" xfId="0" applyNumberFormat="1" applyBorder="1" applyAlignment="1">
      <alignment horizontal="center" vertical="center"/>
    </xf>
    <xf numFmtId="3" fontId="0" fillId="3" borderId="8" xfId="0" applyNumberFormat="1" applyFill="1" applyBorder="1" applyAlignment="1" applyProtection="1">
      <alignment horizontal="left" vertical="center"/>
      <protection locked="0"/>
    </xf>
    <xf numFmtId="10" fontId="0" fillId="0" borderId="8" xfId="0" applyNumberFormat="1" applyBorder="1" applyAlignment="1">
      <alignment horizontal="center" vertical="center"/>
    </xf>
    <xf numFmtId="0" fontId="0" fillId="3" borderId="8" xfId="0" applyFill="1" applyBorder="1" applyAlignment="1" applyProtection="1">
      <alignment horizontal="center" vertical="center"/>
      <protection locked="0"/>
    </xf>
    <xf numFmtId="10" fontId="0" fillId="3" borderId="8" xfId="0" applyNumberFormat="1" applyFill="1" applyBorder="1" applyAlignment="1" applyProtection="1">
      <alignment horizontal="center" vertical="center"/>
      <protection locked="0"/>
    </xf>
    <xf numFmtId="3" fontId="4" fillId="0" borderId="38" xfId="2" applyNumberFormat="1" applyFill="1" applyBorder="1" applyAlignment="1" applyProtection="1">
      <alignment vertical="center" wrapText="1"/>
    </xf>
    <xf numFmtId="9" fontId="0" fillId="3" borderId="8" xfId="0" applyNumberFormat="1" applyFill="1" applyBorder="1" applyAlignment="1" applyProtection="1">
      <alignment horizontal="center" vertical="center"/>
      <protection locked="0"/>
    </xf>
    <xf numFmtId="0" fontId="0" fillId="0" borderId="0" xfId="0" applyAlignment="1">
      <alignment vertical="center"/>
    </xf>
    <xf numFmtId="168" fontId="0" fillId="3" borderId="8" xfId="0" applyNumberFormat="1" applyFill="1" applyBorder="1" applyAlignment="1" applyProtection="1">
      <alignment horizontal="center" vertical="center"/>
      <protection locked="0"/>
    </xf>
    <xf numFmtId="3" fontId="6" fillId="0" borderId="0" xfId="0" applyNumberFormat="1" applyFont="1" applyAlignment="1">
      <alignment vertical="center" wrapText="1"/>
    </xf>
    <xf numFmtId="3" fontId="0" fillId="0" borderId="42" xfId="0" applyNumberFormat="1" applyBorder="1" applyAlignment="1">
      <alignment vertical="center" wrapText="1"/>
    </xf>
    <xf numFmtId="168" fontId="0" fillId="0" borderId="41" xfId="0" applyNumberFormat="1" applyBorder="1" applyAlignment="1">
      <alignment horizontal="center" vertical="center"/>
    </xf>
    <xf numFmtId="3" fontId="0" fillId="2" borderId="21" xfId="0" applyNumberFormat="1" applyFill="1" applyBorder="1" applyAlignment="1">
      <alignment vertical="center"/>
    </xf>
    <xf numFmtId="3" fontId="0" fillId="2" borderId="23" xfId="0" applyNumberFormat="1" applyFill="1" applyBorder="1" applyAlignment="1">
      <alignment vertical="center"/>
    </xf>
    <xf numFmtId="164" fontId="3" fillId="0" borderId="14" xfId="0" applyNumberFormat="1" applyFont="1" applyBorder="1" applyAlignment="1">
      <alignment horizontal="right" vertical="center"/>
    </xf>
    <xf numFmtId="164" fontId="2" fillId="0" borderId="40" xfId="0" applyNumberFormat="1" applyFont="1" applyBorder="1" applyAlignment="1">
      <alignment vertical="center" wrapText="1"/>
    </xf>
    <xf numFmtId="164" fontId="2" fillId="0" borderId="8" xfId="0" applyNumberFormat="1" applyFont="1" applyBorder="1" applyAlignment="1">
      <alignment vertical="center"/>
    </xf>
    <xf numFmtId="164" fontId="2" fillId="0" borderId="42" xfId="0" applyNumberFormat="1" applyFont="1" applyBorder="1" applyAlignment="1">
      <alignment vertical="center"/>
    </xf>
    <xf numFmtId="164" fontId="2" fillId="0" borderId="42" xfId="0" applyNumberFormat="1" applyFont="1" applyBorder="1" applyAlignment="1">
      <alignment vertical="center" wrapText="1"/>
    </xf>
    <xf numFmtId="164" fontId="0" fillId="0" borderId="38" xfId="0" applyNumberFormat="1" applyBorder="1" applyAlignment="1">
      <alignment vertical="center" wrapText="1"/>
    </xf>
    <xf numFmtId="164" fontId="0" fillId="0" borderId="39" xfId="0" applyNumberFormat="1" applyBorder="1" applyAlignment="1">
      <alignment vertical="center"/>
    </xf>
    <xf numFmtId="164" fontId="2" fillId="0" borderId="0" xfId="0" applyNumberFormat="1" applyFont="1" applyAlignment="1">
      <alignment vertical="center" wrapText="1"/>
    </xf>
    <xf numFmtId="164" fontId="2" fillId="0" borderId="0" xfId="0" applyNumberFormat="1" applyFont="1" applyAlignment="1">
      <alignment vertical="center"/>
    </xf>
    <xf numFmtId="164" fontId="2" fillId="0" borderId="8" xfId="0" applyNumberFormat="1" applyFont="1" applyBorder="1" applyAlignment="1">
      <alignment horizontal="center" vertical="center" wrapText="1"/>
    </xf>
    <xf numFmtId="164" fontId="0" fillId="3" borderId="43" xfId="0" applyNumberFormat="1" applyFill="1" applyBorder="1" applyAlignment="1" applyProtection="1">
      <alignment vertical="center"/>
      <protection locked="0"/>
    </xf>
    <xf numFmtId="164" fontId="0" fillId="0" borderId="0" xfId="0" applyNumberFormat="1" applyAlignment="1">
      <alignment horizontal="center" vertical="center" wrapText="1"/>
    </xf>
    <xf numFmtId="164" fontId="0" fillId="0" borderId="27" xfId="0" applyNumberFormat="1" applyBorder="1" applyAlignment="1">
      <alignment vertical="center" wrapText="1"/>
    </xf>
    <xf numFmtId="164" fontId="0" fillId="3" borderId="16" xfId="0" applyNumberFormat="1" applyFill="1" applyBorder="1" applyAlignment="1" applyProtection="1">
      <alignment vertical="center"/>
      <protection locked="0"/>
    </xf>
    <xf numFmtId="164" fontId="2" fillId="0" borderId="13" xfId="0" applyNumberFormat="1" applyFont="1" applyBorder="1" applyAlignment="1">
      <alignment vertical="center"/>
    </xf>
    <xf numFmtId="164" fontId="2" fillId="0" borderId="44" xfId="0" applyNumberFormat="1" applyFont="1" applyBorder="1" applyAlignment="1">
      <alignment horizontal="center" vertical="center"/>
    </xf>
    <xf numFmtId="164" fontId="2" fillId="0" borderId="18" xfId="0" applyNumberFormat="1" applyFont="1" applyBorder="1" applyAlignment="1">
      <alignment vertical="center" wrapText="1"/>
    </xf>
    <xf numFmtId="164" fontId="2" fillId="0" borderId="0" xfId="0" applyNumberFormat="1" applyFont="1" applyAlignment="1">
      <alignment horizontal="right" vertical="center" wrapText="1"/>
    </xf>
    <xf numFmtId="164" fontId="2" fillId="0" borderId="0" xfId="0" applyNumberFormat="1" applyFont="1" applyAlignment="1">
      <alignment horizontal="center" vertical="center"/>
    </xf>
    <xf numFmtId="0" fontId="0" fillId="0" borderId="0" xfId="0" applyAlignment="1">
      <alignment horizontal="center"/>
    </xf>
    <xf numFmtId="165" fontId="2" fillId="0" borderId="0" xfId="0" applyNumberFormat="1" applyFont="1" applyAlignment="1">
      <alignment horizontal="center" vertical="center"/>
    </xf>
    <xf numFmtId="164" fontId="6" fillId="0" borderId="11" xfId="0" applyNumberFormat="1" applyFont="1" applyBorder="1" applyAlignment="1">
      <alignment vertical="center" wrapText="1"/>
    </xf>
    <xf numFmtId="164" fontId="0" fillId="0" borderId="45" xfId="0" applyNumberFormat="1" applyBorder="1" applyAlignment="1">
      <alignment vertical="center"/>
    </xf>
    <xf numFmtId="165" fontId="2" fillId="0" borderId="44" xfId="0" applyNumberFormat="1" applyFont="1" applyBorder="1" applyAlignment="1">
      <alignment horizontal="center" vertical="center"/>
    </xf>
    <xf numFmtId="3" fontId="3" fillId="0" borderId="30" xfId="0" applyNumberFormat="1" applyFont="1" applyBorder="1" applyAlignment="1">
      <alignment vertical="center"/>
    </xf>
    <xf numFmtId="3" fontId="3" fillId="0" borderId="35" xfId="0" applyNumberFormat="1" applyFont="1" applyBorder="1" applyAlignment="1">
      <alignment vertical="center"/>
    </xf>
    <xf numFmtId="3" fontId="7" fillId="0" borderId="0" xfId="0" applyNumberFormat="1" applyFont="1" applyAlignment="1">
      <alignment vertical="center"/>
    </xf>
    <xf numFmtId="0" fontId="2" fillId="2" borderId="0" xfId="0" applyFont="1" applyFill="1" applyAlignment="1">
      <alignment horizontal="center" wrapText="1"/>
    </xf>
    <xf numFmtId="0" fontId="2" fillId="2" borderId="8" xfId="0" applyFont="1" applyFill="1" applyBorder="1" applyAlignment="1">
      <alignment horizontal="center"/>
    </xf>
    <xf numFmtId="168" fontId="2" fillId="2" borderId="8" xfId="0" applyNumberFormat="1" applyFont="1" applyFill="1" applyBorder="1" applyAlignment="1">
      <alignment horizontal="center" wrapText="1"/>
    </xf>
    <xf numFmtId="0" fontId="2" fillId="2" borderId="8" xfId="0" applyFont="1" applyFill="1" applyBorder="1" applyAlignment="1">
      <alignment horizontal="center" wrapText="1"/>
    </xf>
    <xf numFmtId="169" fontId="2" fillId="2" borderId="8" xfId="0" applyNumberFormat="1" applyFont="1" applyFill="1" applyBorder="1" applyAlignment="1">
      <alignment horizontal="center" vertical="center" wrapText="1"/>
    </xf>
    <xf numFmtId="164" fontId="2" fillId="2" borderId="8" xfId="0" applyNumberFormat="1" applyFont="1" applyFill="1" applyBorder="1" applyAlignment="1">
      <alignment horizontal="center" wrapText="1"/>
    </xf>
    <xf numFmtId="10" fontId="0" fillId="0" borderId="8" xfId="1" applyNumberFormat="1" applyFont="1" applyBorder="1" applyAlignment="1">
      <alignment horizontal="center" wrapText="1"/>
    </xf>
    <xf numFmtId="0" fontId="2" fillId="0" borderId="0" xfId="0" applyFont="1" applyAlignment="1">
      <alignment horizontal="center" wrapText="1"/>
    </xf>
    <xf numFmtId="9" fontId="0" fillId="0" borderId="0" xfId="0" applyNumberFormat="1" applyAlignment="1">
      <alignment horizontal="center"/>
    </xf>
    <xf numFmtId="168" fontId="0" fillId="0" borderId="0" xfId="0" applyNumberFormat="1" applyAlignment="1">
      <alignment horizontal="center"/>
    </xf>
    <xf numFmtId="164" fontId="0" fillId="0" borderId="0" xfId="0" applyNumberFormat="1" applyAlignment="1">
      <alignment horizontal="center"/>
    </xf>
    <xf numFmtId="10" fontId="0" fillId="0" borderId="8" xfId="1" applyNumberFormat="1" applyFont="1" applyBorder="1" applyAlignment="1">
      <alignment horizontal="center"/>
    </xf>
    <xf numFmtId="169" fontId="0" fillId="0" borderId="0" xfId="1" applyNumberFormat="1" applyFont="1" applyAlignment="1">
      <alignment horizontal="center" vertical="center"/>
    </xf>
    <xf numFmtId="170" fontId="0" fillId="0" borderId="0" xfId="0" applyNumberFormat="1" applyAlignment="1">
      <alignment horizontal="center"/>
    </xf>
    <xf numFmtId="169" fontId="0" fillId="0" borderId="0" xfId="0" applyNumberFormat="1" applyAlignment="1">
      <alignment horizontal="center" vertical="center" wrapText="1"/>
    </xf>
    <xf numFmtId="164" fontId="2" fillId="2" borderId="0" xfId="0" applyNumberFormat="1" applyFont="1" applyFill="1" applyAlignment="1">
      <alignment horizontal="center" vertical="center"/>
    </xf>
    <xf numFmtId="169" fontId="0" fillId="0" borderId="0" xfId="0" applyNumberFormat="1" applyAlignment="1">
      <alignment horizontal="center" wrapText="1"/>
    </xf>
    <xf numFmtId="169" fontId="2" fillId="2" borderId="0" xfId="0" applyNumberFormat="1" applyFont="1" applyFill="1" applyAlignment="1">
      <alignment horizontal="center" vertical="center" wrapText="1"/>
    </xf>
    <xf numFmtId="169" fontId="2" fillId="0" borderId="0" xfId="0" applyNumberFormat="1" applyFont="1" applyAlignment="1">
      <alignment horizontal="center" vertical="center" textRotation="90" wrapText="1"/>
    </xf>
    <xf numFmtId="3" fontId="0" fillId="0" borderId="0" xfId="0" applyNumberFormat="1"/>
    <xf numFmtId="164" fontId="0" fillId="2" borderId="17" xfId="0" applyNumberFormat="1" applyFill="1" applyBorder="1" applyAlignment="1">
      <alignment vertical="center" wrapText="1"/>
    </xf>
    <xf numFmtId="164" fontId="0" fillId="2" borderId="13" xfId="0" applyNumberFormat="1" applyFill="1" applyBorder="1" applyAlignment="1">
      <alignment vertical="center"/>
    </xf>
    <xf numFmtId="165" fontId="0" fillId="2" borderId="13" xfId="0" applyNumberFormat="1" applyFill="1" applyBorder="1" applyAlignment="1">
      <alignment horizontal="center" vertical="center" wrapText="1"/>
    </xf>
    <xf numFmtId="164" fontId="0" fillId="2" borderId="13" xfId="0" applyNumberFormat="1" applyFill="1" applyBorder="1" applyAlignment="1">
      <alignment vertical="center" wrapText="1"/>
    </xf>
    <xf numFmtId="164" fontId="0" fillId="2" borderId="18" xfId="0" applyNumberFormat="1" applyFill="1" applyBorder="1" applyAlignment="1">
      <alignment vertical="center" wrapText="1"/>
    </xf>
    <xf numFmtId="14" fontId="0" fillId="0" borderId="0" xfId="0" applyNumberFormat="1"/>
    <xf numFmtId="171" fontId="0" fillId="0" borderId="8" xfId="0" applyNumberFormat="1" applyBorder="1" applyAlignment="1">
      <alignment horizontal="center" vertical="center"/>
    </xf>
    <xf numFmtId="164" fontId="2" fillId="0" borderId="10" xfId="0" applyNumberFormat="1" applyFont="1" applyBorder="1" applyAlignment="1">
      <alignment horizontal="left" vertical="center" wrapText="1" indent="1"/>
    </xf>
    <xf numFmtId="164" fontId="2" fillId="0" borderId="10" xfId="0" applyNumberFormat="1" applyFont="1" applyBorder="1" applyAlignment="1">
      <alignment horizontal="left" vertical="center" indent="1"/>
    </xf>
    <xf numFmtId="164" fontId="2" fillId="4" borderId="14" xfId="0" applyNumberFormat="1" applyFont="1" applyFill="1" applyBorder="1" applyAlignment="1">
      <alignment vertical="center"/>
    </xf>
    <xf numFmtId="164" fontId="2" fillId="4" borderId="14" xfId="0" applyNumberFormat="1" applyFont="1" applyFill="1" applyBorder="1" applyAlignment="1">
      <alignment horizontal="right" vertical="center" wrapText="1"/>
    </xf>
    <xf numFmtId="164" fontId="2" fillId="4" borderId="10" xfId="0" applyNumberFormat="1" applyFont="1" applyFill="1" applyBorder="1" applyAlignment="1">
      <alignment horizontal="right" vertical="center" wrapText="1"/>
    </xf>
    <xf numFmtId="164" fontId="2" fillId="4" borderId="10" xfId="0" applyNumberFormat="1" applyFont="1" applyFill="1" applyBorder="1" applyAlignment="1">
      <alignment vertical="center"/>
    </xf>
    <xf numFmtId="165" fontId="2" fillId="4" borderId="11" xfId="0" applyNumberFormat="1" applyFont="1" applyFill="1" applyBorder="1" applyAlignment="1">
      <alignment horizontal="center" vertical="center"/>
    </xf>
    <xf numFmtId="3" fontId="0" fillId="4" borderId="11" xfId="0" applyNumberFormat="1" applyFill="1" applyBorder="1" applyAlignment="1">
      <alignment vertical="center"/>
    </xf>
    <xf numFmtId="164" fontId="8" fillId="4" borderId="0" xfId="0" applyNumberFormat="1" applyFont="1" applyFill="1" applyAlignment="1">
      <alignment vertical="center"/>
    </xf>
    <xf numFmtId="165" fontId="8" fillId="4" borderId="0" xfId="0" applyNumberFormat="1" applyFont="1" applyFill="1" applyAlignment="1">
      <alignment horizontal="center" vertical="center"/>
    </xf>
    <xf numFmtId="164" fontId="8" fillId="4" borderId="0" xfId="0" applyNumberFormat="1" applyFont="1" applyFill="1" applyAlignment="1">
      <alignment horizontal="right" vertical="center" wrapText="1"/>
    </xf>
    <xf numFmtId="164" fontId="8" fillId="4" borderId="11" xfId="0" applyNumberFormat="1" applyFont="1" applyFill="1" applyBorder="1" applyAlignment="1">
      <alignment vertical="center" wrapText="1"/>
    </xf>
    <xf numFmtId="164" fontId="2" fillId="0" borderId="55" xfId="0" applyNumberFormat="1" applyFont="1" applyBorder="1" applyAlignment="1">
      <alignment horizontal="right" vertical="center" wrapText="1"/>
    </xf>
    <xf numFmtId="164" fontId="2" fillId="0" borderId="56" xfId="0" applyNumberFormat="1" applyFont="1" applyBorder="1" applyAlignment="1">
      <alignment vertical="center"/>
    </xf>
    <xf numFmtId="165" fontId="2" fillId="0" borderId="57" xfId="0" applyNumberFormat="1" applyFont="1" applyBorder="1" applyAlignment="1">
      <alignment horizontal="center" vertical="center"/>
    </xf>
    <xf numFmtId="164" fontId="2" fillId="0" borderId="58" xfId="0" applyNumberFormat="1" applyFont="1" applyBorder="1" applyAlignment="1">
      <alignment vertical="center" wrapText="1"/>
    </xf>
    <xf numFmtId="3" fontId="0" fillId="3" borderId="59" xfId="0" applyNumberFormat="1" applyFill="1" applyBorder="1" applyAlignment="1" applyProtection="1">
      <alignment horizontal="left" vertical="center" wrapText="1"/>
      <protection locked="0"/>
    </xf>
    <xf numFmtId="3" fontId="0" fillId="3" borderId="61" xfId="0" applyNumberFormat="1" applyFill="1" applyBorder="1" applyAlignment="1" applyProtection="1">
      <alignment horizontal="left" vertical="center" wrapText="1"/>
      <protection locked="0"/>
    </xf>
    <xf numFmtId="3" fontId="0" fillId="3" borderId="62" xfId="0" applyNumberFormat="1" applyFill="1" applyBorder="1" applyAlignment="1" applyProtection="1">
      <alignment horizontal="left" vertical="center" wrapText="1"/>
      <protection locked="0"/>
    </xf>
    <xf numFmtId="3" fontId="8" fillId="3" borderId="60" xfId="0" applyNumberFormat="1" applyFont="1" applyFill="1" applyBorder="1" applyAlignment="1" applyProtection="1">
      <alignment horizontal="left" vertical="center" wrapText="1"/>
      <protection locked="0"/>
    </xf>
    <xf numFmtId="3" fontId="0" fillId="3" borderId="63" xfId="0" applyNumberFormat="1" applyFill="1" applyBorder="1" applyAlignment="1" applyProtection="1">
      <alignment horizontal="left" vertical="center" wrapText="1"/>
      <protection locked="0"/>
    </xf>
    <xf numFmtId="172" fontId="0" fillId="0" borderId="0" xfId="0" applyNumberFormat="1"/>
    <xf numFmtId="2" fontId="0" fillId="0" borderId="0" xfId="0" applyNumberFormat="1"/>
    <xf numFmtId="0" fontId="9" fillId="7" borderId="0" xfId="0" applyFont="1" applyFill="1"/>
    <xf numFmtId="0" fontId="9" fillId="7" borderId="0" xfId="0" applyFont="1" applyFill="1" applyAlignment="1">
      <alignment horizontal="right"/>
    </xf>
    <xf numFmtId="10" fontId="0" fillId="0" borderId="0" xfId="1" applyNumberFormat="1" applyFont="1"/>
    <xf numFmtId="3" fontId="0" fillId="0" borderId="8" xfId="0" applyNumberFormat="1" applyBorder="1" applyAlignment="1">
      <alignment vertical="center"/>
    </xf>
    <xf numFmtId="0" fontId="0" fillId="0" borderId="8" xfId="0" applyBorder="1"/>
    <xf numFmtId="164" fontId="0" fillId="3" borderId="10" xfId="0" applyNumberFormat="1" applyFill="1" applyBorder="1" applyAlignment="1" applyProtection="1">
      <alignment horizontal="right" vertical="center" wrapText="1"/>
      <protection locked="0"/>
    </xf>
    <xf numFmtId="164" fontId="0" fillId="3" borderId="0" xfId="0" applyNumberFormat="1" applyFill="1" applyAlignment="1" applyProtection="1">
      <alignment vertical="center"/>
      <protection locked="0"/>
    </xf>
    <xf numFmtId="164" fontId="0" fillId="3" borderId="11" xfId="0" applyNumberFormat="1" applyFill="1" applyBorder="1" applyAlignment="1" applyProtection="1">
      <alignment vertical="center" wrapText="1"/>
      <protection locked="0"/>
    </xf>
    <xf numFmtId="1" fontId="0" fillId="0" borderId="0" xfId="0" applyNumberFormat="1"/>
    <xf numFmtId="164" fontId="0" fillId="5" borderId="8" xfId="0" applyNumberFormat="1" applyFill="1" applyBorder="1" applyAlignment="1" applyProtection="1">
      <alignment vertical="center"/>
      <protection locked="0"/>
    </xf>
    <xf numFmtId="164" fontId="3" fillId="0" borderId="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3" fillId="0" borderId="6" xfId="0" applyNumberFormat="1" applyFont="1" applyBorder="1" applyAlignment="1">
      <alignment horizontal="center" vertical="center" wrapText="1"/>
    </xf>
    <xf numFmtId="164" fontId="2" fillId="0" borderId="10" xfId="0" applyNumberFormat="1" applyFont="1" applyBorder="1" applyAlignment="1">
      <alignment horizontal="center" vertical="center" wrapText="1"/>
    </xf>
    <xf numFmtId="164" fontId="2" fillId="2" borderId="64" xfId="0" applyNumberFormat="1" applyFont="1" applyFill="1" applyBorder="1" applyAlignment="1">
      <alignment horizontal="center" vertical="center" wrapText="1"/>
    </xf>
    <xf numFmtId="164" fontId="2" fillId="2" borderId="65" xfId="0" applyNumberFormat="1" applyFont="1" applyFill="1" applyBorder="1" applyAlignment="1">
      <alignment horizontal="center" vertical="center" wrapText="1"/>
    </xf>
    <xf numFmtId="164" fontId="0" fillId="0" borderId="42" xfId="0" applyNumberFormat="1" applyBorder="1" applyAlignment="1">
      <alignment vertical="center"/>
    </xf>
    <xf numFmtId="164" fontId="0" fillId="0" borderId="66" xfId="0" applyNumberFormat="1" applyBorder="1" applyAlignment="1">
      <alignment vertical="center"/>
    </xf>
    <xf numFmtId="164" fontId="0" fillId="0" borderId="67" xfId="0" applyNumberFormat="1" applyBorder="1" applyAlignment="1">
      <alignment vertical="center"/>
    </xf>
    <xf numFmtId="164" fontId="0" fillId="0" borderId="10" xfId="0" applyNumberFormat="1" applyBorder="1" applyAlignment="1">
      <alignment vertical="center"/>
    </xf>
    <xf numFmtId="164" fontId="0" fillId="0" borderId="11" xfId="0" applyNumberFormat="1" applyBorder="1" applyAlignment="1">
      <alignment vertical="center"/>
    </xf>
    <xf numFmtId="164" fontId="0" fillId="2" borderId="27" xfId="0" applyNumberFormat="1" applyFill="1" applyBorder="1" applyAlignment="1">
      <alignment horizontal="center" vertical="center" wrapText="1"/>
    </xf>
    <xf numFmtId="164" fontId="0" fillId="2" borderId="64" xfId="0" applyNumberFormat="1" applyFill="1" applyBorder="1" applyAlignment="1">
      <alignment horizontal="center" vertical="center" wrapText="1"/>
    </xf>
    <xf numFmtId="164" fontId="0" fillId="2" borderId="65" xfId="0" applyNumberFormat="1" applyFill="1" applyBorder="1" applyAlignment="1">
      <alignment horizontal="center" vertical="center" wrapText="1"/>
    </xf>
    <xf numFmtId="164" fontId="0" fillId="2" borderId="28" xfId="0" applyNumberFormat="1" applyFill="1" applyBorder="1" applyAlignment="1">
      <alignment horizontal="center" vertical="center" wrapText="1"/>
    </xf>
    <xf numFmtId="164" fontId="0" fillId="2" borderId="68" xfId="0" applyNumberFormat="1" applyFill="1" applyBorder="1" applyAlignment="1">
      <alignment horizontal="center" vertical="center" wrapText="1"/>
    </xf>
    <xf numFmtId="164" fontId="0" fillId="2" borderId="69" xfId="0" applyNumberFormat="1" applyFill="1" applyBorder="1" applyAlignment="1">
      <alignment horizontal="center" vertical="center" wrapText="1"/>
    </xf>
    <xf numFmtId="164" fontId="2" fillId="0" borderId="10" xfId="0" applyNumberFormat="1" applyFont="1" applyBorder="1" applyAlignment="1">
      <alignment vertical="center"/>
    </xf>
    <xf numFmtId="164" fontId="2" fillId="0" borderId="11" xfId="0" applyNumberFormat="1" applyFont="1" applyBorder="1" applyAlignment="1">
      <alignment vertical="center"/>
    </xf>
    <xf numFmtId="3" fontId="3" fillId="2" borderId="70" xfId="0" applyNumberFormat="1" applyFont="1" applyFill="1" applyBorder="1" applyAlignment="1">
      <alignment horizontal="center" vertical="center" wrapText="1"/>
    </xf>
    <xf numFmtId="3" fontId="3" fillId="2" borderId="71" xfId="0" applyNumberFormat="1" applyFont="1" applyFill="1" applyBorder="1" applyAlignment="1">
      <alignment horizontal="center" vertical="center" wrapText="1"/>
    </xf>
    <xf numFmtId="164" fontId="2" fillId="0" borderId="14" xfId="0" applyNumberFormat="1" applyFont="1" applyBorder="1" applyAlignment="1">
      <alignment horizontal="right" vertical="center"/>
    </xf>
    <xf numFmtId="3" fontId="0" fillId="0" borderId="10" xfId="0" applyNumberFormat="1" applyBorder="1" applyAlignment="1">
      <alignment horizontal="center" vertical="center"/>
    </xf>
    <xf numFmtId="3" fontId="0" fillId="0" borderId="11" xfId="0" applyNumberFormat="1" applyBorder="1" applyAlignment="1">
      <alignment horizontal="center" vertical="center"/>
    </xf>
    <xf numFmtId="164" fontId="2" fillId="0" borderId="0" xfId="0" applyNumberFormat="1" applyFont="1" applyAlignment="1">
      <alignment horizontal="right" vertical="center"/>
    </xf>
    <xf numFmtId="164" fontId="2" fillId="0" borderId="0" xfId="0" applyNumberFormat="1" applyFont="1" applyAlignment="1">
      <alignment horizontal="left" vertical="center"/>
    </xf>
    <xf numFmtId="9" fontId="2" fillId="0" borderId="14" xfId="1" applyFont="1" applyBorder="1" applyAlignment="1" applyProtection="1">
      <alignment horizontal="right" vertical="center"/>
    </xf>
    <xf numFmtId="3" fontId="0" fillId="0" borderId="72" xfId="0" applyNumberFormat="1" applyBorder="1" applyAlignment="1">
      <alignment horizontal="center" vertical="center"/>
    </xf>
    <xf numFmtId="3" fontId="0" fillId="0" borderId="73" xfId="0" applyNumberFormat="1" applyBorder="1" applyAlignment="1">
      <alignment horizontal="center" vertical="center"/>
    </xf>
    <xf numFmtId="164" fontId="0" fillId="0" borderId="17" xfId="0" applyNumberFormat="1" applyBorder="1" applyAlignment="1">
      <alignment vertical="center"/>
    </xf>
    <xf numFmtId="164" fontId="0" fillId="0" borderId="13" xfId="0" applyNumberFormat="1" applyBorder="1" applyAlignment="1">
      <alignment vertical="center"/>
    </xf>
    <xf numFmtId="164" fontId="0" fillId="0" borderId="18" xfId="0" applyNumberFormat="1" applyBorder="1" applyAlignment="1">
      <alignment vertical="center"/>
    </xf>
    <xf numFmtId="164" fontId="8" fillId="0" borderId="10" xfId="0" applyNumberFormat="1" applyFont="1" applyBorder="1" applyAlignment="1">
      <alignment horizontal="right" vertical="center" wrapText="1"/>
    </xf>
    <xf numFmtId="164" fontId="8" fillId="0" borderId="16" xfId="0" applyNumberFormat="1" applyFont="1" applyBorder="1" applyAlignment="1">
      <alignment vertical="center"/>
    </xf>
    <xf numFmtId="10" fontId="6" fillId="0" borderId="8" xfId="0" applyNumberFormat="1" applyFont="1" applyBorder="1" applyAlignment="1" applyProtection="1">
      <alignment horizontal="center" vertical="center"/>
      <protection locked="0"/>
    </xf>
    <xf numFmtId="10" fontId="0" fillId="8" borderId="8" xfId="1" applyNumberFormat="1" applyFont="1" applyFill="1" applyBorder="1" applyAlignment="1">
      <alignment horizontal="center"/>
    </xf>
    <xf numFmtId="164" fontId="3" fillId="0" borderId="0" xfId="0" applyNumberFormat="1" applyFont="1" applyAlignment="1">
      <alignment horizontal="right" vertical="center"/>
    </xf>
    <xf numFmtId="3" fontId="11" fillId="0" borderId="0" xfId="0" applyNumberFormat="1" applyFont="1" applyAlignment="1">
      <alignment vertical="center"/>
    </xf>
    <xf numFmtId="164" fontId="12" fillId="0" borderId="14" xfId="0" applyNumberFormat="1" applyFont="1" applyBorder="1" applyAlignment="1">
      <alignment horizontal="right" vertical="center"/>
    </xf>
    <xf numFmtId="3" fontId="13" fillId="0" borderId="0" xfId="0" applyNumberFormat="1" applyFont="1" applyAlignment="1">
      <alignment horizontal="right" vertical="center"/>
    </xf>
    <xf numFmtId="0" fontId="0" fillId="0" borderId="0" xfId="0" applyAlignment="1">
      <alignment horizontal="right"/>
    </xf>
    <xf numFmtId="0" fontId="0" fillId="0" borderId="0" xfId="0" applyAlignment="1">
      <alignment horizontal="left" indent="1"/>
    </xf>
    <xf numFmtId="164" fontId="14" fillId="0" borderId="0" xfId="0" applyNumberFormat="1" applyFont="1" applyAlignment="1">
      <alignment horizontal="right" vertical="center"/>
    </xf>
    <xf numFmtId="169" fontId="0" fillId="8" borderId="0" xfId="1" applyNumberFormat="1" applyFont="1" applyFill="1" applyBorder="1" applyAlignment="1">
      <alignment horizontal="center" vertical="center" wrapText="1"/>
    </xf>
    <xf numFmtId="169" fontId="0" fillId="8" borderId="0" xfId="1" applyNumberFormat="1" applyFont="1" applyFill="1" applyAlignment="1">
      <alignment horizontal="center" vertical="center" wrapText="1"/>
    </xf>
    <xf numFmtId="164" fontId="2" fillId="8" borderId="0" xfId="0" quotePrefix="1" applyNumberFormat="1" applyFont="1" applyFill="1" applyAlignment="1">
      <alignment horizontal="center" vertical="center" wrapText="1"/>
    </xf>
    <xf numFmtId="164" fontId="2" fillId="8" borderId="11" xfId="0" applyNumberFormat="1" applyFont="1" applyFill="1" applyBorder="1" applyAlignment="1">
      <alignment horizontal="center" vertical="center" wrapText="1"/>
    </xf>
    <xf numFmtId="164" fontId="2" fillId="8" borderId="0" xfId="0" applyNumberFormat="1" applyFont="1" applyFill="1" applyAlignment="1">
      <alignment horizontal="center" vertical="center" wrapText="1"/>
    </xf>
    <xf numFmtId="3" fontId="0" fillId="0" borderId="0" xfId="0" applyNumberFormat="1" applyAlignment="1">
      <alignment horizontal="left" vertical="center" wrapText="1"/>
    </xf>
    <xf numFmtId="164" fontId="2" fillId="2" borderId="36" xfId="0" applyNumberFormat="1" applyFont="1" applyFill="1" applyBorder="1" applyAlignment="1">
      <alignment horizontal="center" vertical="center" wrapText="1"/>
    </xf>
    <xf numFmtId="164" fontId="2" fillId="2" borderId="27" xfId="0" applyNumberFormat="1" applyFont="1" applyFill="1" applyBorder="1" applyAlignment="1">
      <alignment horizontal="center" vertical="center" wrapText="1"/>
    </xf>
    <xf numFmtId="164" fontId="2" fillId="2" borderId="37" xfId="0" applyNumberFormat="1" applyFont="1" applyFill="1" applyBorder="1" applyAlignment="1">
      <alignment horizontal="center" vertical="center" wrapText="1"/>
    </xf>
    <xf numFmtId="164" fontId="2" fillId="2" borderId="19" xfId="0" applyNumberFormat="1" applyFont="1" applyFill="1" applyBorder="1" applyAlignment="1">
      <alignment horizontal="center" vertical="center" wrapText="1"/>
    </xf>
    <xf numFmtId="164" fontId="2" fillId="2" borderId="28" xfId="0" applyNumberFormat="1" applyFont="1" applyFill="1" applyBorder="1" applyAlignment="1">
      <alignment horizontal="center" vertical="center" wrapText="1"/>
    </xf>
    <xf numFmtId="164" fontId="2" fillId="2" borderId="20" xfId="0" applyNumberFormat="1" applyFont="1" applyFill="1" applyBorder="1" applyAlignment="1">
      <alignment horizontal="center" vertical="center" wrapText="1"/>
    </xf>
    <xf numFmtId="3" fontId="3" fillId="2" borderId="22" xfId="0" applyNumberFormat="1" applyFont="1" applyFill="1" applyBorder="1" applyAlignment="1">
      <alignment horizontal="center" vertical="center" wrapText="1"/>
    </xf>
    <xf numFmtId="3" fontId="0" fillId="0" borderId="31" xfId="0" applyNumberFormat="1" applyBorder="1" applyAlignment="1">
      <alignment horizontal="center" vertical="center"/>
    </xf>
    <xf numFmtId="3" fontId="0" fillId="3" borderId="48" xfId="0" applyNumberFormat="1" applyFill="1" applyBorder="1" applyAlignment="1" applyProtection="1">
      <alignment horizontal="left" vertical="center" wrapText="1"/>
      <protection locked="0"/>
    </xf>
    <xf numFmtId="3" fontId="0" fillId="3" borderId="51" xfId="0" applyNumberFormat="1" applyFill="1" applyBorder="1" applyAlignment="1" applyProtection="1">
      <alignment horizontal="left" vertical="center" wrapText="1"/>
      <protection locked="0"/>
    </xf>
    <xf numFmtId="3" fontId="8" fillId="3" borderId="54" xfId="0" applyNumberFormat="1" applyFont="1" applyFill="1" applyBorder="1" applyAlignment="1" applyProtection="1">
      <alignment horizontal="left" vertical="center" wrapText="1"/>
      <protection locked="0"/>
    </xf>
    <xf numFmtId="164" fontId="3" fillId="0" borderId="0" xfId="0" applyNumberFormat="1" applyFont="1" applyAlignment="1">
      <alignment horizontal="center" vertical="center" wrapText="1"/>
    </xf>
    <xf numFmtId="3" fontId="7" fillId="0" borderId="36" xfId="0" applyNumberFormat="1" applyFont="1" applyBorder="1" applyAlignment="1">
      <alignment horizontal="left" vertical="center" wrapText="1"/>
    </xf>
    <xf numFmtId="3" fontId="7" fillId="0" borderId="27" xfId="0" applyNumberFormat="1" applyFont="1" applyBorder="1" applyAlignment="1">
      <alignment horizontal="left" vertical="center" wrapText="1"/>
    </xf>
    <xf numFmtId="3" fontId="7" fillId="0" borderId="37" xfId="0" applyNumberFormat="1" applyFont="1" applyBorder="1" applyAlignment="1">
      <alignment horizontal="left" vertical="center" wrapText="1"/>
    </xf>
    <xf numFmtId="3" fontId="3" fillId="0" borderId="22" xfId="0" applyNumberFormat="1" applyFont="1" applyBorder="1" applyAlignment="1">
      <alignment horizontal="center" vertical="center"/>
    </xf>
    <xf numFmtId="3" fontId="2" fillId="0" borderId="22" xfId="0" applyNumberFormat="1" applyFont="1" applyBorder="1" applyAlignment="1">
      <alignment horizontal="center" vertical="center"/>
    </xf>
    <xf numFmtId="3" fontId="5" fillId="8" borderId="0" xfId="0" applyNumberFormat="1" applyFont="1" applyFill="1" applyAlignment="1">
      <alignment horizontal="center" vertical="center"/>
    </xf>
    <xf numFmtId="3" fontId="3" fillId="0" borderId="31" xfId="0" applyNumberFormat="1" applyFont="1" applyBorder="1" applyAlignment="1">
      <alignment horizontal="center" vertical="center"/>
    </xf>
    <xf numFmtId="3" fontId="7" fillId="0" borderId="36" xfId="0" applyNumberFormat="1" applyFont="1" applyBorder="1" applyAlignment="1">
      <alignment horizontal="left" vertical="center"/>
    </xf>
    <xf numFmtId="3" fontId="7" fillId="0" borderId="27" xfId="0" applyNumberFormat="1" applyFont="1" applyBorder="1" applyAlignment="1">
      <alignment horizontal="left" vertical="center"/>
    </xf>
    <xf numFmtId="3" fontId="7" fillId="0" borderId="37" xfId="0" applyNumberFormat="1" applyFont="1" applyBorder="1" applyAlignment="1">
      <alignment horizontal="left" vertical="center"/>
    </xf>
    <xf numFmtId="3" fontId="0" fillId="0" borderId="38" xfId="0" applyNumberFormat="1" applyBorder="1" applyAlignment="1">
      <alignment horizontal="left" vertical="center" wrapText="1"/>
    </xf>
    <xf numFmtId="3" fontId="0" fillId="0" borderId="0" xfId="0" applyNumberFormat="1" applyAlignment="1">
      <alignment horizontal="left" vertical="center" wrapText="1"/>
    </xf>
    <xf numFmtId="3" fontId="0" fillId="0" borderId="39" xfId="0" applyNumberFormat="1" applyBorder="1" applyAlignment="1">
      <alignment horizontal="left" vertical="center" wrapText="1"/>
    </xf>
    <xf numFmtId="164" fontId="0" fillId="0" borderId="38" xfId="0" applyNumberFormat="1" applyBorder="1" applyAlignment="1">
      <alignment horizontal="left" vertical="center" wrapText="1"/>
    </xf>
    <xf numFmtId="164" fontId="0" fillId="0" borderId="0" xfId="0" applyNumberFormat="1" applyAlignment="1">
      <alignment horizontal="left" vertical="center" wrapText="1"/>
    </xf>
    <xf numFmtId="164" fontId="0" fillId="0" borderId="39" xfId="0" applyNumberFormat="1" applyBorder="1" applyAlignment="1">
      <alignment horizontal="left" vertical="center" wrapText="1"/>
    </xf>
    <xf numFmtId="3" fontId="4" fillId="0" borderId="40" xfId="2" applyNumberFormat="1" applyBorder="1" applyAlignment="1" applyProtection="1">
      <alignment horizontal="left" vertical="center" wrapText="1"/>
    </xf>
    <xf numFmtId="3" fontId="4" fillId="0" borderId="42" xfId="2" applyNumberFormat="1" applyBorder="1" applyAlignment="1" applyProtection="1">
      <alignment horizontal="left" vertical="center" wrapText="1"/>
    </xf>
    <xf numFmtId="3" fontId="4" fillId="0" borderId="41" xfId="2" applyNumberFormat="1" applyBorder="1" applyAlignment="1" applyProtection="1">
      <alignment horizontal="left" vertical="center" wrapText="1"/>
    </xf>
    <xf numFmtId="3" fontId="0" fillId="0" borderId="40" xfId="0" applyNumberFormat="1" applyBorder="1" applyAlignment="1">
      <alignment horizontal="left" vertical="center" wrapText="1"/>
    </xf>
    <xf numFmtId="3" fontId="0" fillId="0" borderId="42" xfId="0" applyNumberFormat="1" applyBorder="1" applyAlignment="1">
      <alignment horizontal="left" vertical="center" wrapText="1"/>
    </xf>
    <xf numFmtId="3" fontId="0" fillId="0" borderId="41" xfId="0" applyNumberFormat="1" applyBorder="1" applyAlignment="1">
      <alignment horizontal="left" vertical="center" wrapText="1"/>
    </xf>
    <xf numFmtId="3" fontId="6" fillId="0" borderId="38" xfId="0" applyNumberFormat="1" applyFont="1" applyBorder="1" applyAlignment="1">
      <alignment horizontal="left" vertical="center" wrapText="1"/>
    </xf>
    <xf numFmtId="3" fontId="6" fillId="0" borderId="0" xfId="0" applyNumberFormat="1" applyFont="1" applyAlignment="1">
      <alignment horizontal="left" vertical="center" wrapText="1"/>
    </xf>
    <xf numFmtId="3" fontId="6" fillId="0" borderId="39" xfId="0" applyNumberFormat="1" applyFont="1" applyBorder="1" applyAlignment="1">
      <alignment horizontal="left" vertical="center" wrapText="1"/>
    </xf>
    <xf numFmtId="3" fontId="0" fillId="0" borderId="38" xfId="0" applyNumberFormat="1" applyBorder="1" applyAlignment="1">
      <alignment horizontal="center" vertical="center"/>
    </xf>
    <xf numFmtId="3" fontId="3" fillId="0" borderId="0" xfId="0" applyNumberFormat="1" applyFont="1" applyAlignment="1">
      <alignment horizontal="center" vertical="center"/>
    </xf>
    <xf numFmtId="3" fontId="5" fillId="0" borderId="0" xfId="0" applyNumberFormat="1" applyFont="1" applyAlignment="1">
      <alignment horizontal="center" vertical="center"/>
    </xf>
    <xf numFmtId="3" fontId="0" fillId="3" borderId="19" xfId="0" applyNumberFormat="1" applyFill="1" applyBorder="1" applyAlignment="1" applyProtection="1">
      <alignment horizontal="left" vertical="center"/>
      <protection locked="0"/>
    </xf>
    <xf numFmtId="3" fontId="0" fillId="3" borderId="28" xfId="0" applyNumberFormat="1" applyFill="1" applyBorder="1" applyAlignment="1" applyProtection="1">
      <alignment horizontal="left" vertical="center"/>
      <protection locked="0"/>
    </xf>
    <xf numFmtId="3" fontId="0" fillId="3" borderId="20" xfId="0" applyNumberFormat="1" applyFill="1" applyBorder="1" applyAlignment="1" applyProtection="1">
      <alignment horizontal="left" vertical="center"/>
      <protection locked="0"/>
    </xf>
    <xf numFmtId="1" fontId="0" fillId="3" borderId="32" xfId="0" applyNumberFormat="1" applyFill="1" applyBorder="1" applyAlignment="1" applyProtection="1">
      <alignment horizontal="left" vertical="center"/>
      <protection locked="0"/>
    </xf>
    <xf numFmtId="1" fontId="0" fillId="3" borderId="33" xfId="0" applyNumberFormat="1" applyFill="1" applyBorder="1" applyAlignment="1" applyProtection="1">
      <alignment horizontal="left" vertical="center"/>
      <protection locked="0"/>
    </xf>
    <xf numFmtId="1" fontId="0" fillId="3" borderId="34" xfId="0" applyNumberFormat="1" applyFill="1" applyBorder="1" applyAlignment="1" applyProtection="1">
      <alignment horizontal="left" vertical="center"/>
      <protection locked="0"/>
    </xf>
    <xf numFmtId="3" fontId="2" fillId="2" borderId="36" xfId="0" applyNumberFormat="1" applyFont="1" applyFill="1" applyBorder="1" applyAlignment="1">
      <alignment horizontal="center" vertical="center"/>
    </xf>
    <xf numFmtId="3" fontId="2" fillId="2" borderId="27" xfId="0" applyNumberFormat="1" applyFont="1" applyFill="1" applyBorder="1" applyAlignment="1">
      <alignment horizontal="center" vertical="center"/>
    </xf>
    <xf numFmtId="3" fontId="2" fillId="2" borderId="37" xfId="0" applyNumberFormat="1" applyFont="1" applyFill="1" applyBorder="1" applyAlignment="1">
      <alignment horizontal="center" vertical="center"/>
    </xf>
    <xf numFmtId="166" fontId="0" fillId="3" borderId="19" xfId="0" applyNumberFormat="1" applyFill="1" applyBorder="1" applyAlignment="1" applyProtection="1">
      <alignment horizontal="left" vertical="center"/>
      <protection locked="0"/>
    </xf>
    <xf numFmtId="166" fontId="0" fillId="3" borderId="28" xfId="0" applyNumberFormat="1" applyFill="1" applyBorder="1" applyAlignment="1" applyProtection="1">
      <alignment horizontal="left" vertical="center"/>
      <protection locked="0"/>
    </xf>
    <xf numFmtId="166" fontId="0" fillId="3" borderId="20" xfId="0" applyNumberFormat="1" applyFill="1" applyBorder="1" applyAlignment="1" applyProtection="1">
      <alignment horizontal="left" vertical="center"/>
      <protection locked="0"/>
    </xf>
    <xf numFmtId="3" fontId="4" fillId="3" borderId="19" xfId="2" applyNumberFormat="1" applyFill="1" applyBorder="1" applyAlignment="1" applyProtection="1">
      <alignment horizontal="left" vertical="center"/>
      <protection locked="0"/>
    </xf>
    <xf numFmtId="164" fontId="2" fillId="2" borderId="36" xfId="0" applyNumberFormat="1" applyFont="1" applyFill="1" applyBorder="1" applyAlignment="1">
      <alignment horizontal="center" vertical="center" wrapText="1"/>
    </xf>
    <xf numFmtId="164" fontId="2" fillId="2" borderId="27" xfId="0" applyNumberFormat="1" applyFont="1" applyFill="1" applyBorder="1" applyAlignment="1">
      <alignment horizontal="center" vertical="center" wrapText="1"/>
    </xf>
    <xf numFmtId="164" fontId="2" fillId="2" borderId="37" xfId="0" applyNumberFormat="1" applyFont="1" applyFill="1" applyBorder="1" applyAlignment="1">
      <alignment horizontal="center" vertical="center" wrapText="1"/>
    </xf>
    <xf numFmtId="3" fontId="2" fillId="2" borderId="38" xfId="0" applyNumberFormat="1" applyFont="1" applyFill="1" applyBorder="1" applyAlignment="1">
      <alignment horizontal="center" vertical="center"/>
    </xf>
    <xf numFmtId="3" fontId="2" fillId="2" borderId="0" xfId="0" applyNumberFormat="1" applyFont="1" applyFill="1" applyAlignment="1">
      <alignment horizontal="center" vertical="center"/>
    </xf>
    <xf numFmtId="3" fontId="2" fillId="2" borderId="39" xfId="0" applyNumberFormat="1" applyFont="1" applyFill="1" applyBorder="1" applyAlignment="1">
      <alignment horizontal="center" vertical="center"/>
    </xf>
    <xf numFmtId="3" fontId="0" fillId="0" borderId="40" xfId="0" applyNumberFormat="1" applyBorder="1" applyAlignment="1">
      <alignment horizontal="center" vertical="center"/>
    </xf>
    <xf numFmtId="3" fontId="0" fillId="3" borderId="19" xfId="0" applyNumberFormat="1" applyFill="1" applyBorder="1" applyAlignment="1">
      <alignment horizontal="left" vertical="center" wrapText="1"/>
    </xf>
    <xf numFmtId="3" fontId="0" fillId="3" borderId="20" xfId="0" applyNumberFormat="1" applyFill="1" applyBorder="1" applyAlignment="1">
      <alignment horizontal="left" vertical="center" wrapText="1"/>
    </xf>
    <xf numFmtId="3" fontId="3" fillId="2" borderId="22" xfId="0" applyNumberFormat="1" applyFont="1" applyFill="1" applyBorder="1" applyAlignment="1">
      <alignment horizontal="center" vertical="center" wrapText="1"/>
    </xf>
    <xf numFmtId="164" fontId="2" fillId="2" borderId="19" xfId="0" applyNumberFormat="1" applyFont="1" applyFill="1" applyBorder="1" applyAlignment="1">
      <alignment horizontal="center" vertical="center" wrapText="1"/>
    </xf>
    <xf numFmtId="164" fontId="2" fillId="2" borderId="28" xfId="0" applyNumberFormat="1" applyFont="1" applyFill="1" applyBorder="1" applyAlignment="1">
      <alignment horizontal="center" vertical="center" wrapText="1"/>
    </xf>
    <xf numFmtId="164" fontId="2" fillId="2" borderId="20" xfId="0" applyNumberFormat="1" applyFont="1" applyFill="1" applyBorder="1" applyAlignment="1">
      <alignment horizontal="center" vertical="center" wrapText="1"/>
    </xf>
    <xf numFmtId="3" fontId="0" fillId="0" borderId="0" xfId="0" applyNumberFormat="1" applyAlignment="1">
      <alignment horizontal="center" vertical="center"/>
    </xf>
    <xf numFmtId="3" fontId="0" fillId="0" borderId="31" xfId="0" applyNumberFormat="1" applyBorder="1" applyAlignment="1">
      <alignment horizontal="center" vertical="center"/>
    </xf>
    <xf numFmtId="3" fontId="0" fillId="3" borderId="46" xfId="0" applyNumberFormat="1" applyFill="1" applyBorder="1" applyAlignment="1" applyProtection="1">
      <alignment horizontal="left" vertical="center" wrapText="1"/>
      <protection locked="0"/>
    </xf>
    <xf numFmtId="3" fontId="0" fillId="3" borderId="47" xfId="0" applyNumberFormat="1" applyFill="1" applyBorder="1" applyAlignment="1" applyProtection="1">
      <alignment horizontal="left" vertical="center" wrapText="1"/>
      <protection locked="0"/>
    </xf>
    <xf numFmtId="3" fontId="0" fillId="3" borderId="48" xfId="0" applyNumberFormat="1" applyFill="1" applyBorder="1" applyAlignment="1" applyProtection="1">
      <alignment horizontal="left" vertical="center" wrapText="1"/>
      <protection locked="0"/>
    </xf>
    <xf numFmtId="3" fontId="0" fillId="3" borderId="49" xfId="0" applyNumberFormat="1" applyFill="1" applyBorder="1" applyAlignment="1" applyProtection="1">
      <alignment horizontal="left" vertical="center" wrapText="1"/>
      <protection locked="0"/>
    </xf>
    <xf numFmtId="3" fontId="0" fillId="3" borderId="50" xfId="0" applyNumberFormat="1" applyFill="1" applyBorder="1" applyAlignment="1" applyProtection="1">
      <alignment horizontal="left" vertical="center" wrapText="1"/>
      <protection locked="0"/>
    </xf>
    <xf numFmtId="3" fontId="0" fillId="3" borderId="51" xfId="0" applyNumberFormat="1" applyFill="1" applyBorder="1" applyAlignment="1" applyProtection="1">
      <alignment horizontal="left" vertical="center" wrapText="1"/>
      <protection locked="0"/>
    </xf>
    <xf numFmtId="3" fontId="8" fillId="3" borderId="52" xfId="0" applyNumberFormat="1" applyFont="1" applyFill="1" applyBorder="1" applyAlignment="1" applyProtection="1">
      <alignment horizontal="left" vertical="center" wrapText="1"/>
      <protection locked="0"/>
    </xf>
    <xf numFmtId="3" fontId="8" fillId="3" borderId="53" xfId="0" applyNumberFormat="1" applyFont="1" applyFill="1" applyBorder="1" applyAlignment="1" applyProtection="1">
      <alignment horizontal="left" vertical="center" wrapText="1"/>
      <protection locked="0"/>
    </xf>
    <xf numFmtId="3" fontId="8" fillId="3" borderId="54" xfId="0" applyNumberFormat="1" applyFont="1" applyFill="1" applyBorder="1" applyAlignment="1" applyProtection="1">
      <alignment horizontal="left" vertical="center" wrapText="1"/>
      <protection locked="0"/>
    </xf>
    <xf numFmtId="164" fontId="3" fillId="0" borderId="0" xfId="0" applyNumberFormat="1" applyFont="1" applyAlignment="1">
      <alignment horizontal="center" vertical="center" wrapText="1"/>
    </xf>
    <xf numFmtId="3" fontId="0" fillId="6" borderId="46" xfId="0" applyNumberFormat="1" applyFill="1" applyBorder="1" applyAlignment="1" applyProtection="1">
      <alignment horizontal="left" vertical="center" wrapText="1"/>
      <protection locked="0"/>
    </xf>
    <xf numFmtId="3" fontId="0" fillId="6" borderId="48" xfId="0" applyNumberFormat="1" applyFill="1" applyBorder="1" applyAlignment="1" applyProtection="1">
      <alignment horizontal="left" vertical="center" wrapText="1"/>
      <protection locked="0"/>
    </xf>
    <xf numFmtId="164" fontId="3" fillId="0" borderId="2" xfId="0" applyNumberFormat="1" applyFont="1" applyBorder="1" applyAlignment="1">
      <alignment horizontal="center" vertical="center" wrapText="1"/>
    </xf>
    <xf numFmtId="164" fontId="2" fillId="2" borderId="4" xfId="0" applyNumberFormat="1" applyFont="1" applyFill="1" applyBorder="1" applyAlignment="1">
      <alignment horizontal="center" vertical="center" wrapText="1"/>
    </xf>
    <xf numFmtId="164" fontId="2" fillId="2" borderId="5" xfId="0" applyNumberFormat="1" applyFont="1" applyFill="1" applyBorder="1" applyAlignment="1">
      <alignment horizontal="center" vertical="center" wrapText="1"/>
    </xf>
    <xf numFmtId="164" fontId="2" fillId="2" borderId="6" xfId="0" applyNumberFormat="1" applyFont="1" applyFill="1" applyBorder="1" applyAlignment="1">
      <alignment horizontal="center" vertical="center" wrapText="1"/>
    </xf>
    <xf numFmtId="164" fontId="2" fillId="0" borderId="10" xfId="0" applyNumberFormat="1" applyFont="1" applyBorder="1" applyAlignment="1">
      <alignment horizontal="left" vertical="center" wrapText="1"/>
    </xf>
    <xf numFmtId="164" fontId="2" fillId="0" borderId="0" xfId="0" applyNumberFormat="1" applyFont="1" applyAlignment="1">
      <alignment horizontal="left" vertical="center" wrapText="1"/>
    </xf>
    <xf numFmtId="164" fontId="2" fillId="0" borderId="11" xfId="0" applyNumberFormat="1" applyFont="1" applyBorder="1" applyAlignment="1">
      <alignment horizontal="left" vertical="center" wrapText="1"/>
    </xf>
    <xf numFmtId="164" fontId="2" fillId="4" borderId="4" xfId="0" applyNumberFormat="1" applyFont="1" applyFill="1" applyBorder="1" applyAlignment="1">
      <alignment horizontal="left" vertical="center" wrapText="1"/>
    </xf>
    <xf numFmtId="164" fontId="2" fillId="4" borderId="5" xfId="0" applyNumberFormat="1" applyFont="1" applyFill="1" applyBorder="1" applyAlignment="1">
      <alignment horizontal="left" vertical="center" wrapText="1"/>
    </xf>
    <xf numFmtId="164" fontId="2" fillId="4" borderId="6" xfId="0" applyNumberFormat="1" applyFont="1" applyFill="1" applyBorder="1" applyAlignment="1">
      <alignment horizontal="left" vertical="center" wrapText="1"/>
    </xf>
    <xf numFmtId="164" fontId="0" fillId="2" borderId="10" xfId="0" applyNumberFormat="1" applyFill="1" applyBorder="1" applyAlignment="1">
      <alignment horizontal="center" vertical="center" wrapText="1"/>
    </xf>
    <xf numFmtId="164" fontId="0" fillId="2" borderId="0" xfId="0" applyNumberFormat="1" applyFill="1" applyAlignment="1">
      <alignment horizontal="center" vertical="center" wrapText="1"/>
    </xf>
    <xf numFmtId="164" fontId="0" fillId="2" borderId="11" xfId="0" applyNumberFormat="1" applyFill="1" applyBorder="1" applyAlignment="1">
      <alignment horizontal="center" vertical="center" wrapText="1"/>
    </xf>
  </cellXfs>
  <cellStyles count="3">
    <cellStyle name="Hyperlink" xfId="2" builtinId="8"/>
    <cellStyle name="Normal" xfId="0" builtinId="0"/>
    <cellStyle name="Percent" xfId="1" builtinId="5"/>
  </cellStyles>
  <dxfs count="12">
    <dxf>
      <fill>
        <patternFill>
          <bgColor theme="0" tint="-0.24994659260841701"/>
        </patternFill>
      </fill>
      <border>
        <vertical/>
        <horizontal/>
      </border>
    </dxf>
    <dxf>
      <border>
        <left style="thin">
          <color auto="1"/>
        </left>
        <right style="thin">
          <color auto="1"/>
        </right>
        <top style="thin">
          <color auto="1"/>
        </top>
        <bottom style="thin">
          <color auto="1"/>
        </bottom>
        <vertical/>
        <horizontal/>
      </border>
    </dxf>
    <dxf>
      <border>
        <left style="thin">
          <color auto="1"/>
        </left>
        <top style="thin">
          <color auto="1"/>
        </top>
        <bottom style="thin">
          <color auto="1"/>
        </bottom>
        <vertical/>
        <horizontal/>
      </border>
    </dxf>
    <dxf>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top/>
        <vertical/>
        <horizontal/>
      </border>
    </dxf>
    <dxf>
      <font>
        <color theme="0" tint="-0.24994659260841701"/>
      </font>
      <fill>
        <patternFill>
          <bgColor theme="0" tint="-0.24994659260841701"/>
        </patternFill>
      </fill>
      <border>
        <vertical/>
        <horizontal/>
      </border>
    </dxf>
    <dxf>
      <border>
        <right style="thin">
          <color auto="1"/>
        </right>
        <top style="thin">
          <color auto="1"/>
        </top>
        <bottom style="thin">
          <color auto="1"/>
        </bottom>
        <vertical/>
        <horizontal/>
      </border>
    </dxf>
    <dxf>
      <border>
        <left/>
        <right/>
        <top/>
        <bottom/>
        <vertical/>
        <horizontal/>
      </border>
    </dxf>
    <dxf>
      <fill>
        <patternFill>
          <bgColor rgb="FFFFC000"/>
        </patternFill>
      </fill>
    </dxf>
    <dxf>
      <numFmt numFmtId="2"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549C263-3638-4471-8E79-79474F479424}" name="Table1" displayName="Table1" ref="B3:D83" totalsRowShown="0">
  <autoFilter ref="B3:D83" xr:uid="{7549C263-3638-4471-8E79-79474F479424}"/>
  <sortState xmlns:xlrd2="http://schemas.microsoft.com/office/spreadsheetml/2017/richdata2" ref="B4:D83">
    <sortCondition ref="C3:C83"/>
  </sortState>
  <tableColumns count="3">
    <tableColumn id="1" xr3:uid="{CA0F8C12-DBDA-4FDC-A2CA-7824E2B1B2CA}" name="Range Name"/>
    <tableColumn id="2" xr3:uid="{128C6B6E-7744-42CB-AF5F-8E9E7B6FAA35}" name="Location"/>
    <tableColumn id="3" xr3:uid="{10990E6A-5F2F-441C-875E-C44D6CB5EAC7}" name="Value" dataDxfId="11">
      <calculatedColumnFormula array="1">INDIRECT(B4)</calculatedColumnFormula>
    </tableColumn>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8840ABF-9026-45FE-9EC7-2EDB32601FFD}" name="Table2" displayName="Table2" ref="B2:D162" totalsRowShown="0">
  <autoFilter ref="B2:D162" xr:uid="{D8840ABF-9026-45FE-9EC7-2EDB32601FFD}"/>
  <tableColumns count="3">
    <tableColumn id="1" xr3:uid="{FD1FD4FD-347D-4E5F-BB15-1069A22C1159}" name="Field"/>
    <tableColumn id="2" xr3:uid="{B4134909-A2D8-4883-8FDC-A83ECE5FE656}" name="Value"/>
    <tableColumn id="3" xr3:uid="{82AB4791-204F-41EE-A713-B388E0EC31F1}" name="Data_type"/>
  </tableColumns>
  <tableStyleInfo name="TableStyleMedium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ofm.wa.gov/budget/contacts/default.as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ebgis.dor.wa.gov/taxratelookup/SalesTax.asp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2C270-FB8E-4DB3-8038-D643AE4064CB}">
  <sheetPr codeName="Sheet2">
    <pageSetUpPr fitToPage="1"/>
  </sheetPr>
  <dimension ref="A1:G46"/>
  <sheetViews>
    <sheetView showGridLines="0" workbookViewId="0">
      <selection activeCell="K6" sqref="K6"/>
    </sheetView>
  </sheetViews>
  <sheetFormatPr defaultColWidth="9.109375" defaultRowHeight="14.4" x14ac:dyDescent="0.3"/>
  <cols>
    <col min="1" max="1" width="1.44140625" style="3" customWidth="1"/>
    <col min="2" max="2" width="30" style="52" customWidth="1"/>
    <col min="3" max="3" width="19.6640625" style="3" bestFit="1" customWidth="1"/>
    <col min="4" max="4" width="2.88671875" style="3" customWidth="1"/>
    <col min="5" max="5" width="28" style="52" customWidth="1"/>
    <col min="6" max="6" width="26" style="3" bestFit="1" customWidth="1"/>
    <col min="7" max="7" width="1.44140625" style="3" customWidth="1"/>
    <col min="8" max="10" width="9.109375" style="3"/>
    <col min="11" max="11" width="15.44140625" style="3" customWidth="1"/>
    <col min="12" max="12" width="64.88671875" style="3" customWidth="1"/>
    <col min="13" max="16384" width="9.109375" style="3"/>
  </cols>
  <sheetData>
    <row r="1" spans="1:7" s="41" customFormat="1" ht="21.6" thickTop="1" x14ac:dyDescent="0.3">
      <c r="A1" s="39"/>
      <c r="B1" s="230" t="s">
        <v>239</v>
      </c>
      <c r="C1" s="231"/>
      <c r="D1" s="231"/>
      <c r="E1" s="231"/>
      <c r="F1" s="231"/>
      <c r="G1" s="40"/>
    </row>
    <row r="2" spans="1:7" s="41" customFormat="1" ht="9.75" customHeight="1" x14ac:dyDescent="0.3">
      <c r="A2" s="45"/>
      <c r="B2" s="232" t="s">
        <v>0</v>
      </c>
      <c r="C2" s="232"/>
      <c r="D2" s="232"/>
      <c r="E2" s="232"/>
      <c r="F2" s="232"/>
      <c r="G2" s="46"/>
    </row>
    <row r="3" spans="1:7" s="44" customFormat="1" ht="21.6" thickBot="1" x14ac:dyDescent="0.35">
      <c r="A3" s="103"/>
      <c r="B3" s="233" t="s">
        <v>1</v>
      </c>
      <c r="C3" s="233"/>
      <c r="D3" s="233"/>
      <c r="E3" s="233"/>
      <c r="F3" s="233"/>
      <c r="G3" s="104"/>
    </row>
    <row r="4" spans="1:7" ht="15" thickTop="1" x14ac:dyDescent="0.3"/>
    <row r="5" spans="1:7" ht="15.6" x14ac:dyDescent="0.3">
      <c r="A5" s="105"/>
      <c r="B5" s="234" t="s">
        <v>2</v>
      </c>
      <c r="C5" s="235"/>
      <c r="D5" s="235"/>
      <c r="E5" s="235"/>
      <c r="F5" s="236"/>
    </row>
    <row r="6" spans="1:7" ht="15" customHeight="1" x14ac:dyDescent="0.3">
      <c r="B6" s="237" t="s">
        <v>607</v>
      </c>
      <c r="C6" s="238"/>
      <c r="D6" s="238"/>
      <c r="E6" s="238"/>
      <c r="F6" s="239"/>
    </row>
    <row r="7" spans="1:7" x14ac:dyDescent="0.3">
      <c r="B7" s="237"/>
      <c r="C7" s="238"/>
      <c r="D7" s="238"/>
      <c r="E7" s="238"/>
      <c r="F7" s="239"/>
    </row>
    <row r="8" spans="1:7" ht="6.6" customHeight="1" x14ac:dyDescent="0.3">
      <c r="B8" s="237"/>
      <c r="C8" s="238"/>
      <c r="D8" s="238"/>
      <c r="E8" s="238"/>
      <c r="F8" s="239"/>
    </row>
    <row r="9" spans="1:7" x14ac:dyDescent="0.3">
      <c r="B9" s="240" t="s">
        <v>3</v>
      </c>
      <c r="C9" s="241"/>
      <c r="D9" s="241"/>
      <c r="E9" s="241"/>
      <c r="F9" s="242"/>
    </row>
    <row r="10" spans="1:7" x14ac:dyDescent="0.3">
      <c r="B10" s="240"/>
      <c r="C10" s="241"/>
      <c r="D10" s="241"/>
      <c r="E10" s="241"/>
      <c r="F10" s="242"/>
    </row>
    <row r="11" spans="1:7" x14ac:dyDescent="0.3">
      <c r="B11" s="240"/>
      <c r="C11" s="241"/>
      <c r="D11" s="241"/>
      <c r="E11" s="241"/>
      <c r="F11" s="242"/>
    </row>
    <row r="12" spans="1:7" x14ac:dyDescent="0.3">
      <c r="B12" s="237" t="s">
        <v>4</v>
      </c>
      <c r="C12" s="238"/>
      <c r="D12" s="238"/>
      <c r="E12" s="238"/>
      <c r="F12" s="239"/>
    </row>
    <row r="13" spans="1:7" ht="15" customHeight="1" x14ac:dyDescent="0.3">
      <c r="B13" s="237" t="s">
        <v>5</v>
      </c>
      <c r="C13" s="238"/>
      <c r="D13" s="238"/>
      <c r="E13" s="238"/>
      <c r="F13" s="239"/>
    </row>
    <row r="14" spans="1:7" x14ac:dyDescent="0.3">
      <c r="B14" s="237"/>
      <c r="C14" s="238"/>
      <c r="D14" s="238"/>
      <c r="E14" s="238"/>
      <c r="F14" s="239"/>
    </row>
    <row r="15" spans="1:7" ht="15" customHeight="1" x14ac:dyDescent="0.3">
      <c r="B15" s="237" t="s">
        <v>6</v>
      </c>
      <c r="C15" s="238"/>
      <c r="D15" s="238"/>
      <c r="E15" s="238"/>
      <c r="F15" s="239"/>
    </row>
    <row r="16" spans="1:7" x14ac:dyDescent="0.3">
      <c r="B16" s="237"/>
      <c r="C16" s="238"/>
      <c r="D16" s="238"/>
      <c r="E16" s="238"/>
      <c r="F16" s="239"/>
    </row>
    <row r="17" spans="2:6" ht="15" customHeight="1" x14ac:dyDescent="0.3">
      <c r="B17" s="237" t="s">
        <v>7</v>
      </c>
      <c r="C17" s="238"/>
      <c r="D17" s="238"/>
      <c r="E17" s="238"/>
      <c r="F17" s="239"/>
    </row>
    <row r="18" spans="2:6" x14ac:dyDescent="0.3">
      <c r="B18" s="243" t="s">
        <v>8</v>
      </c>
      <c r="C18" s="244"/>
      <c r="D18" s="244"/>
      <c r="E18" s="244"/>
      <c r="F18" s="245"/>
    </row>
    <row r="19" spans="2:6" ht="15" customHeight="1" x14ac:dyDescent="0.3">
      <c r="B19" s="214"/>
      <c r="C19" s="214"/>
      <c r="D19" s="214"/>
      <c r="E19" s="214"/>
      <c r="F19" s="214"/>
    </row>
    <row r="20" spans="2:6" ht="15.6" x14ac:dyDescent="0.3">
      <c r="B20" s="227" t="s">
        <v>9</v>
      </c>
      <c r="C20" s="228"/>
      <c r="D20" s="228"/>
      <c r="E20" s="228"/>
      <c r="F20" s="229"/>
    </row>
    <row r="21" spans="2:6" x14ac:dyDescent="0.3">
      <c r="B21" s="237" t="s">
        <v>10</v>
      </c>
      <c r="C21" s="238"/>
      <c r="D21" s="238"/>
      <c r="E21" s="238"/>
      <c r="F21" s="239"/>
    </row>
    <row r="22" spans="2:6" ht="15" customHeight="1" x14ac:dyDescent="0.3">
      <c r="B22" s="237" t="s">
        <v>11</v>
      </c>
      <c r="C22" s="238"/>
      <c r="D22" s="238"/>
      <c r="E22" s="238"/>
      <c r="F22" s="239"/>
    </row>
    <row r="23" spans="2:6" ht="15" customHeight="1" x14ac:dyDescent="0.3">
      <c r="B23" s="237" t="s">
        <v>12</v>
      </c>
      <c r="C23" s="238"/>
      <c r="D23" s="238"/>
      <c r="E23" s="238"/>
      <c r="F23" s="239"/>
    </row>
    <row r="24" spans="2:6" ht="15" customHeight="1" x14ac:dyDescent="0.3">
      <c r="B24" s="237" t="s">
        <v>13</v>
      </c>
      <c r="C24" s="238"/>
      <c r="D24" s="238"/>
      <c r="E24" s="238"/>
      <c r="F24" s="239"/>
    </row>
    <row r="25" spans="2:6" x14ac:dyDescent="0.3">
      <c r="B25" s="237"/>
      <c r="C25" s="238"/>
      <c r="D25" s="238"/>
      <c r="E25" s="238"/>
      <c r="F25" s="239"/>
    </row>
    <row r="26" spans="2:6" x14ac:dyDescent="0.3">
      <c r="B26" s="237" t="s">
        <v>14</v>
      </c>
      <c r="C26" s="238"/>
      <c r="D26" s="238"/>
      <c r="E26" s="238"/>
      <c r="F26" s="239"/>
    </row>
    <row r="27" spans="2:6" x14ac:dyDescent="0.3">
      <c r="B27" s="237"/>
      <c r="C27" s="238"/>
      <c r="D27" s="238"/>
      <c r="E27" s="238"/>
      <c r="F27" s="239"/>
    </row>
    <row r="28" spans="2:6" x14ac:dyDescent="0.3">
      <c r="B28" s="246"/>
      <c r="C28" s="247"/>
      <c r="D28" s="247"/>
      <c r="E28" s="247"/>
      <c r="F28" s="248"/>
    </row>
    <row r="30" spans="2:6" ht="15.6" x14ac:dyDescent="0.3">
      <c r="B30" s="227" t="s">
        <v>15</v>
      </c>
      <c r="C30" s="228"/>
      <c r="D30" s="228"/>
      <c r="E30" s="228"/>
      <c r="F30" s="229"/>
    </row>
    <row r="31" spans="2:6" x14ac:dyDescent="0.3">
      <c r="B31" s="237" t="s">
        <v>16</v>
      </c>
      <c r="C31" s="238"/>
      <c r="D31" s="238"/>
      <c r="E31" s="238"/>
      <c r="F31" s="239"/>
    </row>
    <row r="32" spans="2:6" x14ac:dyDescent="0.3">
      <c r="B32" s="237" t="s">
        <v>17</v>
      </c>
      <c r="C32" s="238"/>
      <c r="D32" s="238"/>
      <c r="E32" s="238"/>
      <c r="F32" s="239"/>
    </row>
    <row r="33" spans="2:6" x14ac:dyDescent="0.3">
      <c r="B33" s="237" t="s">
        <v>18</v>
      </c>
      <c r="C33" s="238"/>
      <c r="D33" s="238"/>
      <c r="E33" s="238"/>
      <c r="F33" s="239"/>
    </row>
    <row r="34" spans="2:6" x14ac:dyDescent="0.3">
      <c r="B34" s="249" t="s">
        <v>19</v>
      </c>
      <c r="C34" s="250"/>
      <c r="D34" s="250"/>
      <c r="E34" s="250"/>
      <c r="F34" s="251"/>
    </row>
    <row r="35" spans="2:6" x14ac:dyDescent="0.3">
      <c r="B35" s="237" t="s">
        <v>20</v>
      </c>
      <c r="C35" s="238"/>
      <c r="D35" s="238"/>
      <c r="E35" s="238"/>
      <c r="F35" s="239"/>
    </row>
    <row r="36" spans="2:6" x14ac:dyDescent="0.3">
      <c r="B36" s="246"/>
      <c r="C36" s="247"/>
      <c r="D36" s="247"/>
      <c r="E36" s="247"/>
      <c r="F36" s="248"/>
    </row>
    <row r="37" spans="2:6" x14ac:dyDescent="0.3">
      <c r="B37" s="214"/>
      <c r="C37" s="214"/>
      <c r="D37" s="214"/>
      <c r="E37" s="214"/>
      <c r="F37" s="214"/>
    </row>
    <row r="38" spans="2:6" x14ac:dyDescent="0.3">
      <c r="B38" s="238"/>
      <c r="C38" s="238"/>
      <c r="D38" s="238"/>
      <c r="E38" s="238"/>
      <c r="F38" s="238"/>
    </row>
    <row r="39" spans="2:6" x14ac:dyDescent="0.3">
      <c r="B39" s="238"/>
      <c r="C39" s="238"/>
      <c r="D39" s="238"/>
      <c r="E39" s="238"/>
      <c r="F39" s="238"/>
    </row>
    <row r="40" spans="2:6" x14ac:dyDescent="0.3">
      <c r="B40" s="238"/>
      <c r="C40" s="238"/>
      <c r="D40" s="238"/>
      <c r="E40" s="238"/>
      <c r="F40" s="238"/>
    </row>
    <row r="41" spans="2:6" x14ac:dyDescent="0.3">
      <c r="B41" s="238"/>
      <c r="C41" s="238"/>
      <c r="D41" s="238"/>
      <c r="E41" s="238"/>
      <c r="F41" s="238"/>
    </row>
    <row r="42" spans="2:6" x14ac:dyDescent="0.3">
      <c r="B42" s="238"/>
      <c r="C42" s="238"/>
      <c r="D42" s="238"/>
      <c r="E42" s="238"/>
      <c r="F42" s="238"/>
    </row>
    <row r="43" spans="2:6" x14ac:dyDescent="0.3">
      <c r="B43" s="238"/>
      <c r="C43" s="238"/>
      <c r="D43" s="238"/>
      <c r="E43" s="238"/>
      <c r="F43" s="238"/>
    </row>
    <row r="44" spans="2:6" x14ac:dyDescent="0.3">
      <c r="B44" s="238"/>
      <c r="C44" s="238"/>
      <c r="D44" s="238"/>
      <c r="E44" s="238"/>
      <c r="F44" s="238"/>
    </row>
    <row r="45" spans="2:6" x14ac:dyDescent="0.3">
      <c r="B45" s="238"/>
      <c r="C45" s="238"/>
      <c r="D45" s="238"/>
      <c r="E45" s="238"/>
      <c r="F45" s="238"/>
    </row>
    <row r="46" spans="2:6" x14ac:dyDescent="0.3">
      <c r="B46" s="238"/>
      <c r="C46" s="238"/>
      <c r="D46" s="238"/>
      <c r="E46" s="238"/>
      <c r="F46" s="238"/>
    </row>
  </sheetData>
  <sheetProtection algorithmName="SHA-512" hashValue="dlk5o744IsYSdRkh9joBmuzYmEICz+Qn+c7prbuOymLu+xrFMd3Fl5N/Nm7vTJfPCYSgjPXZNzJj5Qz4qpDkTQ==" saltValue="dGOqobw45XjxDidhSRsHEw==" spinCount="100000" sheet="1" objects="1" scenarios="1"/>
  <mergeCells count="32">
    <mergeCell ref="B45:F45"/>
    <mergeCell ref="B46:F46"/>
    <mergeCell ref="B39:F39"/>
    <mergeCell ref="B40:F40"/>
    <mergeCell ref="B41:F41"/>
    <mergeCell ref="B42:F42"/>
    <mergeCell ref="B43:F43"/>
    <mergeCell ref="B44:F44"/>
    <mergeCell ref="B38:F38"/>
    <mergeCell ref="B21:F21"/>
    <mergeCell ref="B22:F22"/>
    <mergeCell ref="B23:F23"/>
    <mergeCell ref="B24:F25"/>
    <mergeCell ref="B26:F28"/>
    <mergeCell ref="B30:F30"/>
    <mergeCell ref="B31:F31"/>
    <mergeCell ref="B32:F32"/>
    <mergeCell ref="B33:F33"/>
    <mergeCell ref="B34:F34"/>
    <mergeCell ref="B35:F36"/>
    <mergeCell ref="B20:F20"/>
    <mergeCell ref="B1:F1"/>
    <mergeCell ref="B2:F2"/>
    <mergeCell ref="B3:F3"/>
    <mergeCell ref="B5:F5"/>
    <mergeCell ref="B6:F8"/>
    <mergeCell ref="B9:F11"/>
    <mergeCell ref="B12:F12"/>
    <mergeCell ref="B13:F14"/>
    <mergeCell ref="B15:F16"/>
    <mergeCell ref="B17:F17"/>
    <mergeCell ref="B18:F18"/>
  </mergeCells>
  <hyperlinks>
    <hyperlink ref="B18" r:id="rId1" xr:uid="{B1148CB1-EFC8-4436-8C64-D13CCFAFD616}"/>
  </hyperlinks>
  <pageMargins left="0.25" right="0.25" top="0.75" bottom="0.75" header="0.3" footer="0.3"/>
  <pageSetup scale="93" fitToHeight="0"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D363A-FE12-4B6A-A551-DE8ADA0671C3}">
  <sheetPr codeName="Sheet11">
    <pageSetUpPr fitToPage="1"/>
  </sheetPr>
  <dimension ref="A1:H17"/>
  <sheetViews>
    <sheetView showGridLines="0" workbookViewId="0">
      <selection activeCell="C6" sqref="C6"/>
    </sheetView>
  </sheetViews>
  <sheetFormatPr defaultColWidth="9.109375" defaultRowHeight="14.4" x14ac:dyDescent="0.3"/>
  <cols>
    <col min="1" max="1" width="1.44140625" customWidth="1"/>
    <col min="2" max="2" width="31.44140625" customWidth="1"/>
    <col min="3" max="3" width="17.109375" customWidth="1"/>
    <col min="4" max="4" width="2.88671875" customWidth="1"/>
    <col min="5" max="5" width="11.44140625" style="37" customWidth="1"/>
    <col min="6" max="6" width="17.109375" customWidth="1"/>
    <col min="7" max="7" width="24.33203125" style="38" customWidth="1"/>
    <col min="8" max="8" width="1.44140625" customWidth="1"/>
  </cols>
  <sheetData>
    <row r="1" spans="1:8" s="3" customFormat="1" ht="22.2" thickTop="1" thickBot="1" x14ac:dyDescent="0.35">
      <c r="A1" s="1"/>
      <c r="B1" s="295" t="s">
        <v>132</v>
      </c>
      <c r="C1" s="295"/>
      <c r="D1" s="295"/>
      <c r="E1" s="295"/>
      <c r="F1" s="295"/>
      <c r="G1" s="295"/>
      <c r="H1" s="2"/>
    </row>
    <row r="2" spans="1:8" s="3" customFormat="1" ht="15.6" thickTop="1" thickBot="1" x14ac:dyDescent="0.35">
      <c r="B2" s="4"/>
      <c r="C2" s="4"/>
      <c r="D2" s="4"/>
      <c r="E2" s="5"/>
      <c r="F2" s="4"/>
      <c r="G2" s="4"/>
    </row>
    <row r="3" spans="1:8" s="3" customFormat="1" x14ac:dyDescent="0.3">
      <c r="B3" s="296" t="s">
        <v>229</v>
      </c>
      <c r="C3" s="297"/>
      <c r="D3" s="297"/>
      <c r="E3" s="297"/>
      <c r="F3" s="297"/>
      <c r="G3" s="298"/>
    </row>
    <row r="4" spans="1:8" s="6" customFormat="1" ht="28.8" x14ac:dyDescent="0.3">
      <c r="B4" s="7" t="s">
        <v>134</v>
      </c>
      <c r="C4" s="8" t="s">
        <v>135</v>
      </c>
      <c r="D4" s="8"/>
      <c r="E4" s="9" t="s">
        <v>136</v>
      </c>
      <c r="F4" s="8" t="s">
        <v>137</v>
      </c>
      <c r="G4" s="10" t="s">
        <v>138</v>
      </c>
    </row>
    <row r="5" spans="1:8" s="6" customFormat="1" x14ac:dyDescent="0.3">
      <c r="B5" s="299" t="s">
        <v>230</v>
      </c>
      <c r="C5" s="300"/>
      <c r="D5" s="300"/>
      <c r="E5" s="300"/>
      <c r="F5" s="300"/>
      <c r="G5" s="301"/>
    </row>
    <row r="6" spans="1:8" s="3" customFormat="1" x14ac:dyDescent="0.3">
      <c r="B6" s="11" t="s">
        <v>231</v>
      </c>
      <c r="C6" s="31">
        <f>IFERROR(IF(Summary!C26="DES",0, IF(TotalMinusPM&lt;=1000000, PMMinor*TotalMinusPM, IF(Summary!C19="Yes", (AEFP-PMD-Rem_Ad)*(TotalMinusPM), (AEFP-PMD)*(TotalMinusPM)))), "NA")</f>
        <v>0</v>
      </c>
      <c r="D6" s="13"/>
      <c r="E6" s="14"/>
      <c r="F6" s="15"/>
      <c r="G6" s="16"/>
    </row>
    <row r="7" spans="1:8" s="3" customFormat="1" x14ac:dyDescent="0.3">
      <c r="B7" s="11" t="s">
        <v>232</v>
      </c>
      <c r="C7" s="12"/>
      <c r="D7" s="13"/>
      <c r="E7" s="14"/>
      <c r="F7" s="15"/>
      <c r="G7" s="18"/>
    </row>
    <row r="8" spans="1:8" s="3" customFormat="1" x14ac:dyDescent="0.3">
      <c r="B8" s="17" t="s">
        <v>144</v>
      </c>
      <c r="C8" s="92"/>
      <c r="D8" s="13"/>
      <c r="E8" s="14"/>
      <c r="F8" s="15"/>
      <c r="G8" s="18"/>
    </row>
    <row r="9" spans="1:8" s="3" customFormat="1" x14ac:dyDescent="0.3">
      <c r="B9" s="17" t="s">
        <v>116</v>
      </c>
      <c r="C9" s="92"/>
      <c r="D9" s="13"/>
      <c r="E9" s="14"/>
      <c r="F9" s="15"/>
      <c r="G9" s="18"/>
    </row>
    <row r="10" spans="1:8" s="3" customFormat="1" ht="15" thickBot="1" x14ac:dyDescent="0.35">
      <c r="B10" s="198" t="s">
        <v>233</v>
      </c>
      <c r="C10" s="199">
        <f>SUBTOTAL(9,C8:C9)</f>
        <v>0</v>
      </c>
      <c r="D10" s="13"/>
      <c r="E10" s="14"/>
      <c r="F10" s="20"/>
      <c r="G10" s="36"/>
    </row>
    <row r="11" spans="1:8" s="41" customFormat="1" ht="15" thickBot="1" x14ac:dyDescent="0.35">
      <c r="B11" s="145" t="s">
        <v>234</v>
      </c>
      <c r="C11" s="22">
        <f>SUBTOTAL(9,C6:C10)</f>
        <v>0</v>
      </c>
      <c r="D11" s="146"/>
      <c r="E11" s="147">
        <f ca="1">IF(ESC_MidC&lt;1, 1, ESC_MidC)</f>
        <v>1</v>
      </c>
      <c r="F11" s="25">
        <f ca="1">ROUNDUP(C11*E11, 0)</f>
        <v>0</v>
      </c>
      <c r="G11" s="148"/>
    </row>
    <row r="12" spans="1:8" s="41" customFormat="1" x14ac:dyDescent="0.3">
      <c r="B12" s="96"/>
      <c r="C12" s="87"/>
      <c r="D12" s="87"/>
      <c r="E12" s="99"/>
      <c r="F12" s="96"/>
      <c r="G12" s="86"/>
    </row>
    <row r="13" spans="1:8" ht="15" customHeight="1" x14ac:dyDescent="0.3">
      <c r="B13" s="275" t="s">
        <v>63</v>
      </c>
      <c r="C13" s="276"/>
    </row>
    <row r="16" spans="1:8" x14ac:dyDescent="0.3">
      <c r="C16" s="154"/>
    </row>
    <row r="17" spans="3:3" x14ac:dyDescent="0.3">
      <c r="C17" s="125"/>
    </row>
  </sheetData>
  <sheetProtection algorithmName="SHA-512" hashValue="PpTmckQLDpmH5661bwV2WucvIPcG2wJaNBy3iHn7/6/XfjZgywVndnyrF2FlnjceFuy90BiZ9BeaW8LjGq3BGQ==" saltValue="AvdfarHwAxqR1lsjqhzkWw==" spinCount="100000" sheet="1" insertRows="0"/>
  <mergeCells count="4">
    <mergeCell ref="B1:G1"/>
    <mergeCell ref="B3:G3"/>
    <mergeCell ref="B13:C13"/>
    <mergeCell ref="B5:G5"/>
  </mergeCells>
  <pageMargins left="0.25" right="0.25" top="0.75" bottom="0.75" header="0.3" footer="0.3"/>
  <pageSetup scale="95" fitToHeight="0" orientation="portrait" horizont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8512C-FD8A-4F12-9316-10998D2B1F53}">
  <sheetPr codeName="Sheet12">
    <pageSetUpPr fitToPage="1"/>
  </sheetPr>
  <dimension ref="A1:H12"/>
  <sheetViews>
    <sheetView showGridLines="0" workbookViewId="0"/>
  </sheetViews>
  <sheetFormatPr defaultColWidth="9.109375" defaultRowHeight="14.4" x14ac:dyDescent="0.3"/>
  <cols>
    <col min="1" max="1" width="1.44140625" customWidth="1"/>
    <col min="2" max="2" width="31.44140625" customWidth="1"/>
    <col min="3" max="3" width="17.109375" customWidth="1"/>
    <col min="4" max="4" width="2.88671875" customWidth="1"/>
    <col min="5" max="5" width="11.44140625" style="37" customWidth="1"/>
    <col min="6" max="6" width="17.109375" customWidth="1"/>
    <col min="7" max="7" width="24.33203125" style="38" customWidth="1"/>
    <col min="8" max="8" width="1.44140625" customWidth="1"/>
  </cols>
  <sheetData>
    <row r="1" spans="1:8" s="3" customFormat="1" ht="22.2" thickTop="1" thickBot="1" x14ac:dyDescent="0.35">
      <c r="A1" s="1"/>
      <c r="B1" s="295" t="s">
        <v>132</v>
      </c>
      <c r="C1" s="295"/>
      <c r="D1" s="295"/>
      <c r="E1" s="295"/>
      <c r="F1" s="295"/>
      <c r="G1" s="295"/>
      <c r="H1" s="2"/>
    </row>
    <row r="2" spans="1:8" s="3" customFormat="1" ht="15.6" thickTop="1" thickBot="1" x14ac:dyDescent="0.35">
      <c r="B2" s="4"/>
      <c r="C2" s="4"/>
      <c r="D2" s="4"/>
      <c r="E2" s="5"/>
      <c r="F2" s="4"/>
      <c r="G2" s="4"/>
    </row>
    <row r="3" spans="1:8" s="3" customFormat="1" x14ac:dyDescent="0.3">
      <c r="B3" s="296" t="s">
        <v>104</v>
      </c>
      <c r="C3" s="297"/>
      <c r="D3" s="297"/>
      <c r="E3" s="297"/>
      <c r="F3" s="297"/>
      <c r="G3" s="298"/>
    </row>
    <row r="4" spans="1:8" s="6" customFormat="1" ht="28.8" x14ac:dyDescent="0.3">
      <c r="B4" s="7" t="s">
        <v>134</v>
      </c>
      <c r="C4" s="8" t="s">
        <v>135</v>
      </c>
      <c r="D4" s="8"/>
      <c r="E4" s="9" t="s">
        <v>136</v>
      </c>
      <c r="F4" s="8" t="s">
        <v>137</v>
      </c>
      <c r="G4" s="10" t="s">
        <v>138</v>
      </c>
    </row>
    <row r="5" spans="1:8" s="3" customFormat="1" x14ac:dyDescent="0.3">
      <c r="B5" s="11" t="s">
        <v>235</v>
      </c>
      <c r="C5" s="12"/>
      <c r="D5" s="13"/>
      <c r="E5" s="14"/>
      <c r="F5" s="91"/>
      <c r="G5" s="16"/>
    </row>
    <row r="6" spans="1:8" s="3" customFormat="1" ht="28.8" x14ac:dyDescent="0.3">
      <c r="B6" s="11" t="s">
        <v>236</v>
      </c>
      <c r="C6" s="12"/>
      <c r="D6" s="13"/>
      <c r="E6" s="14"/>
      <c r="F6" s="15"/>
      <c r="G6" s="16"/>
    </row>
    <row r="7" spans="1:8" s="3" customFormat="1" x14ac:dyDescent="0.3">
      <c r="B7" s="11" t="s">
        <v>237</v>
      </c>
      <c r="C7" s="92"/>
      <c r="D7" s="13"/>
      <c r="E7" s="14"/>
      <c r="F7" s="15"/>
      <c r="G7" s="16"/>
    </row>
    <row r="8" spans="1:8" s="3" customFormat="1" x14ac:dyDescent="0.3">
      <c r="B8" s="17" t="s">
        <v>144</v>
      </c>
      <c r="C8" s="92"/>
      <c r="D8" s="13"/>
      <c r="E8" s="14"/>
      <c r="F8" s="15"/>
      <c r="G8" s="18"/>
    </row>
    <row r="9" spans="1:8" s="3" customFormat="1" ht="15" thickBot="1" x14ac:dyDescent="0.35">
      <c r="B9" s="17" t="s">
        <v>116</v>
      </c>
      <c r="C9" s="92"/>
      <c r="D9" s="13"/>
      <c r="E9" s="14"/>
      <c r="F9" s="20"/>
      <c r="G9" s="18"/>
    </row>
    <row r="10" spans="1:8" s="41" customFormat="1" ht="15" thickBot="1" x14ac:dyDescent="0.35">
      <c r="B10" s="33" t="s">
        <v>238</v>
      </c>
      <c r="C10" s="22">
        <f>SUM(C5:C9)</f>
        <v>0</v>
      </c>
      <c r="D10" s="93"/>
      <c r="E10" s="102">
        <f ca="1">IF(ESC_StartC&lt;1, 1, ESC_StartC)</f>
        <v>1</v>
      </c>
      <c r="F10" s="25">
        <f ca="1">ROUNDUP(C10*E10, 0)</f>
        <v>0</v>
      </c>
      <c r="G10" s="95"/>
    </row>
    <row r="11" spans="1:8" s="41" customFormat="1" x14ac:dyDescent="0.3">
      <c r="B11" s="96"/>
      <c r="C11" s="87"/>
      <c r="D11" s="87"/>
      <c r="E11" s="99"/>
      <c r="F11" s="96"/>
      <c r="G11" s="86"/>
    </row>
    <row r="12" spans="1:8" ht="15" customHeight="1" x14ac:dyDescent="0.3">
      <c r="B12" s="275" t="s">
        <v>63</v>
      </c>
      <c r="C12" s="276"/>
    </row>
  </sheetData>
  <sheetProtection algorithmName="SHA-512" hashValue="0c9u1LUt9o5bsHNP9RB0O2AlIHmNVTq3b+49/W5jK2GspqFsTZyOvlzjHYRwT1N+THy1Y6INblx+3BzzFlTAkQ==" saltValue="8i2d2IrrLyjiAYysKhXAiw==" spinCount="100000" sheet="1" insertRows="0"/>
  <mergeCells count="3">
    <mergeCell ref="B1:G1"/>
    <mergeCell ref="B3:G3"/>
    <mergeCell ref="B12:C12"/>
  </mergeCells>
  <pageMargins left="0.25" right="0.25" top="0.75" bottom="0.75" header="0.3" footer="0.3"/>
  <pageSetup scale="95"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22DB8-8E3F-4FB4-AE9C-BEA69640E6A7}">
  <sheetPr codeName="Sheet15">
    <pageSetUpPr fitToPage="1"/>
  </sheetPr>
  <dimension ref="A1:G37"/>
  <sheetViews>
    <sheetView showGridLines="0" workbookViewId="0">
      <selection activeCell="B1" sqref="B1:F1"/>
    </sheetView>
  </sheetViews>
  <sheetFormatPr defaultColWidth="9.109375" defaultRowHeight="14.4" x14ac:dyDescent="0.3"/>
  <cols>
    <col min="1" max="1" width="1.44140625" style="3" customWidth="1"/>
    <col min="2" max="2" width="30" style="52" customWidth="1"/>
    <col min="3" max="3" width="19.6640625" style="3" bestFit="1" customWidth="1"/>
    <col min="4" max="4" width="2.88671875" style="3" customWidth="1"/>
    <col min="5" max="5" width="28" style="52" customWidth="1"/>
    <col min="6" max="6" width="26" style="3" bestFit="1" customWidth="1"/>
    <col min="7" max="7" width="1.44140625" style="3" customWidth="1"/>
    <col min="8" max="16384" width="9.109375" style="3"/>
  </cols>
  <sheetData>
    <row r="1" spans="1:7" s="41" customFormat="1" ht="21.6" thickTop="1" x14ac:dyDescent="0.3">
      <c r="A1" s="39"/>
      <c r="B1" s="230" t="s">
        <v>239</v>
      </c>
      <c r="C1" s="231"/>
      <c r="D1" s="231"/>
      <c r="E1" s="231"/>
      <c r="F1" s="231"/>
      <c r="G1" s="40"/>
    </row>
    <row r="2" spans="1:7" s="44" customFormat="1" ht="21.6" thickBot="1" x14ac:dyDescent="0.35">
      <c r="A2" s="103"/>
      <c r="B2" s="233" t="s">
        <v>240</v>
      </c>
      <c r="C2" s="233"/>
      <c r="D2" s="233"/>
      <c r="E2" s="233"/>
      <c r="F2" s="233"/>
      <c r="G2" s="104"/>
    </row>
    <row r="3" spans="1:7" ht="15" thickTop="1" x14ac:dyDescent="0.3"/>
    <row r="4" spans="1:7" ht="15.6" x14ac:dyDescent="0.3">
      <c r="A4" s="105"/>
      <c r="B4" s="234" t="s">
        <v>241</v>
      </c>
      <c r="C4" s="235"/>
      <c r="D4" s="235"/>
      <c r="E4" s="235"/>
      <c r="F4" s="236"/>
    </row>
    <row r="5" spans="1:7" ht="15" customHeight="1" x14ac:dyDescent="0.3">
      <c r="B5" s="283"/>
      <c r="C5" s="284"/>
      <c r="D5" s="284"/>
      <c r="E5" s="284"/>
      <c r="F5" s="285"/>
    </row>
    <row r="6" spans="1:7" x14ac:dyDescent="0.3">
      <c r="B6" s="286"/>
      <c r="C6" s="287"/>
      <c r="D6" s="287"/>
      <c r="E6" s="287"/>
      <c r="F6" s="288"/>
    </row>
    <row r="7" spans="1:7" x14ac:dyDescent="0.3">
      <c r="B7" s="289" t="s">
        <v>116</v>
      </c>
      <c r="C7" s="290"/>
      <c r="D7" s="290"/>
      <c r="E7" s="290"/>
      <c r="F7" s="291"/>
    </row>
    <row r="9" spans="1:7" ht="15.6" x14ac:dyDescent="0.3">
      <c r="A9" s="105"/>
      <c r="B9" s="234" t="s">
        <v>242</v>
      </c>
      <c r="C9" s="235"/>
      <c r="D9" s="235"/>
      <c r="E9" s="235"/>
      <c r="F9" s="236"/>
    </row>
    <row r="10" spans="1:7" ht="15" customHeight="1" x14ac:dyDescent="0.3">
      <c r="B10" s="283"/>
      <c r="C10" s="284"/>
      <c r="D10" s="284"/>
      <c r="E10" s="284"/>
      <c r="F10" s="285"/>
    </row>
    <row r="11" spans="1:7" x14ac:dyDescent="0.3">
      <c r="B11" s="286"/>
      <c r="C11" s="287"/>
      <c r="D11" s="287"/>
      <c r="E11" s="287"/>
      <c r="F11" s="288"/>
    </row>
    <row r="12" spans="1:7" x14ac:dyDescent="0.3">
      <c r="B12" s="289" t="s">
        <v>116</v>
      </c>
      <c r="C12" s="290"/>
      <c r="D12" s="290"/>
      <c r="E12" s="290"/>
      <c r="F12" s="291"/>
    </row>
    <row r="14" spans="1:7" ht="15.6" x14ac:dyDescent="0.3">
      <c r="A14" s="105"/>
      <c r="B14" s="234" t="s">
        <v>243</v>
      </c>
      <c r="C14" s="235"/>
      <c r="D14" s="235"/>
      <c r="E14" s="235"/>
      <c r="F14" s="236"/>
    </row>
    <row r="15" spans="1:7" ht="15" customHeight="1" x14ac:dyDescent="0.3">
      <c r="B15" s="283"/>
      <c r="C15" s="284"/>
      <c r="D15" s="284"/>
      <c r="E15" s="284"/>
      <c r="F15" s="285"/>
    </row>
    <row r="16" spans="1:7" x14ac:dyDescent="0.3">
      <c r="B16" s="286"/>
      <c r="C16" s="287"/>
      <c r="D16" s="287"/>
      <c r="E16" s="287"/>
      <c r="F16" s="288"/>
    </row>
    <row r="17" spans="1:6" x14ac:dyDescent="0.3">
      <c r="B17" s="289" t="s">
        <v>116</v>
      </c>
      <c r="C17" s="290"/>
      <c r="D17" s="290"/>
      <c r="E17" s="290"/>
      <c r="F17" s="291"/>
    </row>
    <row r="18" spans="1:6" ht="15" customHeight="1" x14ac:dyDescent="0.3"/>
    <row r="19" spans="1:6" ht="15.6" x14ac:dyDescent="0.3">
      <c r="A19" s="105"/>
      <c r="B19" s="234" t="s">
        <v>244</v>
      </c>
      <c r="C19" s="235"/>
      <c r="D19" s="235"/>
      <c r="E19" s="235"/>
      <c r="F19" s="236"/>
    </row>
    <row r="20" spans="1:6" ht="15" customHeight="1" x14ac:dyDescent="0.3">
      <c r="B20" s="283"/>
      <c r="C20" s="284"/>
      <c r="D20" s="284"/>
      <c r="E20" s="284"/>
      <c r="F20" s="285"/>
    </row>
    <row r="21" spans="1:6" ht="15" customHeight="1" x14ac:dyDescent="0.3">
      <c r="B21" s="286"/>
      <c r="C21" s="287"/>
      <c r="D21" s="287"/>
      <c r="E21" s="287"/>
      <c r="F21" s="288"/>
    </row>
    <row r="22" spans="1:6" ht="15" customHeight="1" x14ac:dyDescent="0.3">
      <c r="B22" s="289" t="s">
        <v>116</v>
      </c>
      <c r="C22" s="290"/>
      <c r="D22" s="290"/>
      <c r="E22" s="290"/>
      <c r="F22" s="291"/>
    </row>
    <row r="23" spans="1:6" ht="15" customHeight="1" x14ac:dyDescent="0.3"/>
    <row r="24" spans="1:6" ht="15.6" x14ac:dyDescent="0.3">
      <c r="A24" s="105"/>
      <c r="B24" s="234" t="s">
        <v>245</v>
      </c>
      <c r="C24" s="235"/>
      <c r="D24" s="235"/>
      <c r="E24" s="235"/>
      <c r="F24" s="236"/>
    </row>
    <row r="25" spans="1:6" ht="15" customHeight="1" x14ac:dyDescent="0.3">
      <c r="B25" s="283"/>
      <c r="C25" s="284"/>
      <c r="D25" s="284"/>
      <c r="E25" s="284"/>
      <c r="F25" s="285"/>
    </row>
    <row r="26" spans="1:6" x14ac:dyDescent="0.3">
      <c r="B26" s="286"/>
      <c r="C26" s="287"/>
      <c r="D26" s="287"/>
      <c r="E26" s="287"/>
      <c r="F26" s="288"/>
    </row>
    <row r="27" spans="1:6" x14ac:dyDescent="0.3">
      <c r="B27" s="289" t="s">
        <v>116</v>
      </c>
      <c r="C27" s="290"/>
      <c r="D27" s="290"/>
      <c r="E27" s="290"/>
      <c r="F27" s="291"/>
    </row>
    <row r="29" spans="1:6" ht="15.6" x14ac:dyDescent="0.3">
      <c r="A29" s="105"/>
      <c r="B29" s="234" t="s">
        <v>246</v>
      </c>
      <c r="C29" s="235"/>
      <c r="D29" s="235"/>
      <c r="E29" s="235"/>
      <c r="F29" s="236"/>
    </row>
    <row r="30" spans="1:6" ht="15" customHeight="1" x14ac:dyDescent="0.3">
      <c r="B30" s="283"/>
      <c r="C30" s="284"/>
      <c r="D30" s="284"/>
      <c r="E30" s="284"/>
      <c r="F30" s="285"/>
    </row>
    <row r="31" spans="1:6" ht="15" customHeight="1" x14ac:dyDescent="0.3">
      <c r="B31" s="286"/>
      <c r="C31" s="287"/>
      <c r="D31" s="287"/>
      <c r="E31" s="287"/>
      <c r="F31" s="288"/>
    </row>
    <row r="32" spans="1:6" ht="15" customHeight="1" x14ac:dyDescent="0.3">
      <c r="B32" s="289" t="s">
        <v>116</v>
      </c>
      <c r="C32" s="290"/>
      <c r="D32" s="290"/>
      <c r="E32" s="290"/>
      <c r="F32" s="291"/>
    </row>
    <row r="33" spans="1:6" ht="15" customHeight="1" x14ac:dyDescent="0.3"/>
    <row r="34" spans="1:6" ht="15.6" x14ac:dyDescent="0.3">
      <c r="A34" s="105"/>
      <c r="B34" s="234" t="s">
        <v>247</v>
      </c>
      <c r="C34" s="235"/>
      <c r="D34" s="235"/>
      <c r="E34" s="235"/>
      <c r="F34" s="236"/>
    </row>
    <row r="35" spans="1:6" x14ac:dyDescent="0.3">
      <c r="B35" s="283"/>
      <c r="C35" s="284"/>
      <c r="D35" s="284"/>
      <c r="E35" s="284"/>
      <c r="F35" s="285"/>
    </row>
    <row r="36" spans="1:6" x14ac:dyDescent="0.3">
      <c r="B36" s="286"/>
      <c r="C36" s="287"/>
      <c r="D36" s="287"/>
      <c r="E36" s="287"/>
      <c r="F36" s="288"/>
    </row>
    <row r="37" spans="1:6" x14ac:dyDescent="0.3">
      <c r="B37" s="289" t="s">
        <v>116</v>
      </c>
      <c r="C37" s="290"/>
      <c r="D37" s="290"/>
      <c r="E37" s="290"/>
      <c r="F37" s="291"/>
    </row>
  </sheetData>
  <sheetProtection algorithmName="SHA-512" hashValue="orGYn95LagwLNVAfhzN5ZKcyojLqleWqDnruXbtYZC+TGu/QJiFimTMr+8YNfTbpfg08Kp34p1Zt2fwsH9Q9mA==" saltValue="lJIVo/j8sPW+AsymXmvnAw==" spinCount="100000" sheet="1" insertRows="0"/>
  <mergeCells count="30">
    <mergeCell ref="B37:F37"/>
    <mergeCell ref="B24:F24"/>
    <mergeCell ref="B25:F25"/>
    <mergeCell ref="B26:F26"/>
    <mergeCell ref="B27:F27"/>
    <mergeCell ref="B29:F29"/>
    <mergeCell ref="B30:F30"/>
    <mergeCell ref="B31:F31"/>
    <mergeCell ref="B32:F32"/>
    <mergeCell ref="B34:F34"/>
    <mergeCell ref="B35:F35"/>
    <mergeCell ref="B36:F36"/>
    <mergeCell ref="B22:F22"/>
    <mergeCell ref="B9:F9"/>
    <mergeCell ref="B10:F10"/>
    <mergeCell ref="B11:F11"/>
    <mergeCell ref="B12:F12"/>
    <mergeCell ref="B14:F14"/>
    <mergeCell ref="B15:F15"/>
    <mergeCell ref="B16:F16"/>
    <mergeCell ref="B17:F17"/>
    <mergeCell ref="B19:F19"/>
    <mergeCell ref="B20:F20"/>
    <mergeCell ref="B21:F21"/>
    <mergeCell ref="B7:F7"/>
    <mergeCell ref="B1:F1"/>
    <mergeCell ref="B2:F2"/>
    <mergeCell ref="B4:F4"/>
    <mergeCell ref="B5:F5"/>
    <mergeCell ref="B6:F6"/>
  </mergeCells>
  <pageMargins left="0.25" right="0.25" top="0.75" bottom="0.75" header="0.3" footer="0.3"/>
  <pageSetup scale="93"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4A287-7FC2-445F-B83B-A371467B05AF}">
  <sheetPr codeName="Sheet13"/>
  <dimension ref="A1:D83"/>
  <sheetViews>
    <sheetView showGridLines="0" workbookViewId="0">
      <selection activeCell="J23" sqref="J23"/>
    </sheetView>
  </sheetViews>
  <sheetFormatPr defaultRowHeight="14.4" x14ac:dyDescent="0.3"/>
  <cols>
    <col min="2" max="2" width="45.5546875" customWidth="1"/>
    <col min="3" max="3" width="45.33203125" customWidth="1"/>
    <col min="4" max="4" width="19" customWidth="1"/>
  </cols>
  <sheetData>
    <row r="1" spans="1:4" x14ac:dyDescent="0.3">
      <c r="A1" t="s">
        <v>248</v>
      </c>
    </row>
    <row r="3" spans="1:4" x14ac:dyDescent="0.3">
      <c r="B3" s="156" t="s">
        <v>249</v>
      </c>
      <c r="C3" s="156" t="s">
        <v>250</v>
      </c>
      <c r="D3" s="157" t="s">
        <v>251</v>
      </c>
    </row>
    <row r="4" spans="1:4" x14ac:dyDescent="0.3">
      <c r="B4" t="s">
        <v>252</v>
      </c>
      <c r="C4" t="s">
        <v>253</v>
      </c>
      <c r="D4" s="155" cm="1">
        <f t="array" aca="1" ref="D4" ca="1">INDIRECT(B4)</f>
        <v>0</v>
      </c>
    </row>
    <row r="5" spans="1:4" x14ac:dyDescent="0.3">
      <c r="B5" t="s">
        <v>254</v>
      </c>
      <c r="C5" t="s">
        <v>255</v>
      </c>
      <c r="D5" s="155" cm="1">
        <f t="array" aca="1" ref="D5" ca="1">INDIRECT(B5)</f>
        <v>0</v>
      </c>
    </row>
    <row r="6" spans="1:4" x14ac:dyDescent="0.3">
      <c r="B6" t="s">
        <v>256</v>
      </c>
      <c r="C6" t="s">
        <v>257</v>
      </c>
      <c r="D6" s="155"/>
    </row>
    <row r="7" spans="1:4" x14ac:dyDescent="0.3">
      <c r="B7" t="s">
        <v>258</v>
      </c>
      <c r="C7" t="s">
        <v>259</v>
      </c>
      <c r="D7" s="155" cm="1">
        <f t="array" aca="1" ref="D7" ca="1">INDIRECT(B7)</f>
        <v>0</v>
      </c>
    </row>
    <row r="8" spans="1:4" x14ac:dyDescent="0.3">
      <c r="B8" t="s">
        <v>260</v>
      </c>
      <c r="C8" t="s">
        <v>261</v>
      </c>
      <c r="D8" s="155" cm="1">
        <f t="array" aca="1" ref="D8" ca="1">INDIRECT(B8)</f>
        <v>0</v>
      </c>
    </row>
    <row r="9" spans="1:4" x14ac:dyDescent="0.3">
      <c r="B9" t="s">
        <v>262</v>
      </c>
      <c r="C9" t="s">
        <v>263</v>
      </c>
      <c r="D9" s="155" cm="1">
        <f t="array" aca="1" ref="D9" ca="1">INDIRECT(B9)</f>
        <v>0</v>
      </c>
    </row>
    <row r="10" spans="1:4" x14ac:dyDescent="0.3">
      <c r="B10" t="s">
        <v>264</v>
      </c>
      <c r="C10" t="s">
        <v>265</v>
      </c>
      <c r="D10" s="155" cm="1">
        <f t="array" aca="1" ref="D10" ca="1">INDIRECT(B10)</f>
        <v>0</v>
      </c>
    </row>
    <row r="11" spans="1:4" x14ac:dyDescent="0.3">
      <c r="B11" t="s">
        <v>266</v>
      </c>
      <c r="C11" t="s">
        <v>267</v>
      </c>
      <c r="D11" s="155" cm="1">
        <f t="array" aca="1" ref="D11" ca="1">INDIRECT(B11)</f>
        <v>0</v>
      </c>
    </row>
    <row r="12" spans="1:4" x14ac:dyDescent="0.3">
      <c r="B12" t="s">
        <v>268</v>
      </c>
      <c r="C12" t="s">
        <v>269</v>
      </c>
      <c r="D12" s="155" cm="1">
        <f t="array" aca="1" ref="D12" ca="1">INDIRECT(B12)</f>
        <v>0</v>
      </c>
    </row>
    <row r="13" spans="1:4" x14ac:dyDescent="0.3">
      <c r="B13" t="s">
        <v>270</v>
      </c>
      <c r="C13" t="s">
        <v>271</v>
      </c>
      <c r="D13" s="155" cm="1">
        <f t="array" aca="1" ref="D13" ca="1">INDIRECT(B13)</f>
        <v>0</v>
      </c>
    </row>
    <row r="14" spans="1:4" x14ac:dyDescent="0.3">
      <c r="B14" t="s">
        <v>272</v>
      </c>
      <c r="C14" t="s">
        <v>273</v>
      </c>
      <c r="D14" s="155" cm="1">
        <f t="array" aca="1" ref="D14" ca="1">INDIRECT(B14)</f>
        <v>0</v>
      </c>
    </row>
    <row r="15" spans="1:4" x14ac:dyDescent="0.3">
      <c r="B15" t="s">
        <v>274</v>
      </c>
      <c r="C15" t="s">
        <v>275</v>
      </c>
      <c r="D15" s="155" cm="1">
        <f t="array" aca="1" ref="D15" ca="1">INDIRECT(B15)</f>
        <v>0</v>
      </c>
    </row>
    <row r="16" spans="1:4" x14ac:dyDescent="0.3">
      <c r="B16" t="s">
        <v>276</v>
      </c>
      <c r="C16" t="s">
        <v>277</v>
      </c>
      <c r="D16" s="155" cm="1">
        <f t="array" aca="1" ref="D16" ca="1">INDIRECT(B16)</f>
        <v>0</v>
      </c>
    </row>
    <row r="17" spans="2:4" x14ac:dyDescent="0.3">
      <c r="B17" t="s">
        <v>278</v>
      </c>
      <c r="C17" t="s">
        <v>279</v>
      </c>
      <c r="D17" s="155" cm="1">
        <f t="array" aca="1" ref="D17" ca="1">INDIRECT(B17)</f>
        <v>0</v>
      </c>
    </row>
    <row r="18" spans="2:4" x14ac:dyDescent="0.3">
      <c r="B18" t="s">
        <v>280</v>
      </c>
      <c r="C18" t="s">
        <v>281</v>
      </c>
      <c r="D18" s="155" cm="1">
        <f t="array" aca="1" ref="D18" ca="1">INDIRECT(B18)</f>
        <v>0</v>
      </c>
    </row>
    <row r="19" spans="2:4" x14ac:dyDescent="0.3">
      <c r="B19" t="s">
        <v>282</v>
      </c>
      <c r="C19" t="s">
        <v>283</v>
      </c>
      <c r="D19" s="155" cm="1">
        <f t="array" aca="1" ref="D19" ca="1">INDIRECT(B19)</f>
        <v>0</v>
      </c>
    </row>
    <row r="20" spans="2:4" x14ac:dyDescent="0.3">
      <c r="B20" t="s">
        <v>284</v>
      </c>
      <c r="C20" t="s">
        <v>285</v>
      </c>
      <c r="D20" s="155" cm="1">
        <f t="array" aca="1" ref="D20" ca="1">INDIRECT(B20)</f>
        <v>0</v>
      </c>
    </row>
    <row r="21" spans="2:4" x14ac:dyDescent="0.3">
      <c r="B21" t="s">
        <v>286</v>
      </c>
      <c r="C21" t="s">
        <v>287</v>
      </c>
      <c r="D21" s="155" cm="1">
        <f t="array" aca="1" ref="D21" ca="1">INDIRECT(B21)</f>
        <v>0</v>
      </c>
    </row>
    <row r="22" spans="2:4" x14ac:dyDescent="0.3">
      <c r="B22" t="s">
        <v>288</v>
      </c>
      <c r="C22" t="s">
        <v>289</v>
      </c>
      <c r="D22" s="155" cm="1">
        <f t="array" aca="1" ref="D22" ca="1">INDIRECT(B22)</f>
        <v>0</v>
      </c>
    </row>
    <row r="23" spans="2:4" x14ac:dyDescent="0.3">
      <c r="B23" t="s">
        <v>290</v>
      </c>
      <c r="C23" t="s">
        <v>291</v>
      </c>
      <c r="D23" s="155" cm="1">
        <f t="array" aca="1" ref="D23" ca="1">INDIRECT(B23)</f>
        <v>0</v>
      </c>
    </row>
    <row r="24" spans="2:4" x14ac:dyDescent="0.3">
      <c r="B24" t="s">
        <v>292</v>
      </c>
      <c r="C24" t="s">
        <v>293</v>
      </c>
      <c r="D24" s="155" cm="1">
        <f t="array" aca="1" ref="D24" ca="1">INDIRECT(B24)</f>
        <v>0</v>
      </c>
    </row>
    <row r="25" spans="2:4" x14ac:dyDescent="0.3">
      <c r="B25" t="s">
        <v>294</v>
      </c>
      <c r="C25" t="s">
        <v>295</v>
      </c>
      <c r="D25" s="155" cm="1">
        <f t="array" aca="1" ref="D25" ca="1">INDIRECT(B25)</f>
        <v>0</v>
      </c>
    </row>
    <row r="26" spans="2:4" x14ac:dyDescent="0.3">
      <c r="B26" t="s">
        <v>296</v>
      </c>
      <c r="C26" t="s">
        <v>297</v>
      </c>
      <c r="D26" s="155" cm="1">
        <f t="array" aca="1" ref="D26" ca="1">INDIRECT(B26)</f>
        <v>0</v>
      </c>
    </row>
    <row r="27" spans="2:4" x14ac:dyDescent="0.3">
      <c r="B27" t="s">
        <v>298</v>
      </c>
      <c r="C27" t="s">
        <v>299</v>
      </c>
      <c r="D27" s="155" cm="1">
        <f t="array" aca="1" ref="D27" ca="1">INDIRECT(B27)</f>
        <v>0</v>
      </c>
    </row>
    <row r="28" spans="2:4" x14ac:dyDescent="0.3">
      <c r="B28" t="s">
        <v>300</v>
      </c>
      <c r="C28" t="s">
        <v>301</v>
      </c>
      <c r="D28" s="155" cm="1">
        <f t="array" aca="1" ref="D28" ca="1">INDIRECT(B28)</f>
        <v>0</v>
      </c>
    </row>
    <row r="29" spans="2:4" x14ac:dyDescent="0.3">
      <c r="B29" t="s">
        <v>302</v>
      </c>
      <c r="C29" t="s">
        <v>303</v>
      </c>
      <c r="D29" s="155" cm="1">
        <f t="array" aca="1" ref="D29" ca="1">INDIRECT(B29)</f>
        <v>0</v>
      </c>
    </row>
    <row r="30" spans="2:4" x14ac:dyDescent="0.3">
      <c r="B30" t="s">
        <v>304</v>
      </c>
      <c r="C30" t="s">
        <v>305</v>
      </c>
      <c r="D30" s="155" cm="1">
        <f t="array" aca="1" ref="D30" ca="1">INDIRECT(B30)</f>
        <v>0</v>
      </c>
    </row>
    <row r="31" spans="2:4" x14ac:dyDescent="0.3">
      <c r="B31" t="s">
        <v>306</v>
      </c>
      <c r="C31" t="s">
        <v>307</v>
      </c>
      <c r="D31" s="155" cm="1">
        <f t="array" aca="1" ref="D31" ca="1">INDIRECT(B31)</f>
        <v>0</v>
      </c>
    </row>
    <row r="32" spans="2:4" x14ac:dyDescent="0.3">
      <c r="B32" t="s">
        <v>308</v>
      </c>
      <c r="C32" t="s">
        <v>309</v>
      </c>
      <c r="D32" s="155" cm="1">
        <f t="array" aca="1" ref="D32" ca="1">INDIRECT(B32)</f>
        <v>0</v>
      </c>
    </row>
    <row r="33" spans="2:4" x14ac:dyDescent="0.3">
      <c r="B33" t="s">
        <v>310</v>
      </c>
      <c r="C33" t="s">
        <v>311</v>
      </c>
      <c r="D33" s="155" cm="1">
        <f t="array" aca="1" ref="D33" ca="1">INDIRECT(B33)</f>
        <v>0</v>
      </c>
    </row>
    <row r="34" spans="2:4" x14ac:dyDescent="0.3">
      <c r="B34" t="s">
        <v>312</v>
      </c>
      <c r="C34" t="s">
        <v>313</v>
      </c>
      <c r="D34" s="155" cm="1">
        <f t="array" aca="1" ref="D34" ca="1">INDIRECT(B34)</f>
        <v>0</v>
      </c>
    </row>
    <row r="35" spans="2:4" x14ac:dyDescent="0.3">
      <c r="B35" t="s">
        <v>314</v>
      </c>
      <c r="C35" t="s">
        <v>315</v>
      </c>
      <c r="D35" s="155" cm="1">
        <f t="array" aca="1" ref="D35" ca="1">INDIRECT(B35)</f>
        <v>0</v>
      </c>
    </row>
    <row r="36" spans="2:4" x14ac:dyDescent="0.3">
      <c r="B36" t="s">
        <v>316</v>
      </c>
      <c r="C36" t="s">
        <v>317</v>
      </c>
      <c r="D36" s="155" cm="1">
        <f t="array" aca="1" ref="D36" ca="1">INDIRECT(B36)</f>
        <v>0</v>
      </c>
    </row>
    <row r="37" spans="2:4" x14ac:dyDescent="0.3">
      <c r="B37" t="s">
        <v>318</v>
      </c>
      <c r="C37" t="s">
        <v>319</v>
      </c>
      <c r="D37" s="155" cm="1">
        <f t="array" aca="1" ref="D37" ca="1">INDIRECT(B37)</f>
        <v>0</v>
      </c>
    </row>
    <row r="38" spans="2:4" x14ac:dyDescent="0.3">
      <c r="B38" t="s">
        <v>320</v>
      </c>
      <c r="C38" t="s">
        <v>321</v>
      </c>
      <c r="D38" s="155" cm="1">
        <f t="array" aca="1" ref="D38" ca="1">INDIRECT(B38)</f>
        <v>0</v>
      </c>
    </row>
    <row r="39" spans="2:4" x14ac:dyDescent="0.3">
      <c r="B39" t="s">
        <v>322</v>
      </c>
      <c r="C39" t="s">
        <v>323</v>
      </c>
      <c r="D39" s="155" cm="1">
        <f t="array" aca="1" ref="D39" ca="1">INDIRECT(B39)</f>
        <v>0</v>
      </c>
    </row>
    <row r="40" spans="2:4" x14ac:dyDescent="0.3">
      <c r="B40" t="s">
        <v>324</v>
      </c>
      <c r="C40" t="s">
        <v>325</v>
      </c>
      <c r="D40" s="155" cm="1">
        <f t="array" aca="1" ref="D40" ca="1">INDIRECT(B40)</f>
        <v>0</v>
      </c>
    </row>
    <row r="41" spans="2:4" x14ac:dyDescent="0.3">
      <c r="B41" t="s">
        <v>326</v>
      </c>
      <c r="C41" t="s">
        <v>327</v>
      </c>
      <c r="D41" s="155" cm="1">
        <f t="array" aca="1" ref="D41" ca="1">INDIRECT(B41)</f>
        <v>0</v>
      </c>
    </row>
    <row r="42" spans="2:4" x14ac:dyDescent="0.3">
      <c r="B42" t="s">
        <v>328</v>
      </c>
      <c r="C42" t="s">
        <v>329</v>
      </c>
      <c r="D42" s="155" cm="1">
        <f t="array" aca="1" ref="D42" ca="1">INDIRECT(B42)</f>
        <v>0</v>
      </c>
    </row>
    <row r="43" spans="2:4" x14ac:dyDescent="0.3">
      <c r="B43" t="s">
        <v>330</v>
      </c>
      <c r="C43" t="s">
        <v>331</v>
      </c>
      <c r="D43" s="155" cm="1">
        <f t="array" aca="1" ref="D43" ca="1">INDIRECT(B43)</f>
        <v>0</v>
      </c>
    </row>
    <row r="44" spans="2:4" x14ac:dyDescent="0.3">
      <c r="B44" t="s">
        <v>332</v>
      </c>
      <c r="C44" t="s">
        <v>333</v>
      </c>
      <c r="D44" s="155" cm="1">
        <f t="array" aca="1" ref="D44" ca="1">INDIRECT(B44)</f>
        <v>0</v>
      </c>
    </row>
    <row r="45" spans="2:4" x14ac:dyDescent="0.3">
      <c r="B45" t="s">
        <v>334</v>
      </c>
      <c r="C45" t="s">
        <v>335</v>
      </c>
      <c r="D45" s="131" cm="1">
        <f t="array" aca="1" ref="D45" ca="1">INDIRECT(B45)</f>
        <v>0</v>
      </c>
    </row>
    <row r="46" spans="2:4" x14ac:dyDescent="0.3">
      <c r="B46" t="s">
        <v>336</v>
      </c>
      <c r="C46" t="s">
        <v>337</v>
      </c>
      <c r="D46" s="131" cm="1">
        <f t="array" aca="1" ref="D46" ca="1">INDIRECT(B46)</f>
        <v>0</v>
      </c>
    </row>
    <row r="47" spans="2:4" x14ac:dyDescent="0.3">
      <c r="B47" t="s">
        <v>338</v>
      </c>
      <c r="C47" t="s">
        <v>339</v>
      </c>
      <c r="D47" s="158" cm="1">
        <f t="array" aca="1" ref="D47" ca="1">INDIRECT(B47)</f>
        <v>0.03</v>
      </c>
    </row>
    <row r="48" spans="2:4" x14ac:dyDescent="0.3">
      <c r="B48" t="s">
        <v>340</v>
      </c>
      <c r="C48" t="s">
        <v>341</v>
      </c>
      <c r="D48" s="158" cm="1">
        <f t="array" aca="1" ref="D48" ca="1">INDIRECT(B48)</f>
        <v>5.0000000000000001E-3</v>
      </c>
    </row>
    <row r="49" spans="2:4" x14ac:dyDescent="0.3">
      <c r="B49" t="s">
        <v>342</v>
      </c>
      <c r="C49" t="s">
        <v>343</v>
      </c>
      <c r="D49" s="158" cm="1">
        <f t="array" aca="1" ref="D49" ca="1">INDIRECT(B49)</f>
        <v>3.3300000000000003E-2</v>
      </c>
    </row>
    <row r="50" spans="2:4" x14ac:dyDescent="0.3">
      <c r="B50" t="s">
        <v>344</v>
      </c>
      <c r="C50" t="s">
        <v>345</v>
      </c>
      <c r="D50" s="158" cm="1">
        <f t="array" aca="1" ref="D50" ca="1">INDIRECT(B50)</f>
        <v>0.05</v>
      </c>
    </row>
    <row r="51" spans="2:4" x14ac:dyDescent="0.3">
      <c r="B51" t="s">
        <v>346</v>
      </c>
      <c r="C51" t="s">
        <v>347</v>
      </c>
      <c r="D51" s="158" cm="1">
        <f t="array" aca="1" ref="D51" ca="1">INDIRECT(B51)</f>
        <v>0.1</v>
      </c>
    </row>
    <row r="52" spans="2:4" x14ac:dyDescent="0.3">
      <c r="B52" t="s">
        <v>348</v>
      </c>
      <c r="C52" t="s">
        <v>349</v>
      </c>
      <c r="D52" s="158" cm="1">
        <f t="array" aca="1" ref="D52" ca="1">INDIRECT(B52)</f>
        <v>0.03</v>
      </c>
    </row>
    <row r="53" spans="2:4" x14ac:dyDescent="0.3">
      <c r="B53" t="s">
        <v>350</v>
      </c>
      <c r="C53" t="s">
        <v>351</v>
      </c>
      <c r="D53" s="158" cm="1">
        <f t="array" aca="1" ref="D53" ca="1">INDIRECT(B53)</f>
        <v>0.04</v>
      </c>
    </row>
    <row r="54" spans="2:4" x14ac:dyDescent="0.3">
      <c r="B54" t="s">
        <v>352</v>
      </c>
      <c r="C54" t="s">
        <v>353</v>
      </c>
      <c r="D54" s="155" cm="1">
        <f t="array" aca="1" ref="D54" ca="1">INDIRECT(B54)</f>
        <v>0</v>
      </c>
    </row>
    <row r="55" spans="2:4" x14ac:dyDescent="0.3">
      <c r="B55" t="s">
        <v>354</v>
      </c>
      <c r="C55" s="125" t="s">
        <v>355</v>
      </c>
      <c r="D55" s="155" cm="1">
        <f t="array" aca="1" ref="D55" ca="1">INDIRECT(B55)</f>
        <v>0</v>
      </c>
    </row>
    <row r="56" spans="2:4" x14ac:dyDescent="0.3">
      <c r="B56" t="s">
        <v>356</v>
      </c>
      <c r="C56" t="s">
        <v>357</v>
      </c>
      <c r="D56" s="155" cm="1">
        <f t="array" aca="1" ref="D56" ca="1">INDIRECT(B56)</f>
        <v>0</v>
      </c>
    </row>
    <row r="57" spans="2:4" x14ac:dyDescent="0.3">
      <c r="B57" t="s">
        <v>358</v>
      </c>
      <c r="C57" t="s">
        <v>359</v>
      </c>
      <c r="D57" s="155" cm="1">
        <f t="array" aca="1" ref="D57" ca="1">INDIRECT(B57)</f>
        <v>0</v>
      </c>
    </row>
    <row r="58" spans="2:4" x14ac:dyDescent="0.3">
      <c r="B58" t="s">
        <v>360</v>
      </c>
      <c r="C58" t="s">
        <v>361</v>
      </c>
      <c r="D58" s="155" cm="1">
        <f t="array" aca="1" ref="D58" ca="1">INDIRECT(B58)</f>
        <v>0</v>
      </c>
    </row>
    <row r="59" spans="2:4" x14ac:dyDescent="0.3">
      <c r="B59" t="s">
        <v>362</v>
      </c>
      <c r="C59" t="s">
        <v>363</v>
      </c>
      <c r="D59" s="155" cm="1">
        <f t="array" aca="1" ref="D59" ca="1">INDIRECT(B59)</f>
        <v>0</v>
      </c>
    </row>
    <row r="60" spans="2:4" x14ac:dyDescent="0.3">
      <c r="B60" t="s">
        <v>364</v>
      </c>
      <c r="C60" t="s">
        <v>365</v>
      </c>
      <c r="D60" s="155" cm="1">
        <f t="array" aca="1" ref="D60" ca="1">INDIRECT(B60)</f>
        <v>0</v>
      </c>
    </row>
    <row r="61" spans="2:4" x14ac:dyDescent="0.3">
      <c r="B61" t="s">
        <v>366</v>
      </c>
      <c r="C61" t="s">
        <v>367</v>
      </c>
      <c r="D61" s="155" cm="1">
        <f t="array" aca="1" ref="D61" ca="1">INDIRECT(B61)</f>
        <v>0</v>
      </c>
    </row>
    <row r="62" spans="2:4" x14ac:dyDescent="0.3">
      <c r="B62" t="s">
        <v>368</v>
      </c>
      <c r="C62" t="s">
        <v>369</v>
      </c>
      <c r="D62" s="155" cm="1">
        <f t="array" aca="1" ref="D62" ca="1">INDIRECT(B62)</f>
        <v>0</v>
      </c>
    </row>
    <row r="63" spans="2:4" x14ac:dyDescent="0.3">
      <c r="B63" t="s">
        <v>370</v>
      </c>
      <c r="C63" t="s">
        <v>371</v>
      </c>
      <c r="D63" s="155" t="e" cm="1">
        <f t="array" aca="1" ref="D63" ca="1">INDIRECT(B63)</f>
        <v>#REF!</v>
      </c>
    </row>
    <row r="64" spans="2:4" x14ac:dyDescent="0.3">
      <c r="B64" t="s">
        <v>372</v>
      </c>
      <c r="C64" t="s">
        <v>373</v>
      </c>
      <c r="D64" s="155" t="e" cm="1">
        <f t="array" aca="1" ref="D64" ca="1">INDIRECT(B64)</f>
        <v>#REF!</v>
      </c>
    </row>
    <row r="65" spans="2:4" x14ac:dyDescent="0.3">
      <c r="B65" t="s">
        <v>374</v>
      </c>
      <c r="C65" t="s">
        <v>375</v>
      </c>
      <c r="D65" s="155" t="e" cm="1">
        <f t="array" aca="1" ref="D65" ca="1">INDIRECT(B65)</f>
        <v>#REF!</v>
      </c>
    </row>
    <row r="66" spans="2:4" x14ac:dyDescent="0.3">
      <c r="B66" t="s">
        <v>376</v>
      </c>
      <c r="C66" t="s">
        <v>377</v>
      </c>
      <c r="D66" s="155" t="e" cm="1">
        <f t="array" aca="1" ref="D66" ca="1">INDIRECT(B66)</f>
        <v>#REF!</v>
      </c>
    </row>
    <row r="67" spans="2:4" x14ac:dyDescent="0.3">
      <c r="B67" t="s">
        <v>378</v>
      </c>
      <c r="C67" t="s">
        <v>379</v>
      </c>
      <c r="D67" s="155" cm="1">
        <f t="array" aca="1" ref="D67" ca="1">INDIRECT(B67)</f>
        <v>0</v>
      </c>
    </row>
    <row r="68" spans="2:4" x14ac:dyDescent="0.3">
      <c r="B68" t="s">
        <v>380</v>
      </c>
      <c r="C68" t="s">
        <v>381</v>
      </c>
      <c r="D68" s="155" cm="1">
        <f t="array" aca="1" ref="D68" ca="1">INDIRECT(B68)</f>
        <v>0</v>
      </c>
    </row>
    <row r="69" spans="2:4" x14ac:dyDescent="0.3">
      <c r="B69" t="s">
        <v>382</v>
      </c>
      <c r="C69" t="s">
        <v>383</v>
      </c>
      <c r="D69" s="155" t="str" cm="1">
        <f t="array" aca="1" ref="D69" ca="1">INDIRECT(B69)</f>
        <v>yes</v>
      </c>
    </row>
    <row r="70" spans="2:4" x14ac:dyDescent="0.3">
      <c r="B70" t="s">
        <v>384</v>
      </c>
      <c r="C70" t="s">
        <v>385</v>
      </c>
      <c r="D70" s="155" cm="1">
        <f t="array" aca="1" ref="D70" ca="1">INDIRECT(B70)</f>
        <v>0.1</v>
      </c>
    </row>
    <row r="71" spans="2:4" x14ac:dyDescent="0.3">
      <c r="B71" t="s">
        <v>386</v>
      </c>
      <c r="C71" t="s">
        <v>387</v>
      </c>
      <c r="D71" s="155" cm="1">
        <f t="array" aca="1" ref="D71" ca="1">INDIRECT(B71)</f>
        <v>0.05</v>
      </c>
    </row>
    <row r="72" spans="2:4" x14ac:dyDescent="0.3">
      <c r="B72" t="s">
        <v>388</v>
      </c>
      <c r="C72" t="s">
        <v>389</v>
      </c>
      <c r="D72" s="131" cm="1">
        <f t="array" aca="1" ref="D72" ca="1">INDIRECT(B72)</f>
        <v>45503.372473379626</v>
      </c>
    </row>
    <row r="73" spans="2:4" x14ac:dyDescent="0.3">
      <c r="B73" t="s">
        <v>390</v>
      </c>
      <c r="C73" t="s">
        <v>391</v>
      </c>
      <c r="D73" s="131" cm="1">
        <f t="array" aca="1" ref="D73" ca="1">INDIRECT(B73)</f>
        <v>0</v>
      </c>
    </row>
    <row r="74" spans="2:4" x14ac:dyDescent="0.3">
      <c r="B74" t="s">
        <v>392</v>
      </c>
      <c r="C74" t="s">
        <v>393</v>
      </c>
      <c r="D74" s="131" cm="1">
        <f t="array" aca="1" ref="D74" ca="1">INDIRECT(B74)</f>
        <v>0</v>
      </c>
    </row>
    <row r="75" spans="2:4" x14ac:dyDescent="0.3">
      <c r="B75" t="s">
        <v>394</v>
      </c>
      <c r="C75" t="s">
        <v>395</v>
      </c>
      <c r="D75" s="131" cm="1">
        <f t="array" aca="1" ref="D75" ca="1">INDIRECT(B75)</f>
        <v>0</v>
      </c>
    </row>
    <row r="76" spans="2:4" x14ac:dyDescent="0.3">
      <c r="B76" t="s">
        <v>23</v>
      </c>
      <c r="C76" t="s">
        <v>396</v>
      </c>
      <c r="D76" s="155" cm="1">
        <f t="array" aca="1" ref="D76" ca="1">INDIRECT(B76)</f>
        <v>0</v>
      </c>
    </row>
    <row r="77" spans="2:4" x14ac:dyDescent="0.3">
      <c r="B77" t="s">
        <v>397</v>
      </c>
      <c r="C77" t="s">
        <v>398</v>
      </c>
      <c r="D77" s="155" cm="1">
        <f t="array" aca="1" ref="D77" ca="1">INDIRECT(B77)</f>
        <v>0</v>
      </c>
    </row>
    <row r="78" spans="2:4" x14ac:dyDescent="0.3">
      <c r="B78" t="s">
        <v>399</v>
      </c>
      <c r="C78" t="s">
        <v>400</v>
      </c>
      <c r="D78" s="155" cm="1">
        <f t="array" aca="1" ref="D78" ca="1">INDIRECT(B78)</f>
        <v>0.1951</v>
      </c>
    </row>
    <row r="79" spans="2:4" x14ac:dyDescent="0.3">
      <c r="B79" t="s">
        <v>401</v>
      </c>
      <c r="C79" s="125" t="s">
        <v>402</v>
      </c>
      <c r="D79" s="155" cm="1">
        <f t="array" aca="1" ref="D79" ca="1">INDIRECT(B79)</f>
        <v>0</v>
      </c>
    </row>
    <row r="80" spans="2:4" x14ac:dyDescent="0.3">
      <c r="B80" t="s">
        <v>403</v>
      </c>
      <c r="C80" t="s">
        <v>404</v>
      </c>
      <c r="D80" s="155" cm="1">
        <f t="array" aca="1" ref="D80" ca="1">INDIRECT(B80)</f>
        <v>0</v>
      </c>
    </row>
    <row r="81" spans="2:4" x14ac:dyDescent="0.3">
      <c r="B81" t="s">
        <v>405</v>
      </c>
      <c r="C81" t="s">
        <v>406</v>
      </c>
      <c r="D81" s="131" cm="1">
        <f t="array" aca="1" ref="D81" ca="1">INDIRECT(B81)</f>
        <v>0</v>
      </c>
    </row>
    <row r="82" spans="2:4" x14ac:dyDescent="0.3">
      <c r="B82" t="s">
        <v>407</v>
      </c>
      <c r="C82" t="s">
        <v>408</v>
      </c>
      <c r="D82" s="131" cm="1">
        <f t="array" aca="1" ref="D82" ca="1">INDIRECT(B82)</f>
        <v>0</v>
      </c>
    </row>
    <row r="83" spans="2:4" x14ac:dyDescent="0.3">
      <c r="B83" t="s">
        <v>409</v>
      </c>
      <c r="C83" t="s">
        <v>410</v>
      </c>
      <c r="D83" s="131" cm="1">
        <f t="array" aca="1" ref="D83" ca="1">INDIRECT(B83)</f>
        <v>0</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E0D75-FC35-4413-988C-6E6D54C820EA}">
  <sheetPr codeName="Sheet14"/>
  <dimension ref="A1:I162"/>
  <sheetViews>
    <sheetView showGridLines="0" topLeftCell="D1" workbookViewId="0">
      <selection activeCell="I30" sqref="I30"/>
    </sheetView>
  </sheetViews>
  <sheetFormatPr defaultRowHeight="14.4" x14ac:dyDescent="0.3"/>
  <cols>
    <col min="2" max="2" width="40" customWidth="1"/>
    <col min="3" max="3" width="99.33203125" customWidth="1"/>
    <col min="4" max="4" width="12.109375" customWidth="1"/>
  </cols>
  <sheetData>
    <row r="1" spans="1:9" x14ac:dyDescent="0.3">
      <c r="A1" t="s">
        <v>411</v>
      </c>
      <c r="I1" t="str" cm="1">
        <f t="array" aca="1" ref="I1" ca="1">CELL("filename")</f>
        <v>C:\Users\MorrisP1\AppData\Local\Microsoft\Windows\INetCache\Content.Outlook\ZVAIGITO\[C-100_2024 Protected Updated 6.5.2024.xlsx]C. Construction Contracts</v>
      </c>
    </row>
    <row r="2" spans="1:9" x14ac:dyDescent="0.3">
      <c r="B2" t="s">
        <v>412</v>
      </c>
      <c r="C2" t="s">
        <v>251</v>
      </c>
      <c r="D2" t="s">
        <v>413</v>
      </c>
    </row>
    <row r="3" spans="1:9" x14ac:dyDescent="0.3">
      <c r="B3" t="s">
        <v>414</v>
      </c>
      <c r="C3" t="str" cm="1">
        <f t="array" aca="1" ref="C3" ca="1">CELL("filename")</f>
        <v>C:\Users\MorrisP1\AppData\Local\Microsoft\Windows\INetCache\Content.Outlook\ZVAIGITO\[C-100_2024 Protected Updated 6.5.2024.xlsx]C. Construction Contracts</v>
      </c>
      <c r="D3" t="s">
        <v>415</v>
      </c>
    </row>
    <row r="4" spans="1:9" x14ac:dyDescent="0.3">
      <c r="B4" t="s">
        <v>23</v>
      </c>
      <c r="C4">
        <f>+Agency</f>
        <v>0</v>
      </c>
      <c r="D4" t="s">
        <v>416</v>
      </c>
    </row>
    <row r="5" spans="1:9" x14ac:dyDescent="0.3">
      <c r="B5" t="s">
        <v>24</v>
      </c>
      <c r="C5">
        <f>+Project_Name</f>
        <v>0</v>
      </c>
      <c r="D5" t="s">
        <v>415</v>
      </c>
    </row>
    <row r="6" spans="1:9" x14ac:dyDescent="0.3">
      <c r="B6" t="s">
        <v>25</v>
      </c>
      <c r="C6" s="164">
        <f>+Summary!C6</f>
        <v>0</v>
      </c>
      <c r="D6" t="s">
        <v>416</v>
      </c>
    </row>
    <row r="7" spans="1:9" x14ac:dyDescent="0.3">
      <c r="B7" t="s">
        <v>31</v>
      </c>
      <c r="C7" s="164">
        <f>+Summary!C7</f>
        <v>0</v>
      </c>
      <c r="D7" t="s">
        <v>417</v>
      </c>
    </row>
    <row r="8" spans="1:9" x14ac:dyDescent="0.3">
      <c r="B8" t="s">
        <v>33</v>
      </c>
      <c r="C8" s="164">
        <f>+Summary!C8</f>
        <v>0</v>
      </c>
      <c r="D8" t="s">
        <v>417</v>
      </c>
    </row>
    <row r="9" spans="1:9" x14ac:dyDescent="0.3">
      <c r="B9" t="s">
        <v>418</v>
      </c>
      <c r="C9" s="164">
        <f>+Summary!C9</f>
        <v>0</v>
      </c>
      <c r="D9" t="s">
        <v>417</v>
      </c>
    </row>
    <row r="10" spans="1:9" x14ac:dyDescent="0.3">
      <c r="B10" t="s">
        <v>35</v>
      </c>
      <c r="C10" s="164">
        <f>Summary!E16</f>
        <v>0</v>
      </c>
      <c r="D10" t="s">
        <v>416</v>
      </c>
    </row>
    <row r="11" spans="1:9" x14ac:dyDescent="0.3">
      <c r="B11" t="s">
        <v>38</v>
      </c>
      <c r="C11" t="s">
        <v>419</v>
      </c>
      <c r="D11" t="s">
        <v>416</v>
      </c>
    </row>
    <row r="12" spans="1:9" x14ac:dyDescent="0.3">
      <c r="B12" t="s">
        <v>41</v>
      </c>
      <c r="C12" t="s">
        <v>420</v>
      </c>
      <c r="D12" t="s">
        <v>416</v>
      </c>
    </row>
    <row r="13" spans="1:9" x14ac:dyDescent="0.3">
      <c r="B13" t="s">
        <v>37</v>
      </c>
      <c r="C13" s="125" t="str">
        <f>+Summary!F17</f>
        <v>A</v>
      </c>
      <c r="D13" t="s">
        <v>416</v>
      </c>
    </row>
    <row r="14" spans="1:9" x14ac:dyDescent="0.3">
      <c r="B14" t="s">
        <v>40</v>
      </c>
      <c r="C14" s="158">
        <f>+Summary!F18</f>
        <v>0.1951</v>
      </c>
      <c r="D14" t="s">
        <v>421</v>
      </c>
    </row>
    <row r="15" spans="1:9" x14ac:dyDescent="0.3">
      <c r="B15" t="s">
        <v>42</v>
      </c>
      <c r="C15">
        <f>+Summary!F19</f>
        <v>0</v>
      </c>
      <c r="D15" t="s">
        <v>417</v>
      </c>
    </row>
    <row r="16" spans="1:9" x14ac:dyDescent="0.3">
      <c r="B16" t="s">
        <v>44</v>
      </c>
      <c r="C16" s="125" t="str">
        <f>+Summary!C21</f>
        <v>GCCM</v>
      </c>
      <c r="D16" t="s">
        <v>416</v>
      </c>
    </row>
    <row r="17" spans="2:6" x14ac:dyDescent="0.3">
      <c r="B17" t="s">
        <v>47</v>
      </c>
      <c r="C17" s="158">
        <f>+Summary!C22</f>
        <v>3.3300000000000003E-2</v>
      </c>
      <c r="D17" t="s">
        <v>421</v>
      </c>
    </row>
    <row r="18" spans="2:6" x14ac:dyDescent="0.3">
      <c r="B18" t="s">
        <v>422</v>
      </c>
      <c r="C18" s="158">
        <f>+Summary!C23</f>
        <v>0.1</v>
      </c>
      <c r="D18" t="s">
        <v>421</v>
      </c>
    </row>
    <row r="19" spans="2:6" x14ac:dyDescent="0.3">
      <c r="B19" t="s">
        <v>50</v>
      </c>
      <c r="C19" s="125">
        <f>+Summary!F23</f>
        <v>0</v>
      </c>
      <c r="D19" t="s">
        <v>416</v>
      </c>
    </row>
    <row r="20" spans="2:6" x14ac:dyDescent="0.3">
      <c r="B20" t="s">
        <v>51</v>
      </c>
      <c r="C20" s="158">
        <f>+Summary!C24</f>
        <v>0.05</v>
      </c>
      <c r="D20" t="s">
        <v>421</v>
      </c>
    </row>
    <row r="21" spans="2:6" x14ac:dyDescent="0.3">
      <c r="B21" t="s">
        <v>46</v>
      </c>
      <c r="C21" s="158">
        <f>+Art_Req</f>
        <v>0</v>
      </c>
      <c r="D21" t="s">
        <v>421</v>
      </c>
    </row>
    <row r="22" spans="2:6" x14ac:dyDescent="0.3">
      <c r="B22" t="s">
        <v>48</v>
      </c>
      <c r="C22" s="158">
        <f>+HEI</f>
        <v>0</v>
      </c>
      <c r="D22" t="s">
        <v>421</v>
      </c>
    </row>
    <row r="23" spans="2:6" x14ac:dyDescent="0.3">
      <c r="B23" t="s">
        <v>52</v>
      </c>
      <c r="C23" s="131">
        <f ca="1">+Base_Month</f>
        <v>45503.372473379626</v>
      </c>
      <c r="D23" t="s">
        <v>423</v>
      </c>
    </row>
    <row r="24" spans="2:6" x14ac:dyDescent="0.3">
      <c r="B24" t="s">
        <v>54</v>
      </c>
      <c r="C24">
        <f>+Summary!C26</f>
        <v>0</v>
      </c>
      <c r="D24" t="s">
        <v>416</v>
      </c>
    </row>
    <row r="25" spans="2:6" x14ac:dyDescent="0.3">
      <c r="B25" t="s">
        <v>56</v>
      </c>
      <c r="C25" s="131">
        <f t="shared" ref="C25:C30" ca="1" si="0">+Base_Month</f>
        <v>45503.372473379626</v>
      </c>
      <c r="D25" t="s">
        <v>423</v>
      </c>
    </row>
    <row r="26" spans="2:6" x14ac:dyDescent="0.3">
      <c r="B26" t="s">
        <v>57</v>
      </c>
      <c r="C26" s="131">
        <f t="shared" ca="1" si="0"/>
        <v>45503.372473379626</v>
      </c>
      <c r="D26" t="s">
        <v>423</v>
      </c>
    </row>
    <row r="27" spans="2:6" x14ac:dyDescent="0.3">
      <c r="B27" t="s">
        <v>58</v>
      </c>
      <c r="C27" s="131">
        <f t="shared" ca="1" si="0"/>
        <v>45503.372473379626</v>
      </c>
      <c r="D27" t="s">
        <v>423</v>
      </c>
    </row>
    <row r="28" spans="2:6" x14ac:dyDescent="0.3">
      <c r="B28" t="s">
        <v>59</v>
      </c>
      <c r="C28" s="131">
        <f t="shared" ca="1" si="0"/>
        <v>45503.372473379626</v>
      </c>
      <c r="D28" t="s">
        <v>423</v>
      </c>
    </row>
    <row r="29" spans="2:6" x14ac:dyDescent="0.3">
      <c r="B29" t="s">
        <v>60</v>
      </c>
      <c r="C29" s="131">
        <f t="shared" ca="1" si="0"/>
        <v>45503.372473379626</v>
      </c>
      <c r="D29" t="s">
        <v>423</v>
      </c>
    </row>
    <row r="30" spans="2:6" x14ac:dyDescent="0.3">
      <c r="B30" t="s">
        <v>61</v>
      </c>
      <c r="C30" s="131">
        <f t="shared" ca="1" si="0"/>
        <v>45503.372473379626</v>
      </c>
      <c r="D30" t="s">
        <v>423</v>
      </c>
    </row>
    <row r="31" spans="2:6" x14ac:dyDescent="0.3">
      <c r="B31" t="s">
        <v>73</v>
      </c>
      <c r="C31" s="154">
        <f>+ACQ_TOTAL</f>
        <v>0</v>
      </c>
      <c r="D31" t="s">
        <v>424</v>
      </c>
    </row>
    <row r="32" spans="2:6" x14ac:dyDescent="0.3">
      <c r="B32" t="s">
        <v>425</v>
      </c>
      <c r="C32" s="154">
        <f>+ACQ_TOTAL_ESC</f>
        <v>0</v>
      </c>
      <c r="D32" t="s">
        <v>424</v>
      </c>
      <c r="F32" s="154"/>
    </row>
    <row r="33" spans="2:6" x14ac:dyDescent="0.3">
      <c r="B33" t="s">
        <v>139</v>
      </c>
      <c r="C33" s="154">
        <f>+'A. Acquisition'!C5</f>
        <v>0</v>
      </c>
      <c r="D33" t="s">
        <v>424</v>
      </c>
      <c r="F33" s="154"/>
    </row>
    <row r="34" spans="2:6" x14ac:dyDescent="0.3">
      <c r="B34" t="s">
        <v>140</v>
      </c>
      <c r="C34" s="154">
        <f>+'A. Acquisition'!C6</f>
        <v>0</v>
      </c>
      <c r="D34" t="s">
        <v>424</v>
      </c>
      <c r="F34" s="154"/>
    </row>
    <row r="35" spans="2:6" x14ac:dyDescent="0.3">
      <c r="B35" t="s">
        <v>141</v>
      </c>
      <c r="C35" s="154">
        <f>+'A. Acquisition'!C7</f>
        <v>0</v>
      </c>
      <c r="D35" t="s">
        <v>424</v>
      </c>
      <c r="F35" s="154"/>
    </row>
    <row r="36" spans="2:6" x14ac:dyDescent="0.3">
      <c r="B36" t="s">
        <v>142</v>
      </c>
      <c r="C36" s="154">
        <f>+'A. Acquisition'!C8</f>
        <v>0</v>
      </c>
      <c r="D36" t="s">
        <v>424</v>
      </c>
      <c r="F36" s="154"/>
    </row>
    <row r="37" spans="2:6" x14ac:dyDescent="0.3">
      <c r="B37" t="s">
        <v>143</v>
      </c>
      <c r="C37" s="154">
        <f>+'A. Acquisition'!C9</f>
        <v>0</v>
      </c>
      <c r="D37" t="s">
        <v>424</v>
      </c>
      <c r="F37" s="154"/>
    </row>
    <row r="38" spans="2:6" x14ac:dyDescent="0.3">
      <c r="B38" t="s">
        <v>426</v>
      </c>
      <c r="C38" s="154">
        <f>+C31-SUM(C33:C37)</f>
        <v>0</v>
      </c>
      <c r="D38" t="s">
        <v>424</v>
      </c>
      <c r="F38" s="154"/>
    </row>
    <row r="39" spans="2:6" x14ac:dyDescent="0.3">
      <c r="B39" t="s">
        <v>76</v>
      </c>
      <c r="C39" s="154">
        <f>+PREDESIGN_TOTAL</f>
        <v>0</v>
      </c>
      <c r="D39" t="s">
        <v>424</v>
      </c>
    </row>
    <row r="40" spans="2:6" x14ac:dyDescent="0.3">
      <c r="B40" t="s">
        <v>427</v>
      </c>
      <c r="C40" s="154">
        <f ca="1">+PREDESIGN_TOTAL_ESC</f>
        <v>0</v>
      </c>
      <c r="D40" t="s">
        <v>424</v>
      </c>
      <c r="F40" s="154"/>
    </row>
    <row r="41" spans="2:6" x14ac:dyDescent="0.3">
      <c r="B41" t="s">
        <v>148</v>
      </c>
      <c r="C41" s="154">
        <f>+'B. Consultant Services'!C6</f>
        <v>0</v>
      </c>
      <c r="D41" t="s">
        <v>424</v>
      </c>
      <c r="F41" s="154"/>
    </row>
    <row r="42" spans="2:6" x14ac:dyDescent="0.3">
      <c r="B42" t="s">
        <v>149</v>
      </c>
      <c r="C42" s="154">
        <f>+'B. Consultant Services'!C7</f>
        <v>0</v>
      </c>
      <c r="D42" t="s">
        <v>424</v>
      </c>
      <c r="F42" s="154"/>
    </row>
    <row r="43" spans="2:6" x14ac:dyDescent="0.3">
      <c r="B43" t="s">
        <v>150</v>
      </c>
      <c r="C43" s="154">
        <f>+'B. Consultant Services'!C8</f>
        <v>0</v>
      </c>
      <c r="D43" t="s">
        <v>424</v>
      </c>
      <c r="F43" s="154"/>
    </row>
    <row r="44" spans="2:6" x14ac:dyDescent="0.3">
      <c r="B44" t="s">
        <v>428</v>
      </c>
      <c r="C44" s="154">
        <f>+C39-SUM(C41:C43)</f>
        <v>0</v>
      </c>
      <c r="D44" t="s">
        <v>424</v>
      </c>
      <c r="F44" s="154"/>
    </row>
    <row r="45" spans="2:6" x14ac:dyDescent="0.3">
      <c r="B45" t="s">
        <v>77</v>
      </c>
      <c r="C45" s="154">
        <f>+CONST_DOCS</f>
        <v>0</v>
      </c>
      <c r="D45" t="s">
        <v>424</v>
      </c>
    </row>
    <row r="46" spans="2:6" x14ac:dyDescent="0.3">
      <c r="B46" t="s">
        <v>429</v>
      </c>
      <c r="C46" s="154">
        <f ca="1">+CONST_DOCS_ESC</f>
        <v>0</v>
      </c>
      <c r="D46" t="s">
        <v>424</v>
      </c>
      <c r="F46" s="154"/>
    </row>
    <row r="47" spans="2:6" x14ac:dyDescent="0.3">
      <c r="B47" t="s">
        <v>155</v>
      </c>
      <c r="C47" s="154">
        <f>+'B. Consultant Services'!C14</f>
        <v>0</v>
      </c>
      <c r="D47" t="s">
        <v>424</v>
      </c>
      <c r="F47" s="154"/>
    </row>
    <row r="48" spans="2:6" x14ac:dyDescent="0.3">
      <c r="B48" t="s">
        <v>430</v>
      </c>
      <c r="C48" s="154">
        <f>+C45-C47</f>
        <v>0</v>
      </c>
      <c r="D48" t="s">
        <v>424</v>
      </c>
      <c r="F48" s="154"/>
    </row>
    <row r="49" spans="2:6" x14ac:dyDescent="0.3">
      <c r="B49" t="s">
        <v>78</v>
      </c>
      <c r="C49" s="154">
        <f>+EX_SVCS_TOTAL</f>
        <v>0</v>
      </c>
      <c r="D49" t="s">
        <v>424</v>
      </c>
    </row>
    <row r="50" spans="2:6" x14ac:dyDescent="0.3">
      <c r="B50" t="s">
        <v>431</v>
      </c>
      <c r="C50" s="154">
        <f ca="1">+EX_SVCS_TOTAL_ESC</f>
        <v>0</v>
      </c>
      <c r="D50" t="s">
        <v>424</v>
      </c>
      <c r="F50" s="154"/>
    </row>
    <row r="51" spans="2:6" x14ac:dyDescent="0.3">
      <c r="B51" t="s">
        <v>159</v>
      </c>
      <c r="C51" s="154">
        <f>+'B. Consultant Services'!C20</f>
        <v>0</v>
      </c>
      <c r="D51" t="s">
        <v>424</v>
      </c>
      <c r="F51" s="154"/>
    </row>
    <row r="52" spans="2:6" x14ac:dyDescent="0.3">
      <c r="B52" t="s">
        <v>160</v>
      </c>
      <c r="C52" s="154">
        <f>+'B. Consultant Services'!C21</f>
        <v>0</v>
      </c>
      <c r="D52" t="s">
        <v>424</v>
      </c>
      <c r="F52" s="154"/>
    </row>
    <row r="53" spans="2:6" x14ac:dyDescent="0.3">
      <c r="B53" t="s">
        <v>161</v>
      </c>
      <c r="C53" s="154">
        <f>+'B. Consultant Services'!C22</f>
        <v>0</v>
      </c>
      <c r="D53" t="s">
        <v>424</v>
      </c>
      <c r="F53" s="154"/>
    </row>
    <row r="54" spans="2:6" x14ac:dyDescent="0.3">
      <c r="B54" t="s">
        <v>162</v>
      </c>
      <c r="C54" s="154">
        <f>+'B. Consultant Services'!C23</f>
        <v>0</v>
      </c>
      <c r="D54" t="s">
        <v>424</v>
      </c>
      <c r="F54" s="154"/>
    </row>
    <row r="55" spans="2:6" x14ac:dyDescent="0.3">
      <c r="B55" t="s">
        <v>163</v>
      </c>
      <c r="C55" s="154">
        <f>+'B. Consultant Services'!C24</f>
        <v>0</v>
      </c>
      <c r="D55" t="s">
        <v>424</v>
      </c>
      <c r="F55" s="154"/>
    </row>
    <row r="56" spans="2:6" x14ac:dyDescent="0.3">
      <c r="B56" t="s">
        <v>164</v>
      </c>
      <c r="C56" s="154">
        <f>+'B. Consultant Services'!C25</f>
        <v>0</v>
      </c>
      <c r="D56" t="s">
        <v>424</v>
      </c>
      <c r="F56" s="154"/>
    </row>
    <row r="57" spans="2:6" x14ac:dyDescent="0.3">
      <c r="B57" t="s">
        <v>165</v>
      </c>
      <c r="C57" s="154">
        <f>+'B. Consultant Services'!C26</f>
        <v>0</v>
      </c>
      <c r="D57" t="s">
        <v>424</v>
      </c>
      <c r="F57" s="154"/>
    </row>
    <row r="58" spans="2:6" x14ac:dyDescent="0.3">
      <c r="B58" t="s">
        <v>166</v>
      </c>
      <c r="C58" s="154">
        <f>+'B. Consultant Services'!C27</f>
        <v>0</v>
      </c>
      <c r="D58" t="s">
        <v>424</v>
      </c>
      <c r="F58" s="154"/>
    </row>
    <row r="59" spans="2:6" x14ac:dyDescent="0.3">
      <c r="B59" t="s">
        <v>167</v>
      </c>
      <c r="C59" s="154">
        <f>+'B. Consultant Services'!C28</f>
        <v>0</v>
      </c>
      <c r="D59" t="s">
        <v>424</v>
      </c>
      <c r="F59" s="154"/>
    </row>
    <row r="60" spans="2:6" x14ac:dyDescent="0.3">
      <c r="B60" t="s">
        <v>168</v>
      </c>
      <c r="C60" s="154">
        <f>+'B. Consultant Services'!C29</f>
        <v>0</v>
      </c>
      <c r="D60" t="s">
        <v>424</v>
      </c>
      <c r="F60" s="154"/>
    </row>
    <row r="61" spans="2:6" x14ac:dyDescent="0.3">
      <c r="B61" t="s">
        <v>169</v>
      </c>
      <c r="C61" s="154">
        <f>+'B. Consultant Services'!C30</f>
        <v>0</v>
      </c>
      <c r="D61" t="s">
        <v>424</v>
      </c>
      <c r="F61" s="154"/>
    </row>
    <row r="62" spans="2:6" x14ac:dyDescent="0.3">
      <c r="B62" t="s">
        <v>432</v>
      </c>
      <c r="C62" s="154">
        <f>+C49-SUM(C51:C61)</f>
        <v>0</v>
      </c>
      <c r="D62" t="s">
        <v>424</v>
      </c>
      <c r="F62" s="154"/>
    </row>
    <row r="63" spans="2:6" x14ac:dyDescent="0.3">
      <c r="B63" t="s">
        <v>79</v>
      </c>
      <c r="C63" s="154">
        <f>+OTHER_SVCS_TOTAL</f>
        <v>0</v>
      </c>
      <c r="D63" t="s">
        <v>424</v>
      </c>
    </row>
    <row r="64" spans="2:6" x14ac:dyDescent="0.3">
      <c r="B64" t="s">
        <v>433</v>
      </c>
      <c r="C64" s="154">
        <f ca="1">+OTHER_SVCS_TOTAL_ESC</f>
        <v>0</v>
      </c>
      <c r="D64" t="s">
        <v>424</v>
      </c>
      <c r="F64" s="154"/>
    </row>
    <row r="65" spans="2:6" x14ac:dyDescent="0.3">
      <c r="B65" t="s">
        <v>171</v>
      </c>
      <c r="C65" s="154">
        <f>+'B. Consultant Services'!C36</f>
        <v>0</v>
      </c>
      <c r="D65" t="s">
        <v>424</v>
      </c>
      <c r="F65" s="154"/>
    </row>
    <row r="66" spans="2:6" x14ac:dyDescent="0.3">
      <c r="B66" t="s">
        <v>173</v>
      </c>
      <c r="C66" s="154">
        <f>+'B. Consultant Services'!C37</f>
        <v>0</v>
      </c>
      <c r="D66" t="s">
        <v>424</v>
      </c>
      <c r="F66" s="154"/>
    </row>
    <row r="67" spans="2:6" x14ac:dyDescent="0.3">
      <c r="B67" t="s">
        <v>174</v>
      </c>
      <c r="C67" s="154">
        <f>+'B. Consultant Services'!C38</f>
        <v>0</v>
      </c>
      <c r="D67" t="s">
        <v>424</v>
      </c>
      <c r="F67" s="154"/>
    </row>
    <row r="68" spans="2:6" x14ac:dyDescent="0.3">
      <c r="B68" t="s">
        <v>434</v>
      </c>
      <c r="C68" s="154">
        <f>+C63-SUM(C65:C67)</f>
        <v>0</v>
      </c>
      <c r="D68" t="s">
        <v>424</v>
      </c>
      <c r="F68" s="154"/>
    </row>
    <row r="69" spans="2:6" x14ac:dyDescent="0.3">
      <c r="B69" t="s">
        <v>80</v>
      </c>
      <c r="C69" s="154">
        <f>+DES_CONT_TOTAL</f>
        <v>0</v>
      </c>
      <c r="D69" t="s">
        <v>424</v>
      </c>
    </row>
    <row r="70" spans="2:6" x14ac:dyDescent="0.3">
      <c r="B70" t="s">
        <v>435</v>
      </c>
      <c r="C70" s="154">
        <f ca="1">+DES_CONT_TOTAL_ESC</f>
        <v>0</v>
      </c>
      <c r="D70" t="s">
        <v>424</v>
      </c>
      <c r="F70" s="154"/>
    </row>
    <row r="71" spans="2:6" x14ac:dyDescent="0.3">
      <c r="B71" t="s">
        <v>436</v>
      </c>
      <c r="C71" s="154">
        <f>+'B. Consultant Services'!C44</f>
        <v>0</v>
      </c>
      <c r="D71" t="s">
        <v>424</v>
      </c>
      <c r="F71" s="154"/>
    </row>
    <row r="72" spans="2:6" x14ac:dyDescent="0.3">
      <c r="B72" t="s">
        <v>437</v>
      </c>
      <c r="C72" s="154">
        <f>+C69-C71</f>
        <v>0</v>
      </c>
      <c r="D72" t="s">
        <v>424</v>
      </c>
      <c r="F72" s="154"/>
    </row>
    <row r="73" spans="2:6" x14ac:dyDescent="0.3">
      <c r="B73" t="s">
        <v>81</v>
      </c>
      <c r="C73" s="154">
        <f>+CONSUL_TOTAL</f>
        <v>0</v>
      </c>
      <c r="D73" t="s">
        <v>424</v>
      </c>
    </row>
    <row r="74" spans="2:6" x14ac:dyDescent="0.3">
      <c r="B74" t="s">
        <v>438</v>
      </c>
      <c r="C74" s="154">
        <f ca="1">+CONSUL_TOTAL_ESC</f>
        <v>0</v>
      </c>
      <c r="D74" t="s">
        <v>424</v>
      </c>
      <c r="F74" s="154"/>
    </row>
    <row r="75" spans="2:6" x14ac:dyDescent="0.3">
      <c r="B75" t="s">
        <v>439</v>
      </c>
      <c r="C75" s="154">
        <f>+SITE_TOTAL</f>
        <v>0</v>
      </c>
      <c r="D75" t="s">
        <v>424</v>
      </c>
      <c r="F75" s="154"/>
    </row>
    <row r="76" spans="2:6" x14ac:dyDescent="0.3">
      <c r="B76" t="s">
        <v>440</v>
      </c>
      <c r="C76" s="154">
        <f ca="1">+SITE_TOTAL_ESC</f>
        <v>0</v>
      </c>
      <c r="D76" t="s">
        <v>424</v>
      </c>
      <c r="F76" s="154"/>
    </row>
    <row r="77" spans="2:6" x14ac:dyDescent="0.3">
      <c r="B77" t="s">
        <v>180</v>
      </c>
      <c r="C77" s="154">
        <f>+'C. Construction Contracts'!C6</f>
        <v>0</v>
      </c>
      <c r="D77" t="s">
        <v>424</v>
      </c>
      <c r="F77" s="154"/>
    </row>
    <row r="78" spans="2:6" x14ac:dyDescent="0.3">
      <c r="B78" t="s">
        <v>181</v>
      </c>
      <c r="C78" s="154">
        <f>+'C. Construction Contracts'!C7</f>
        <v>0</v>
      </c>
      <c r="D78" t="s">
        <v>424</v>
      </c>
      <c r="F78" s="154"/>
    </row>
    <row r="79" spans="2:6" x14ac:dyDescent="0.3">
      <c r="B79" t="s">
        <v>182</v>
      </c>
      <c r="C79" s="154">
        <f>+'C. Construction Contracts'!C8</f>
        <v>0</v>
      </c>
      <c r="D79" t="s">
        <v>424</v>
      </c>
      <c r="F79" s="154"/>
    </row>
    <row r="80" spans="2:6" x14ac:dyDescent="0.3">
      <c r="B80" t="s">
        <v>183</v>
      </c>
      <c r="C80" s="154">
        <f>+'C. Construction Contracts'!C9</f>
        <v>0</v>
      </c>
      <c r="D80" t="s">
        <v>424</v>
      </c>
      <c r="F80" s="154"/>
    </row>
    <row r="81" spans="2:6" x14ac:dyDescent="0.3">
      <c r="B81" t="s">
        <v>184</v>
      </c>
      <c r="C81" s="154">
        <f>+'C. Construction Contracts'!C10</f>
        <v>0</v>
      </c>
      <c r="D81" t="s">
        <v>424</v>
      </c>
      <c r="F81" s="154"/>
    </row>
    <row r="82" spans="2:6" x14ac:dyDescent="0.3">
      <c r="B82" t="s">
        <v>441</v>
      </c>
      <c r="C82" s="154">
        <f>+C75-SUM(C77:C81)</f>
        <v>0</v>
      </c>
      <c r="D82" t="s">
        <v>424</v>
      </c>
      <c r="F82" s="154"/>
    </row>
    <row r="83" spans="2:6" x14ac:dyDescent="0.3">
      <c r="B83" t="s">
        <v>442</v>
      </c>
      <c r="C83" s="154">
        <f>+RELATED_COSTS_TOTAL</f>
        <v>0</v>
      </c>
      <c r="D83" t="s">
        <v>424</v>
      </c>
      <c r="F83" s="154"/>
    </row>
    <row r="84" spans="2:6" x14ac:dyDescent="0.3">
      <c r="B84" t="s">
        <v>443</v>
      </c>
      <c r="C84" s="154">
        <f ca="1">+RELATED_COSTS_TOTAL_ESC</f>
        <v>0</v>
      </c>
      <c r="D84" t="s">
        <v>424</v>
      </c>
      <c r="F84" s="154"/>
    </row>
    <row r="85" spans="2:6" x14ac:dyDescent="0.3">
      <c r="B85" t="s">
        <v>186</v>
      </c>
      <c r="C85" s="154">
        <f>+'C. Construction Contracts'!C16</f>
        <v>0</v>
      </c>
      <c r="D85" t="s">
        <v>424</v>
      </c>
      <c r="F85" s="154"/>
    </row>
    <row r="86" spans="2:6" x14ac:dyDescent="0.3">
      <c r="B86" t="s">
        <v>187</v>
      </c>
      <c r="C86" s="154">
        <f>+'C. Construction Contracts'!C17</f>
        <v>0</v>
      </c>
      <c r="D86" t="s">
        <v>424</v>
      </c>
      <c r="F86" s="154"/>
    </row>
    <row r="87" spans="2:6" x14ac:dyDescent="0.3">
      <c r="B87" t="s">
        <v>188</v>
      </c>
      <c r="C87" s="154">
        <f>+'C. Construction Contracts'!C18</f>
        <v>0</v>
      </c>
      <c r="D87" t="s">
        <v>424</v>
      </c>
      <c r="F87" s="154"/>
    </row>
    <row r="88" spans="2:6" x14ac:dyDescent="0.3">
      <c r="B88" t="s">
        <v>189</v>
      </c>
      <c r="C88" s="154">
        <f>+'C. Construction Contracts'!C19</f>
        <v>0</v>
      </c>
      <c r="D88" t="s">
        <v>424</v>
      </c>
      <c r="F88" s="154"/>
    </row>
    <row r="89" spans="2:6" x14ac:dyDescent="0.3">
      <c r="B89" t="s">
        <v>444</v>
      </c>
      <c r="C89" s="154">
        <f>+C83-SUM(C85:C88)</f>
        <v>0</v>
      </c>
      <c r="D89" t="s">
        <v>424</v>
      </c>
      <c r="F89" s="154"/>
    </row>
    <row r="90" spans="2:6" x14ac:dyDescent="0.3">
      <c r="B90" t="s">
        <v>445</v>
      </c>
      <c r="C90" s="154">
        <f>+FACILITY_TOTAL</f>
        <v>0</v>
      </c>
      <c r="D90" t="s">
        <v>424</v>
      </c>
      <c r="F90" s="154"/>
    </row>
    <row r="91" spans="2:6" x14ac:dyDescent="0.3">
      <c r="B91" t="s">
        <v>446</v>
      </c>
      <c r="C91" s="154">
        <f ca="1">+FACILITY_TOTAL_ESC</f>
        <v>0</v>
      </c>
      <c r="D91" t="s">
        <v>424</v>
      </c>
      <c r="F91" s="154"/>
    </row>
    <row r="92" spans="2:6" x14ac:dyDescent="0.3">
      <c r="B92" t="s">
        <v>191</v>
      </c>
      <c r="C92" s="154">
        <f>+'C. Construction Contracts'!C25</f>
        <v>0</v>
      </c>
      <c r="D92" t="s">
        <v>424</v>
      </c>
      <c r="F92" s="154"/>
    </row>
    <row r="93" spans="2:6" x14ac:dyDescent="0.3">
      <c r="B93" t="s">
        <v>192</v>
      </c>
      <c r="C93" s="154">
        <f>+'C. Construction Contracts'!C26</f>
        <v>0</v>
      </c>
      <c r="D93" t="s">
        <v>424</v>
      </c>
      <c r="F93" s="154"/>
    </row>
    <row r="94" spans="2:6" x14ac:dyDescent="0.3">
      <c r="B94" t="s">
        <v>193</v>
      </c>
      <c r="C94" s="154">
        <f>+'C. Construction Contracts'!C27</f>
        <v>0</v>
      </c>
      <c r="D94" t="s">
        <v>424</v>
      </c>
      <c r="F94" s="154"/>
    </row>
    <row r="95" spans="2:6" x14ac:dyDescent="0.3">
      <c r="B95" t="s">
        <v>194</v>
      </c>
      <c r="C95" s="154">
        <f>+'C. Construction Contracts'!C28</f>
        <v>0</v>
      </c>
      <c r="D95" t="s">
        <v>424</v>
      </c>
      <c r="F95" s="154"/>
    </row>
    <row r="96" spans="2:6" x14ac:dyDescent="0.3">
      <c r="B96" t="s">
        <v>195</v>
      </c>
      <c r="C96" s="154">
        <f>+'C. Construction Contracts'!C29</f>
        <v>0</v>
      </c>
      <c r="D96" t="s">
        <v>424</v>
      </c>
      <c r="F96" s="154"/>
    </row>
    <row r="97" spans="2:6" x14ac:dyDescent="0.3">
      <c r="B97" t="s">
        <v>196</v>
      </c>
      <c r="C97" s="154">
        <f>+'C. Construction Contracts'!C30</f>
        <v>0</v>
      </c>
      <c r="D97" t="s">
        <v>424</v>
      </c>
      <c r="F97" s="154"/>
    </row>
    <row r="98" spans="2:6" x14ac:dyDescent="0.3">
      <c r="B98" t="s">
        <v>197</v>
      </c>
      <c r="C98" s="154">
        <f>+'C. Construction Contracts'!C31</f>
        <v>0</v>
      </c>
      <c r="D98" t="s">
        <v>424</v>
      </c>
      <c r="F98" s="154"/>
    </row>
    <row r="99" spans="2:6" x14ac:dyDescent="0.3">
      <c r="B99" t="s">
        <v>198</v>
      </c>
      <c r="C99" s="154">
        <f>+'C. Construction Contracts'!C32</f>
        <v>0</v>
      </c>
      <c r="D99" t="s">
        <v>424</v>
      </c>
      <c r="F99" s="154"/>
    </row>
    <row r="100" spans="2:6" x14ac:dyDescent="0.3">
      <c r="B100" t="s">
        <v>199</v>
      </c>
      <c r="C100" s="154">
        <f>+'C. Construction Contracts'!C33</f>
        <v>0</v>
      </c>
      <c r="D100" t="s">
        <v>424</v>
      </c>
      <c r="F100" s="154"/>
    </row>
    <row r="101" spans="2:6" x14ac:dyDescent="0.3">
      <c r="B101" t="s">
        <v>200</v>
      </c>
      <c r="C101" s="154">
        <f>+'C. Construction Contracts'!C34</f>
        <v>0</v>
      </c>
      <c r="D101" t="s">
        <v>424</v>
      </c>
      <c r="F101" s="154"/>
    </row>
    <row r="102" spans="2:6" x14ac:dyDescent="0.3">
      <c r="B102" t="s">
        <v>201</v>
      </c>
      <c r="C102" s="154">
        <f>+'C. Construction Contracts'!C35</f>
        <v>0</v>
      </c>
      <c r="D102" t="s">
        <v>424</v>
      </c>
      <c r="F102" s="154"/>
    </row>
    <row r="103" spans="2:6" x14ac:dyDescent="0.3">
      <c r="B103" t="s">
        <v>202</v>
      </c>
      <c r="C103" s="154">
        <f>+'C. Construction Contracts'!C36</f>
        <v>0</v>
      </c>
      <c r="D103" t="s">
        <v>424</v>
      </c>
      <c r="F103" s="154"/>
    </row>
    <row r="104" spans="2:6" x14ac:dyDescent="0.3">
      <c r="B104" t="s">
        <v>203</v>
      </c>
      <c r="C104" s="154">
        <f>+'C. Construction Contracts'!C37</f>
        <v>0</v>
      </c>
      <c r="D104" t="s">
        <v>424</v>
      </c>
      <c r="F104" s="154"/>
    </row>
    <row r="105" spans="2:6" x14ac:dyDescent="0.3">
      <c r="B105" t="s">
        <v>204</v>
      </c>
      <c r="C105" s="154">
        <f>+'C. Construction Contracts'!C38</f>
        <v>0</v>
      </c>
      <c r="D105" t="s">
        <v>424</v>
      </c>
      <c r="F105" s="154"/>
    </row>
    <row r="106" spans="2:6" x14ac:dyDescent="0.3">
      <c r="B106" t="s">
        <v>205</v>
      </c>
      <c r="C106" s="154">
        <f>+'C. Construction Contracts'!C39</f>
        <v>0</v>
      </c>
      <c r="D106" t="s">
        <v>424</v>
      </c>
      <c r="F106" s="154"/>
    </row>
    <row r="107" spans="2:6" x14ac:dyDescent="0.3">
      <c r="B107" t="s">
        <v>206</v>
      </c>
      <c r="C107" s="154">
        <f>+'C. Construction Contracts'!C40</f>
        <v>0</v>
      </c>
      <c r="D107" t="s">
        <v>424</v>
      </c>
      <c r="F107" s="154"/>
    </row>
    <row r="108" spans="2:6" x14ac:dyDescent="0.3">
      <c r="B108" t="s">
        <v>447</v>
      </c>
      <c r="C108" s="154">
        <f>C90-SUM(C92:C107)</f>
        <v>0</v>
      </c>
      <c r="D108" t="s">
        <v>424</v>
      </c>
      <c r="F108" s="154"/>
    </row>
    <row r="109" spans="2:6" x14ac:dyDescent="0.3">
      <c r="B109" t="s">
        <v>288</v>
      </c>
      <c r="C109" s="154">
        <f>+MACC</f>
        <v>0</v>
      </c>
      <c r="D109" t="s">
        <v>424</v>
      </c>
      <c r="F109" s="154"/>
    </row>
    <row r="110" spans="2:6" x14ac:dyDescent="0.3">
      <c r="B110" t="s">
        <v>448</v>
      </c>
      <c r="C110" s="154">
        <f ca="1">+MACC_ESC</f>
        <v>0</v>
      </c>
      <c r="D110" t="s">
        <v>424</v>
      </c>
      <c r="F110" s="154"/>
    </row>
    <row r="111" spans="2:6" x14ac:dyDescent="0.3">
      <c r="B111" t="s">
        <v>449</v>
      </c>
      <c r="C111" s="154">
        <f>+GCCM_RISK</f>
        <v>0</v>
      </c>
      <c r="D111" t="s">
        <v>424</v>
      </c>
      <c r="F111" s="154"/>
    </row>
    <row r="112" spans="2:6" x14ac:dyDescent="0.3">
      <c r="B112" t="s">
        <v>450</v>
      </c>
      <c r="C112" s="154">
        <f ca="1">+GCCM_RISK_ESC</f>
        <v>0</v>
      </c>
      <c r="D112" t="s">
        <v>424</v>
      </c>
      <c r="F112" s="154"/>
    </row>
    <row r="113" spans="2:6" x14ac:dyDescent="0.3">
      <c r="B113" t="s">
        <v>451</v>
      </c>
      <c r="C113" s="154">
        <f>+'C. Construction Contracts'!C50</f>
        <v>0</v>
      </c>
      <c r="D113" t="s">
        <v>424</v>
      </c>
      <c r="F113" s="154"/>
    </row>
    <row r="114" spans="2:6" x14ac:dyDescent="0.3">
      <c r="B114" t="s">
        <v>452</v>
      </c>
      <c r="C114" s="154">
        <f>+C111-C113</f>
        <v>0</v>
      </c>
      <c r="D114" t="s">
        <v>424</v>
      </c>
      <c r="F114" s="154"/>
    </row>
    <row r="115" spans="2:6" x14ac:dyDescent="0.3">
      <c r="B115" t="s">
        <v>453</v>
      </c>
      <c r="C115" s="154">
        <f>+GCCM_DB_TOTAL</f>
        <v>0</v>
      </c>
      <c r="D115" t="s">
        <v>424</v>
      </c>
      <c r="F115" s="154"/>
    </row>
    <row r="116" spans="2:6" x14ac:dyDescent="0.3">
      <c r="B116" t="s">
        <v>454</v>
      </c>
      <c r="C116" s="154">
        <f ca="1">+GCCM_DB_TOTAL_ESC</f>
        <v>0</v>
      </c>
      <c r="D116" t="s">
        <v>424</v>
      </c>
      <c r="F116" s="154"/>
    </row>
    <row r="117" spans="2:6" x14ac:dyDescent="0.3">
      <c r="B117" t="s">
        <v>455</v>
      </c>
      <c r="C117" s="154">
        <f>+'C. Construction Contracts'!C56</f>
        <v>0</v>
      </c>
      <c r="D117" t="s">
        <v>424</v>
      </c>
      <c r="F117" s="154"/>
    </row>
    <row r="118" spans="2:6" x14ac:dyDescent="0.3">
      <c r="B118" t="s">
        <v>456</v>
      </c>
      <c r="C118" s="154">
        <f>+'C. Construction Contracts'!C57</f>
        <v>0</v>
      </c>
      <c r="D118" t="s">
        <v>424</v>
      </c>
      <c r="F118" s="154"/>
    </row>
    <row r="119" spans="2:6" x14ac:dyDescent="0.3">
      <c r="B119" t="s">
        <v>457</v>
      </c>
      <c r="C119" s="154">
        <f>+'C. Construction Contracts'!C58</f>
        <v>0</v>
      </c>
      <c r="D119" t="s">
        <v>424</v>
      </c>
      <c r="F119" s="154"/>
    </row>
    <row r="120" spans="2:6" x14ac:dyDescent="0.3">
      <c r="B120" t="s">
        <v>458</v>
      </c>
      <c r="C120" s="154">
        <f>+C115-SUM(C117:C119)</f>
        <v>0</v>
      </c>
      <c r="D120" t="s">
        <v>424</v>
      </c>
      <c r="F120" s="154"/>
    </row>
    <row r="121" spans="2:6" x14ac:dyDescent="0.3">
      <c r="B121" t="s">
        <v>86</v>
      </c>
      <c r="C121" s="154">
        <f>+CONT</f>
        <v>0</v>
      </c>
      <c r="D121" t="s">
        <v>424</v>
      </c>
      <c r="F121" s="154"/>
    </row>
    <row r="122" spans="2:6" x14ac:dyDescent="0.3">
      <c r="B122" t="s">
        <v>459</v>
      </c>
      <c r="C122" s="154">
        <f ca="1">+CONT_ESC</f>
        <v>0</v>
      </c>
      <c r="D122" t="s">
        <v>424</v>
      </c>
      <c r="F122" s="154"/>
    </row>
    <row r="123" spans="2:6" x14ac:dyDescent="0.3">
      <c r="B123" t="s">
        <v>213</v>
      </c>
      <c r="C123" s="154">
        <f>+'C. Construction Contracts'!C68</f>
        <v>0</v>
      </c>
      <c r="D123" t="s">
        <v>424</v>
      </c>
      <c r="F123" s="154"/>
    </row>
    <row r="124" spans="2:6" x14ac:dyDescent="0.3">
      <c r="B124" t="s">
        <v>460</v>
      </c>
      <c r="C124" s="154">
        <f>+C121-C123</f>
        <v>0</v>
      </c>
      <c r="D124" t="s">
        <v>424</v>
      </c>
      <c r="F124" s="154"/>
    </row>
    <row r="125" spans="2:6" x14ac:dyDescent="0.3">
      <c r="B125" t="s">
        <v>461</v>
      </c>
      <c r="C125" s="154">
        <f>+'C. Construction Contracts'!C76</f>
        <v>0</v>
      </c>
      <c r="D125" t="s">
        <v>424</v>
      </c>
      <c r="F125" s="154"/>
    </row>
    <row r="126" spans="2:6" x14ac:dyDescent="0.3">
      <c r="B126" t="s">
        <v>462</v>
      </c>
      <c r="C126" s="154">
        <f ca="1">+'C. Construction Contracts'!F76</f>
        <v>0</v>
      </c>
      <c r="D126" t="s">
        <v>424</v>
      </c>
      <c r="F126" s="154"/>
    </row>
    <row r="127" spans="2:6" x14ac:dyDescent="0.3">
      <c r="B127" t="s">
        <v>88</v>
      </c>
      <c r="C127" s="154">
        <f>+SALES_TAX</f>
        <v>0</v>
      </c>
      <c r="D127" t="s">
        <v>424</v>
      </c>
      <c r="F127" s="154"/>
    </row>
    <row r="128" spans="2:6" x14ac:dyDescent="0.3">
      <c r="B128" t="s">
        <v>463</v>
      </c>
      <c r="C128" s="154">
        <f ca="1">+SALES_TAX_ESC</f>
        <v>0</v>
      </c>
      <c r="D128" t="s">
        <v>424</v>
      </c>
      <c r="F128" s="154"/>
    </row>
    <row r="129" spans="2:6" x14ac:dyDescent="0.3">
      <c r="B129" t="s">
        <v>216</v>
      </c>
      <c r="C129" s="154">
        <f>+CONST_TOTAL</f>
        <v>0</v>
      </c>
      <c r="D129" t="s">
        <v>424</v>
      </c>
      <c r="F129" s="154"/>
    </row>
    <row r="130" spans="2:6" x14ac:dyDescent="0.3">
      <c r="B130" t="s">
        <v>464</v>
      </c>
      <c r="C130" s="154">
        <f ca="1">+CONST_TOTAL_ESC</f>
        <v>0</v>
      </c>
      <c r="D130" t="s">
        <v>424</v>
      </c>
      <c r="F130" s="154"/>
    </row>
    <row r="131" spans="2:6" x14ac:dyDescent="0.3">
      <c r="B131" t="s">
        <v>92</v>
      </c>
      <c r="C131" s="154">
        <f>+EQUIP_SUBTOTAL</f>
        <v>0</v>
      </c>
      <c r="D131" t="s">
        <v>424</v>
      </c>
      <c r="F131" s="154"/>
    </row>
    <row r="132" spans="2:6" x14ac:dyDescent="0.3">
      <c r="B132" t="s">
        <v>465</v>
      </c>
      <c r="C132" s="154">
        <f ca="1">+EQUIP_SUBTOTAL_ESC</f>
        <v>0</v>
      </c>
      <c r="D132" t="s">
        <v>424</v>
      </c>
      <c r="F132" s="154"/>
    </row>
    <row r="133" spans="2:6" x14ac:dyDescent="0.3">
      <c r="B133" t="s">
        <v>218</v>
      </c>
      <c r="C133" s="154">
        <f>+'D. Equipment'!C6</f>
        <v>0</v>
      </c>
      <c r="D133" t="s">
        <v>424</v>
      </c>
      <c r="F133" s="154"/>
    </row>
    <row r="134" spans="2:6" x14ac:dyDescent="0.3">
      <c r="B134" t="s">
        <v>219</v>
      </c>
      <c r="C134" s="154">
        <f>+'D. Equipment'!C7</f>
        <v>0</v>
      </c>
      <c r="D134" t="s">
        <v>424</v>
      </c>
      <c r="F134" s="154"/>
    </row>
    <row r="135" spans="2:6" x14ac:dyDescent="0.3">
      <c r="B135" t="s">
        <v>466</v>
      </c>
      <c r="C135" s="154">
        <f>+'D. Equipment'!C8</f>
        <v>0</v>
      </c>
      <c r="D135" t="s">
        <v>424</v>
      </c>
      <c r="F135" s="154"/>
    </row>
    <row r="136" spans="2:6" x14ac:dyDescent="0.3">
      <c r="B136" t="s">
        <v>467</v>
      </c>
      <c r="C136" s="154">
        <f>C131-SUM(C133:C135)</f>
        <v>0</v>
      </c>
      <c r="D136" t="s">
        <v>424</v>
      </c>
      <c r="F136" s="154"/>
    </row>
    <row r="137" spans="2:6" x14ac:dyDescent="0.3">
      <c r="B137" t="s">
        <v>468</v>
      </c>
      <c r="C137" s="154">
        <f>+EQUIP_NON_TAX</f>
        <v>0</v>
      </c>
      <c r="D137" t="s">
        <v>424</v>
      </c>
      <c r="F137" s="154"/>
    </row>
    <row r="138" spans="2:6" x14ac:dyDescent="0.3">
      <c r="B138" t="s">
        <v>469</v>
      </c>
      <c r="C138" s="154">
        <f ca="1">+EQUIP_NON_TAX_ESC</f>
        <v>0</v>
      </c>
      <c r="D138" t="s">
        <v>424</v>
      </c>
      <c r="F138" s="154"/>
    </row>
    <row r="139" spans="2:6" x14ac:dyDescent="0.3">
      <c r="B139" t="s">
        <v>470</v>
      </c>
      <c r="C139" s="154">
        <f>+EQUIP_SALES_TAX</f>
        <v>0</v>
      </c>
      <c r="D139" t="s">
        <v>424</v>
      </c>
      <c r="F139" s="154"/>
    </row>
    <row r="140" spans="2:6" x14ac:dyDescent="0.3">
      <c r="B140" t="s">
        <v>471</v>
      </c>
      <c r="C140" s="154">
        <f ca="1">+EQUIP_SALES_TAX_ESC</f>
        <v>0</v>
      </c>
      <c r="D140" t="s">
        <v>424</v>
      </c>
      <c r="F140" s="154"/>
    </row>
    <row r="141" spans="2:6" x14ac:dyDescent="0.3">
      <c r="B141" t="s">
        <v>152</v>
      </c>
      <c r="C141" s="154">
        <v>1.5</v>
      </c>
      <c r="D141" t="s">
        <v>424</v>
      </c>
      <c r="F141" s="154"/>
    </row>
    <row r="142" spans="2:6" x14ac:dyDescent="0.3">
      <c r="B142" t="s">
        <v>222</v>
      </c>
      <c r="C142" s="154">
        <f>+EQUIP_TOTAL</f>
        <v>0</v>
      </c>
      <c r="D142" t="s">
        <v>424</v>
      </c>
      <c r="F142" s="154"/>
    </row>
    <row r="143" spans="2:6" x14ac:dyDescent="0.3">
      <c r="B143" t="s">
        <v>472</v>
      </c>
      <c r="C143" s="154">
        <f ca="1">+EQUIP_TOTAL_ESC</f>
        <v>0</v>
      </c>
      <c r="D143" t="s">
        <v>424</v>
      </c>
      <c r="F143" s="154"/>
    </row>
    <row r="144" spans="2:6" x14ac:dyDescent="0.3">
      <c r="B144" t="s">
        <v>224</v>
      </c>
      <c r="C144" s="154">
        <f ca="1">+'E. Artwork'!C6</f>
        <v>0</v>
      </c>
      <c r="D144" t="s">
        <v>424</v>
      </c>
      <c r="F144" s="154"/>
    </row>
    <row r="145" spans="2:6" x14ac:dyDescent="0.3">
      <c r="B145" t="s">
        <v>226</v>
      </c>
      <c r="C145" s="154">
        <f>+'E. Artwork'!C7</f>
        <v>0</v>
      </c>
      <c r="D145" t="s">
        <v>424</v>
      </c>
      <c r="F145" s="154"/>
    </row>
    <row r="146" spans="2:6" x14ac:dyDescent="0.3">
      <c r="B146" t="s">
        <v>473</v>
      </c>
      <c r="C146" s="154">
        <f ca="1">+C147-C145</f>
        <v>0</v>
      </c>
      <c r="D146" t="s">
        <v>424</v>
      </c>
      <c r="F146" s="154"/>
    </row>
    <row r="147" spans="2:6" x14ac:dyDescent="0.3">
      <c r="B147" t="s">
        <v>228</v>
      </c>
      <c r="C147" s="154">
        <f ca="1">+ART_TOTAL</f>
        <v>0</v>
      </c>
      <c r="D147" t="s">
        <v>424</v>
      </c>
      <c r="F147" s="154"/>
    </row>
    <row r="148" spans="2:6" x14ac:dyDescent="0.3">
      <c r="B148" t="s">
        <v>474</v>
      </c>
      <c r="C148" s="154">
        <f ca="1">+ART_TOTAL_ESC</f>
        <v>0</v>
      </c>
      <c r="D148" t="s">
        <v>424</v>
      </c>
      <c r="F148" s="154"/>
    </row>
    <row r="149" spans="2:6" x14ac:dyDescent="0.3">
      <c r="B149" t="s">
        <v>234</v>
      </c>
      <c r="C149" s="154">
        <f>PM_TOTAL</f>
        <v>0</v>
      </c>
      <c r="D149" t="s">
        <v>424</v>
      </c>
    </row>
    <row r="150" spans="2:6" x14ac:dyDescent="0.3">
      <c r="B150" t="s">
        <v>475</v>
      </c>
      <c r="C150" s="154">
        <f ca="1">PM_TOTAL_ESC</f>
        <v>0</v>
      </c>
      <c r="D150" t="s">
        <v>424</v>
      </c>
    </row>
    <row r="151" spans="2:6" x14ac:dyDescent="0.3">
      <c r="B151" t="s">
        <v>99</v>
      </c>
      <c r="C151" s="154">
        <f>AGENCY_PM</f>
        <v>0</v>
      </c>
      <c r="D151" t="s">
        <v>424</v>
      </c>
    </row>
    <row r="152" spans="2:6" x14ac:dyDescent="0.3">
      <c r="B152" t="s">
        <v>100</v>
      </c>
      <c r="C152" s="154">
        <f>DES_ADD_SVCS</f>
        <v>0</v>
      </c>
      <c r="D152" t="s">
        <v>424</v>
      </c>
    </row>
    <row r="153" spans="2:6" x14ac:dyDescent="0.3">
      <c r="B153" t="s">
        <v>101</v>
      </c>
      <c r="C153" s="154">
        <f>C149-SUM(C151:C152)</f>
        <v>0</v>
      </c>
      <c r="D153" t="s">
        <v>424</v>
      </c>
    </row>
    <row r="154" spans="2:6" x14ac:dyDescent="0.3">
      <c r="B154" t="s">
        <v>238</v>
      </c>
      <c r="C154" s="154">
        <f>OTHER_TOTAL</f>
        <v>0</v>
      </c>
      <c r="D154" t="s">
        <v>424</v>
      </c>
    </row>
    <row r="155" spans="2:6" x14ac:dyDescent="0.3">
      <c r="B155" t="s">
        <v>476</v>
      </c>
      <c r="C155" s="154">
        <f ca="1">OTHER_TOTAL_ESC</f>
        <v>0</v>
      </c>
      <c r="D155" t="s">
        <v>424</v>
      </c>
    </row>
    <row r="156" spans="2:6" x14ac:dyDescent="0.3">
      <c r="B156" t="s">
        <v>477</v>
      </c>
      <c r="C156" s="154" t="str">
        <f>_xlfn.CONCAT('H. Additional Notes'!B4:F7)</f>
        <v>Tab A. AcquisitionInsert Row Here</v>
      </c>
      <c r="D156" t="s">
        <v>478</v>
      </c>
    </row>
    <row r="157" spans="2:6" x14ac:dyDescent="0.3">
      <c r="B157" t="s">
        <v>479</v>
      </c>
      <c r="C157" t="str">
        <f>_xlfn.CONCAT('H. Additional Notes'!B9:F12)</f>
        <v>Tab B. Consultant ServicesInsert Row Here</v>
      </c>
      <c r="D157" t="s">
        <v>478</v>
      </c>
    </row>
    <row r="158" spans="2:6" x14ac:dyDescent="0.3">
      <c r="B158" t="s">
        <v>480</v>
      </c>
      <c r="C158" t="str">
        <f>_xlfn.CONCAT('H. Additional Notes'!B14:F17)</f>
        <v>Tab C. Construction ContractsInsert Row Here</v>
      </c>
      <c r="D158" t="s">
        <v>478</v>
      </c>
    </row>
    <row r="159" spans="2:6" x14ac:dyDescent="0.3">
      <c r="B159" t="s">
        <v>481</v>
      </c>
      <c r="C159" t="str">
        <f>_xlfn.CONCAT('H. Additional Notes'!B19:F22)</f>
        <v>Tab D. EquipmentInsert Row Here</v>
      </c>
      <c r="D159" t="s">
        <v>478</v>
      </c>
    </row>
    <row r="160" spans="2:6" x14ac:dyDescent="0.3">
      <c r="B160" t="s">
        <v>482</v>
      </c>
      <c r="C160" t="str">
        <f>_xlfn.CONCAT('H. Additional Notes'!B24:F27)</f>
        <v>Tab E. ArtworkInsert Row Here</v>
      </c>
      <c r="D160" t="s">
        <v>478</v>
      </c>
    </row>
    <row r="161" spans="2:4" x14ac:dyDescent="0.3">
      <c r="B161" t="s">
        <v>483</v>
      </c>
      <c r="C161" t="str">
        <f>_xlfn.CONCAT('H. Additional Notes'!B29:F32)</f>
        <v>Tab F. Project ManagementInsert Row Here</v>
      </c>
      <c r="D161" t="s">
        <v>478</v>
      </c>
    </row>
    <row r="162" spans="2:4" x14ac:dyDescent="0.3">
      <c r="B162" t="s">
        <v>484</v>
      </c>
      <c r="C162" t="str">
        <f>_xlfn.CONCAT('H. Additional Notes'!B34:F37)</f>
        <v>Tab G. Other CostsInsert Row Here</v>
      </c>
      <c r="D162" t="s">
        <v>478</v>
      </c>
    </row>
  </sheetData>
  <pageMargins left="0.7" right="0.7" top="0.75" bottom="0.75" header="0.3" footer="0.3"/>
  <pageSetup orientation="portrait" horizontalDpi="300"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0BFE8-A13D-4696-A583-E13859786AC1}">
  <sheetPr codeName="Sheet16"/>
  <dimension ref="A1:N253"/>
  <sheetViews>
    <sheetView workbookViewId="0">
      <selection activeCell="K8" sqref="K8"/>
    </sheetView>
  </sheetViews>
  <sheetFormatPr defaultColWidth="9.109375" defaultRowHeight="14.4" x14ac:dyDescent="0.3"/>
  <cols>
    <col min="1" max="3" width="17.6640625" style="98" customWidth="1"/>
    <col min="4" max="7" width="19.88671875" style="115" customWidth="1"/>
    <col min="8" max="9" width="13.6640625" style="98" bestFit="1" customWidth="1"/>
    <col min="10" max="10" width="25.6640625" style="98" customWidth="1"/>
    <col min="11" max="11" width="12.6640625" style="120" bestFit="1" customWidth="1"/>
    <col min="12" max="12" width="19.44140625" style="116" customWidth="1"/>
    <col min="13" max="13" width="20.6640625" style="98" bestFit="1" customWidth="1"/>
    <col min="14" max="16384" width="9.109375" style="98"/>
  </cols>
  <sheetData>
    <row r="1" spans="1:14" s="113" customFormat="1" ht="28.8" x14ac:dyDescent="0.3">
      <c r="A1" s="106" t="s">
        <v>485</v>
      </c>
      <c r="B1" s="106" t="s">
        <v>486</v>
      </c>
      <c r="C1" s="107" t="s">
        <v>487</v>
      </c>
      <c r="D1" s="108" t="s">
        <v>488</v>
      </c>
      <c r="E1" s="108" t="s">
        <v>489</v>
      </c>
      <c r="F1" s="108" t="s">
        <v>490</v>
      </c>
      <c r="G1" s="108" t="s">
        <v>491</v>
      </c>
      <c r="H1" s="109" t="s">
        <v>492</v>
      </c>
      <c r="I1" s="109" t="s">
        <v>493</v>
      </c>
      <c r="J1" s="109" t="s">
        <v>494</v>
      </c>
      <c r="K1" s="110" t="s">
        <v>495</v>
      </c>
      <c r="L1" s="111" t="s">
        <v>496</v>
      </c>
      <c r="M1" s="109" t="s">
        <v>497</v>
      </c>
      <c r="N1" s="112">
        <v>0.03</v>
      </c>
    </row>
    <row r="2" spans="1:14" x14ac:dyDescent="0.3">
      <c r="A2" s="98" t="s">
        <v>498</v>
      </c>
      <c r="B2" s="98" t="s">
        <v>23</v>
      </c>
      <c r="C2" s="114">
        <v>0.05</v>
      </c>
      <c r="D2" s="115">
        <v>42370</v>
      </c>
      <c r="E2" s="115">
        <v>42370</v>
      </c>
      <c r="F2" s="115">
        <v>42370</v>
      </c>
      <c r="G2" s="115">
        <v>42370</v>
      </c>
      <c r="H2" s="115">
        <f>(EndD-StartD)/2+StartD</f>
        <v>0</v>
      </c>
      <c r="I2" s="115">
        <f>(EndC-StartC)/2+StartC</f>
        <v>0</v>
      </c>
      <c r="J2" s="115" t="s">
        <v>499</v>
      </c>
      <c r="K2" s="209">
        <f>IF(APW="no",K5,K7)</f>
        <v>0.1651</v>
      </c>
      <c r="L2" s="116">
        <f>IFERROR((Summary!F18-0.04)*('C. Construction Contracts'!C46+'C. Construction Contracts'!C71), "")</f>
        <v>0</v>
      </c>
      <c r="M2" s="107" t="s">
        <v>500</v>
      </c>
      <c r="N2" s="117">
        <v>5.0000000000000001E-3</v>
      </c>
    </row>
    <row r="3" spans="1:14" x14ac:dyDescent="0.3">
      <c r="A3" s="98" t="s">
        <v>420</v>
      </c>
      <c r="B3" s="98" t="s">
        <v>501</v>
      </c>
      <c r="C3" s="114">
        <v>0.1</v>
      </c>
      <c r="D3" s="115">
        <f t="shared" ref="D3:G18" si="0">DATE(YEAR(D2),MONTH(D2)+1,DAY(1))</f>
        <v>42401</v>
      </c>
      <c r="E3" s="115">
        <f t="shared" si="0"/>
        <v>42401</v>
      </c>
      <c r="F3" s="115">
        <f t="shared" si="0"/>
        <v>42401</v>
      </c>
      <c r="G3" s="115">
        <f t="shared" si="0"/>
        <v>42401</v>
      </c>
      <c r="H3" s="115"/>
      <c r="I3" s="115"/>
      <c r="J3" s="115" t="s">
        <v>502</v>
      </c>
      <c r="K3" s="118">
        <f>IF(($K$2+$K$4)/2*10000-INT(($K$2+$K$4)/2*10000)&lt;0.5, ROUNDDOWN(($K$2+$K$4)/2, 4), ROUND(($K$2+$K$4)/2, 4))</f>
        <v>0.17749999999999999</v>
      </c>
      <c r="M3" s="107" t="s">
        <v>47</v>
      </c>
      <c r="N3" s="201">
        <f>+Summary!C22</f>
        <v>3.3300000000000003E-2</v>
      </c>
    </row>
    <row r="4" spans="1:14" x14ac:dyDescent="0.3">
      <c r="D4" s="115">
        <f t="shared" si="0"/>
        <v>42430</v>
      </c>
      <c r="E4" s="115">
        <f t="shared" si="0"/>
        <v>42430</v>
      </c>
      <c r="F4" s="115">
        <f t="shared" si="0"/>
        <v>42430</v>
      </c>
      <c r="G4" s="115">
        <f t="shared" si="0"/>
        <v>42430</v>
      </c>
      <c r="H4" s="115"/>
      <c r="I4" s="115"/>
      <c r="J4" s="115" t="s">
        <v>503</v>
      </c>
      <c r="K4" s="209">
        <f>IF(APW="no",K6,K8)</f>
        <v>0.19</v>
      </c>
      <c r="M4" s="107" t="s">
        <v>504</v>
      </c>
      <c r="N4" s="117">
        <v>0.05</v>
      </c>
    </row>
    <row r="5" spans="1:14" x14ac:dyDescent="0.3">
      <c r="D5" s="115">
        <f t="shared" si="0"/>
        <v>42461</v>
      </c>
      <c r="E5" s="115">
        <f t="shared" si="0"/>
        <v>42461</v>
      </c>
      <c r="F5" s="115">
        <f t="shared" si="0"/>
        <v>42461</v>
      </c>
      <c r="G5" s="115">
        <f t="shared" si="0"/>
        <v>42461</v>
      </c>
      <c r="H5" s="115"/>
      <c r="I5" s="115"/>
      <c r="J5" s="115" t="s">
        <v>505</v>
      </c>
      <c r="K5" s="209">
        <f>ROUND((90/(625+((TCC+CONT)/(8307/2418))^0.38)),4)</f>
        <v>0.14399999999999999</v>
      </c>
      <c r="M5" s="107" t="s">
        <v>506</v>
      </c>
      <c r="N5" s="117">
        <v>0.1</v>
      </c>
    </row>
    <row r="6" spans="1:14" x14ac:dyDescent="0.3">
      <c r="D6" s="115">
        <f t="shared" si="0"/>
        <v>42491</v>
      </c>
      <c r="E6" s="115">
        <f t="shared" si="0"/>
        <v>42491</v>
      </c>
      <c r="F6" s="115">
        <f t="shared" si="0"/>
        <v>42491</v>
      </c>
      <c r="G6" s="115">
        <f t="shared" si="0"/>
        <v>42491</v>
      </c>
      <c r="H6" s="115"/>
      <c r="I6" s="115"/>
      <c r="J6" s="115" t="s">
        <v>507</v>
      </c>
      <c r="K6" s="210">
        <f>ROUND((9.03/(57.3+((TCC+CONT)/(8307/2418))^0.25))-0.02,4)</f>
        <v>0.1376</v>
      </c>
      <c r="M6" s="107" t="s">
        <v>508</v>
      </c>
      <c r="N6" s="117">
        <v>0.03</v>
      </c>
    </row>
    <row r="7" spans="1:14" x14ac:dyDescent="0.3">
      <c r="D7" s="115">
        <f t="shared" si="0"/>
        <v>42522</v>
      </c>
      <c r="E7" s="115">
        <f t="shared" si="0"/>
        <v>42522</v>
      </c>
      <c r="F7" s="115">
        <f t="shared" si="0"/>
        <v>42522</v>
      </c>
      <c r="G7" s="115">
        <f t="shared" si="0"/>
        <v>42522</v>
      </c>
      <c r="H7" s="115"/>
      <c r="I7" s="115"/>
      <c r="J7" s="115" t="s">
        <v>509</v>
      </c>
      <c r="K7" s="209">
        <f>ROUND((90/(545+((TCC+CONT)/(8307/2418))^0.38)),4)</f>
        <v>0.1651</v>
      </c>
      <c r="L7" s="119"/>
      <c r="M7" s="109" t="s">
        <v>510</v>
      </c>
      <c r="N7" s="112">
        <v>0.04</v>
      </c>
    </row>
    <row r="8" spans="1:14" x14ac:dyDescent="0.3">
      <c r="A8" s="98" t="s">
        <v>511</v>
      </c>
      <c r="B8" s="114">
        <v>0.05</v>
      </c>
      <c r="C8" s="98" t="s">
        <v>420</v>
      </c>
      <c r="D8" s="115">
        <f t="shared" si="0"/>
        <v>42552</v>
      </c>
      <c r="E8" s="115">
        <f t="shared" si="0"/>
        <v>42552</v>
      </c>
      <c r="F8" s="115">
        <f t="shared" si="0"/>
        <v>42552</v>
      </c>
      <c r="G8" s="115">
        <f t="shared" si="0"/>
        <v>42552</v>
      </c>
      <c r="H8" s="115"/>
      <c r="I8" s="115"/>
      <c r="J8" s="115" t="s">
        <v>512</v>
      </c>
      <c r="K8" s="210">
        <f>ROUND((9.03/(43+((TCC+CONT)/(8307/2418))^0.25))-0.02,4)</f>
        <v>0.19</v>
      </c>
      <c r="L8" s="98"/>
      <c r="M8" s="107" t="s">
        <v>513</v>
      </c>
      <c r="N8" s="201">
        <v>3.3300000000000003E-2</v>
      </c>
    </row>
    <row r="9" spans="1:14" x14ac:dyDescent="0.3">
      <c r="A9" s="98" t="s">
        <v>514</v>
      </c>
      <c r="B9" s="114">
        <v>0.01</v>
      </c>
      <c r="C9" s="98" t="s">
        <v>420</v>
      </c>
      <c r="D9" s="115">
        <f t="shared" si="0"/>
        <v>42583</v>
      </c>
      <c r="E9" s="115">
        <f t="shared" si="0"/>
        <v>42583</v>
      </c>
      <c r="F9" s="115">
        <f t="shared" si="0"/>
        <v>42583</v>
      </c>
      <c r="G9" s="115">
        <f t="shared" si="0"/>
        <v>42583</v>
      </c>
      <c r="H9" s="115"/>
      <c r="I9" s="115"/>
      <c r="J9" s="115"/>
      <c r="L9" s="98"/>
    </row>
    <row r="10" spans="1:14" ht="21" customHeight="1" x14ac:dyDescent="0.3">
      <c r="A10" s="98" t="s">
        <v>515</v>
      </c>
      <c r="B10" s="114">
        <v>0.02</v>
      </c>
      <c r="C10" s="98" t="s">
        <v>420</v>
      </c>
      <c r="D10" s="115">
        <f t="shared" si="0"/>
        <v>42614</v>
      </c>
      <c r="E10" s="115">
        <f t="shared" si="0"/>
        <v>42614</v>
      </c>
      <c r="F10" s="115">
        <f t="shared" si="0"/>
        <v>42614</v>
      </c>
      <c r="G10" s="115">
        <f t="shared" si="0"/>
        <v>42614</v>
      </c>
      <c r="H10" s="115"/>
      <c r="I10" s="115"/>
      <c r="J10" s="115" t="s">
        <v>516</v>
      </c>
      <c r="K10" s="121" t="s">
        <v>499</v>
      </c>
      <c r="L10" s="98"/>
    </row>
    <row r="11" spans="1:14" ht="15" customHeight="1" x14ac:dyDescent="0.3">
      <c r="A11" s="98" t="s">
        <v>517</v>
      </c>
      <c r="B11" s="114">
        <v>0.01</v>
      </c>
      <c r="C11" s="98" t="s">
        <v>420</v>
      </c>
      <c r="D11" s="115">
        <f t="shared" si="0"/>
        <v>42644</v>
      </c>
      <c r="E11" s="115">
        <f t="shared" si="0"/>
        <v>42644</v>
      </c>
      <c r="F11" s="115">
        <f t="shared" si="0"/>
        <v>42644</v>
      </c>
      <c r="G11" s="115">
        <f t="shared" si="0"/>
        <v>42644</v>
      </c>
      <c r="H11" s="115"/>
      <c r="I11" s="115"/>
      <c r="J11" s="122" t="s">
        <v>518</v>
      </c>
      <c r="K11" s="121" t="s">
        <v>499</v>
      </c>
      <c r="L11" s="98"/>
    </row>
    <row r="12" spans="1:14" x14ac:dyDescent="0.3">
      <c r="A12" s="98" t="s">
        <v>45</v>
      </c>
      <c r="B12" s="114">
        <v>0.02</v>
      </c>
      <c r="C12" s="98" t="s">
        <v>519</v>
      </c>
      <c r="D12" s="115">
        <f t="shared" si="0"/>
        <v>42675</v>
      </c>
      <c r="E12" s="115">
        <f t="shared" si="0"/>
        <v>42675</v>
      </c>
      <c r="F12" s="115">
        <f t="shared" si="0"/>
        <v>42675</v>
      </c>
      <c r="G12" s="115">
        <f t="shared" si="0"/>
        <v>42675</v>
      </c>
      <c r="H12" s="115"/>
      <c r="I12" s="115"/>
      <c r="J12" s="122" t="s">
        <v>520</v>
      </c>
      <c r="K12" s="121" t="s">
        <v>499</v>
      </c>
      <c r="L12" s="98"/>
    </row>
    <row r="13" spans="1:14" x14ac:dyDescent="0.3">
      <c r="D13" s="115">
        <f t="shared" si="0"/>
        <v>42705</v>
      </c>
      <c r="E13" s="115">
        <f t="shared" si="0"/>
        <v>42705</v>
      </c>
      <c r="F13" s="115">
        <f t="shared" si="0"/>
        <v>42705</v>
      </c>
      <c r="G13" s="115">
        <f t="shared" si="0"/>
        <v>42705</v>
      </c>
      <c r="H13" s="115"/>
      <c r="I13" s="115"/>
      <c r="J13" s="122" t="s">
        <v>521</v>
      </c>
      <c r="K13" s="121" t="s">
        <v>499</v>
      </c>
      <c r="L13" s="98"/>
    </row>
    <row r="14" spans="1:14" x14ac:dyDescent="0.3">
      <c r="D14" s="115">
        <f t="shared" si="0"/>
        <v>42736</v>
      </c>
      <c r="E14" s="115">
        <f t="shared" si="0"/>
        <v>42736</v>
      </c>
      <c r="F14" s="115">
        <f t="shared" si="0"/>
        <v>42736</v>
      </c>
      <c r="G14" s="115">
        <f t="shared" si="0"/>
        <v>42736</v>
      </c>
      <c r="H14" s="115"/>
      <c r="I14" s="115"/>
      <c r="J14" s="122" t="s">
        <v>39</v>
      </c>
      <c r="K14" s="121" t="s">
        <v>499</v>
      </c>
      <c r="L14" s="98"/>
    </row>
    <row r="15" spans="1:14" ht="28.8" x14ac:dyDescent="0.3">
      <c r="D15" s="115">
        <f t="shared" si="0"/>
        <v>42767</v>
      </c>
      <c r="E15" s="115">
        <f t="shared" si="0"/>
        <v>42767</v>
      </c>
      <c r="F15" s="115">
        <f t="shared" si="0"/>
        <v>42767</v>
      </c>
      <c r="G15" s="115">
        <f t="shared" si="0"/>
        <v>42767</v>
      </c>
      <c r="H15" s="115"/>
      <c r="I15" s="115"/>
      <c r="J15" s="122" t="s">
        <v>522</v>
      </c>
      <c r="K15" s="121" t="s">
        <v>499</v>
      </c>
      <c r="L15" s="98"/>
    </row>
    <row r="16" spans="1:14" x14ac:dyDescent="0.3">
      <c r="D16" s="115">
        <f t="shared" si="0"/>
        <v>42795</v>
      </c>
      <c r="E16" s="115">
        <f t="shared" si="0"/>
        <v>42795</v>
      </c>
      <c r="F16" s="115">
        <f t="shared" si="0"/>
        <v>42795</v>
      </c>
      <c r="G16" s="115">
        <f t="shared" si="0"/>
        <v>42795</v>
      </c>
      <c r="H16" s="115"/>
      <c r="I16" s="115"/>
      <c r="J16" s="122" t="s">
        <v>523</v>
      </c>
      <c r="K16" s="121" t="s">
        <v>499</v>
      </c>
      <c r="L16" s="98"/>
    </row>
    <row r="17" spans="4:12" x14ac:dyDescent="0.3">
      <c r="D17" s="115">
        <f t="shared" si="0"/>
        <v>42826</v>
      </c>
      <c r="E17" s="115">
        <f t="shared" si="0"/>
        <v>42826</v>
      </c>
      <c r="F17" s="115">
        <f t="shared" si="0"/>
        <v>42826</v>
      </c>
      <c r="G17" s="115">
        <f t="shared" si="0"/>
        <v>42826</v>
      </c>
      <c r="H17" s="115"/>
      <c r="I17" s="115"/>
      <c r="J17" s="122" t="s">
        <v>524</v>
      </c>
      <c r="K17" s="121" t="s">
        <v>499</v>
      </c>
      <c r="L17" s="98"/>
    </row>
    <row r="18" spans="4:12" x14ac:dyDescent="0.3">
      <c r="D18" s="115">
        <f t="shared" si="0"/>
        <v>42856</v>
      </c>
      <c r="E18" s="115">
        <f t="shared" si="0"/>
        <v>42856</v>
      </c>
      <c r="F18" s="115">
        <f t="shared" si="0"/>
        <v>42856</v>
      </c>
      <c r="G18" s="115">
        <f t="shared" si="0"/>
        <v>42856</v>
      </c>
      <c r="H18" s="115"/>
      <c r="I18" s="115"/>
      <c r="J18" s="122" t="s">
        <v>525</v>
      </c>
      <c r="K18" s="121" t="s">
        <v>499</v>
      </c>
      <c r="L18" s="98"/>
    </row>
    <row r="19" spans="4:12" x14ac:dyDescent="0.3">
      <c r="D19" s="115">
        <f t="shared" ref="D19:G34" si="1">DATE(YEAR(D18),MONTH(D18)+1,DAY(1))</f>
        <v>42887</v>
      </c>
      <c r="E19" s="115">
        <f t="shared" si="1"/>
        <v>42887</v>
      </c>
      <c r="F19" s="115">
        <f t="shared" si="1"/>
        <v>42887</v>
      </c>
      <c r="G19" s="115">
        <f t="shared" si="1"/>
        <v>42887</v>
      </c>
      <c r="H19" s="115"/>
      <c r="I19" s="115"/>
      <c r="J19" s="122" t="s">
        <v>526</v>
      </c>
      <c r="K19" s="121" t="s">
        <v>499</v>
      </c>
      <c r="L19" s="98"/>
    </row>
    <row r="20" spans="4:12" x14ac:dyDescent="0.3">
      <c r="D20" s="115">
        <f t="shared" si="1"/>
        <v>42917</v>
      </c>
      <c r="E20" s="115">
        <f t="shared" si="1"/>
        <v>42917</v>
      </c>
      <c r="F20" s="115">
        <f t="shared" si="1"/>
        <v>42917</v>
      </c>
      <c r="G20" s="115">
        <f t="shared" si="1"/>
        <v>42917</v>
      </c>
      <c r="H20" s="115"/>
      <c r="I20" s="115"/>
      <c r="J20" s="122" t="s">
        <v>527</v>
      </c>
      <c r="K20" s="121" t="s">
        <v>499</v>
      </c>
      <c r="L20" s="98"/>
    </row>
    <row r="21" spans="4:12" x14ac:dyDescent="0.3">
      <c r="D21" s="115">
        <f t="shared" si="1"/>
        <v>42948</v>
      </c>
      <c r="E21" s="115">
        <f t="shared" si="1"/>
        <v>42948</v>
      </c>
      <c r="F21" s="115">
        <f t="shared" si="1"/>
        <v>42948</v>
      </c>
      <c r="G21" s="115">
        <f t="shared" si="1"/>
        <v>42948</v>
      </c>
      <c r="H21" s="115"/>
      <c r="I21" s="115"/>
      <c r="J21" s="122" t="s">
        <v>528</v>
      </c>
      <c r="K21" s="121" t="s">
        <v>499</v>
      </c>
      <c r="L21" s="98"/>
    </row>
    <row r="22" spans="4:12" x14ac:dyDescent="0.3">
      <c r="D22" s="115">
        <f t="shared" si="1"/>
        <v>42979</v>
      </c>
      <c r="E22" s="115">
        <f t="shared" si="1"/>
        <v>42979</v>
      </c>
      <c r="F22" s="115">
        <f t="shared" si="1"/>
        <v>42979</v>
      </c>
      <c r="G22" s="115">
        <f t="shared" si="1"/>
        <v>42979</v>
      </c>
      <c r="H22" s="115"/>
      <c r="I22" s="115"/>
      <c r="J22" s="122" t="s">
        <v>529</v>
      </c>
      <c r="K22" s="121" t="s">
        <v>499</v>
      </c>
      <c r="L22" s="98"/>
    </row>
    <row r="23" spans="4:12" x14ac:dyDescent="0.3">
      <c r="D23" s="115">
        <f t="shared" si="1"/>
        <v>43009</v>
      </c>
      <c r="E23" s="115">
        <f t="shared" si="1"/>
        <v>43009</v>
      </c>
      <c r="F23" s="115">
        <f t="shared" si="1"/>
        <v>43009</v>
      </c>
      <c r="G23" s="115">
        <f t="shared" si="1"/>
        <v>43009</v>
      </c>
      <c r="H23" s="115"/>
      <c r="I23" s="115"/>
      <c r="J23" s="122" t="s">
        <v>530</v>
      </c>
      <c r="K23" s="121" t="s">
        <v>499</v>
      </c>
      <c r="L23" s="98"/>
    </row>
    <row r="24" spans="4:12" x14ac:dyDescent="0.3">
      <c r="D24" s="115">
        <f t="shared" si="1"/>
        <v>43040</v>
      </c>
      <c r="E24" s="115">
        <f t="shared" si="1"/>
        <v>43040</v>
      </c>
      <c r="F24" s="115">
        <f t="shared" si="1"/>
        <v>43040</v>
      </c>
      <c r="G24" s="115">
        <f t="shared" si="1"/>
        <v>43040</v>
      </c>
      <c r="H24" s="115"/>
      <c r="I24" s="115"/>
      <c r="J24" s="122" t="s">
        <v>531</v>
      </c>
      <c r="K24" s="121" t="s">
        <v>499</v>
      </c>
      <c r="L24" s="98"/>
    </row>
    <row r="25" spans="4:12" x14ac:dyDescent="0.3">
      <c r="D25" s="115">
        <f t="shared" si="1"/>
        <v>43070</v>
      </c>
      <c r="E25" s="115">
        <f t="shared" si="1"/>
        <v>43070</v>
      </c>
      <c r="F25" s="115">
        <f t="shared" si="1"/>
        <v>43070</v>
      </c>
      <c r="G25" s="115">
        <f t="shared" si="1"/>
        <v>43070</v>
      </c>
      <c r="H25" s="115"/>
      <c r="I25" s="115"/>
      <c r="J25" s="122" t="s">
        <v>532</v>
      </c>
      <c r="K25" s="121" t="s">
        <v>499</v>
      </c>
      <c r="L25" s="98"/>
    </row>
    <row r="26" spans="4:12" x14ac:dyDescent="0.3">
      <c r="D26" s="115">
        <f t="shared" si="1"/>
        <v>43101</v>
      </c>
      <c r="E26" s="115">
        <f t="shared" si="1"/>
        <v>43101</v>
      </c>
      <c r="F26" s="115">
        <f t="shared" si="1"/>
        <v>43101</v>
      </c>
      <c r="G26" s="115">
        <f t="shared" si="1"/>
        <v>43101</v>
      </c>
      <c r="H26" s="115"/>
      <c r="I26" s="115"/>
      <c r="J26" s="122" t="s">
        <v>533</v>
      </c>
      <c r="K26" s="121" t="s">
        <v>499</v>
      </c>
      <c r="L26" s="98"/>
    </row>
    <row r="27" spans="4:12" x14ac:dyDescent="0.3">
      <c r="D27" s="115">
        <f t="shared" si="1"/>
        <v>43132</v>
      </c>
      <c r="E27" s="115">
        <f t="shared" si="1"/>
        <v>43132</v>
      </c>
      <c r="F27" s="115">
        <f t="shared" si="1"/>
        <v>43132</v>
      </c>
      <c r="G27" s="115">
        <f t="shared" si="1"/>
        <v>43132</v>
      </c>
      <c r="H27" s="115"/>
      <c r="I27" s="115"/>
      <c r="J27" s="122" t="s">
        <v>534</v>
      </c>
      <c r="K27" s="121" t="s">
        <v>499</v>
      </c>
      <c r="L27" s="98"/>
    </row>
    <row r="28" spans="4:12" ht="28.8" x14ac:dyDescent="0.3">
      <c r="D28" s="115">
        <f t="shared" si="1"/>
        <v>43160</v>
      </c>
      <c r="E28" s="115">
        <f t="shared" si="1"/>
        <v>43160</v>
      </c>
      <c r="F28" s="115">
        <f t="shared" si="1"/>
        <v>43160</v>
      </c>
      <c r="G28" s="115">
        <f t="shared" si="1"/>
        <v>43160</v>
      </c>
      <c r="H28" s="115"/>
      <c r="I28" s="115"/>
      <c r="J28" s="122" t="s">
        <v>535</v>
      </c>
      <c r="K28" s="121" t="s">
        <v>499</v>
      </c>
      <c r="L28" s="98"/>
    </row>
    <row r="29" spans="4:12" x14ac:dyDescent="0.3">
      <c r="D29" s="115">
        <f t="shared" si="1"/>
        <v>43191</v>
      </c>
      <c r="E29" s="115">
        <f t="shared" si="1"/>
        <v>43191</v>
      </c>
      <c r="F29" s="115">
        <f t="shared" si="1"/>
        <v>43191</v>
      </c>
      <c r="G29" s="115">
        <f t="shared" si="1"/>
        <v>43191</v>
      </c>
      <c r="H29" s="115"/>
      <c r="I29" s="115"/>
      <c r="J29" s="122" t="s">
        <v>536</v>
      </c>
      <c r="K29" s="121" t="s">
        <v>499</v>
      </c>
      <c r="L29" s="98"/>
    </row>
    <row r="30" spans="4:12" x14ac:dyDescent="0.3">
      <c r="D30" s="115">
        <f t="shared" si="1"/>
        <v>43221</v>
      </c>
      <c r="E30" s="115">
        <f t="shared" si="1"/>
        <v>43221</v>
      </c>
      <c r="F30" s="115">
        <f t="shared" si="1"/>
        <v>43221</v>
      </c>
      <c r="G30" s="115">
        <f t="shared" si="1"/>
        <v>43221</v>
      </c>
      <c r="H30" s="115"/>
      <c r="I30" s="115"/>
      <c r="J30" s="122" t="s">
        <v>537</v>
      </c>
      <c r="K30" s="121" t="s">
        <v>499</v>
      </c>
      <c r="L30" s="98"/>
    </row>
    <row r="31" spans="4:12" x14ac:dyDescent="0.3">
      <c r="D31" s="115">
        <f t="shared" si="1"/>
        <v>43252</v>
      </c>
      <c r="E31" s="115">
        <f t="shared" si="1"/>
        <v>43252</v>
      </c>
      <c r="F31" s="115">
        <f t="shared" si="1"/>
        <v>43252</v>
      </c>
      <c r="G31" s="115">
        <f t="shared" si="1"/>
        <v>43252</v>
      </c>
      <c r="H31" s="115"/>
      <c r="I31" s="115"/>
      <c r="J31" s="122" t="s">
        <v>538</v>
      </c>
      <c r="K31" s="121" t="s">
        <v>499</v>
      </c>
      <c r="L31" s="98"/>
    </row>
    <row r="32" spans="4:12" ht="21" customHeight="1" x14ac:dyDescent="0.3">
      <c r="D32" s="115">
        <f t="shared" si="1"/>
        <v>43282</v>
      </c>
      <c r="E32" s="115">
        <f t="shared" si="1"/>
        <v>43282</v>
      </c>
      <c r="F32" s="115">
        <f t="shared" si="1"/>
        <v>43282</v>
      </c>
      <c r="G32" s="115">
        <f t="shared" si="1"/>
        <v>43282</v>
      </c>
      <c r="H32" s="115"/>
      <c r="I32" s="115"/>
      <c r="J32" s="122" t="s">
        <v>539</v>
      </c>
      <c r="K32" s="121" t="s">
        <v>502</v>
      </c>
      <c r="L32" s="98"/>
    </row>
    <row r="33" spans="4:12" ht="15" customHeight="1" x14ac:dyDescent="0.3">
      <c r="D33" s="115">
        <f t="shared" si="1"/>
        <v>43313</v>
      </c>
      <c r="E33" s="115">
        <f t="shared" si="1"/>
        <v>43313</v>
      </c>
      <c r="F33" s="115">
        <f t="shared" si="1"/>
        <v>43313</v>
      </c>
      <c r="G33" s="115">
        <f t="shared" si="1"/>
        <v>43313</v>
      </c>
      <c r="H33" s="115"/>
      <c r="I33" s="115"/>
      <c r="J33" s="122" t="s">
        <v>540</v>
      </c>
      <c r="K33" s="121" t="s">
        <v>502</v>
      </c>
      <c r="L33" s="98"/>
    </row>
    <row r="34" spans="4:12" x14ac:dyDescent="0.3">
      <c r="D34" s="115">
        <f t="shared" si="1"/>
        <v>43344</v>
      </c>
      <c r="E34" s="115">
        <f t="shared" si="1"/>
        <v>43344</v>
      </c>
      <c r="F34" s="115">
        <f t="shared" si="1"/>
        <v>43344</v>
      </c>
      <c r="G34" s="115">
        <f t="shared" si="1"/>
        <v>43344</v>
      </c>
      <c r="H34" s="115"/>
      <c r="I34" s="115"/>
      <c r="J34" s="122" t="s">
        <v>541</v>
      </c>
      <c r="K34" s="121" t="s">
        <v>502</v>
      </c>
      <c r="L34" s="98"/>
    </row>
    <row r="35" spans="4:12" x14ac:dyDescent="0.3">
      <c r="D35" s="115">
        <f t="shared" ref="D35:G50" si="2">DATE(YEAR(D34),MONTH(D34)+1,DAY(1))</f>
        <v>43374</v>
      </c>
      <c r="E35" s="115">
        <f t="shared" si="2"/>
        <v>43374</v>
      </c>
      <c r="F35" s="115">
        <f t="shared" si="2"/>
        <v>43374</v>
      </c>
      <c r="G35" s="115">
        <f t="shared" si="2"/>
        <v>43374</v>
      </c>
      <c r="H35" s="115"/>
      <c r="I35" s="115"/>
      <c r="J35" s="122" t="s">
        <v>542</v>
      </c>
      <c r="K35" s="121" t="s">
        <v>502</v>
      </c>
      <c r="L35" s="98"/>
    </row>
    <row r="36" spans="4:12" x14ac:dyDescent="0.3">
      <c r="D36" s="115">
        <f t="shared" si="2"/>
        <v>43405</v>
      </c>
      <c r="E36" s="115">
        <f t="shared" si="2"/>
        <v>43405</v>
      </c>
      <c r="F36" s="115">
        <f t="shared" si="2"/>
        <v>43405</v>
      </c>
      <c r="G36" s="115">
        <f t="shared" si="2"/>
        <v>43405</v>
      </c>
      <c r="H36" s="115"/>
      <c r="I36" s="115"/>
      <c r="J36" s="122" t="s">
        <v>543</v>
      </c>
      <c r="K36" s="121" t="s">
        <v>502</v>
      </c>
      <c r="L36" s="98"/>
    </row>
    <row r="37" spans="4:12" x14ac:dyDescent="0.3">
      <c r="D37" s="115">
        <f t="shared" si="2"/>
        <v>43435</v>
      </c>
      <c r="E37" s="115">
        <f t="shared" si="2"/>
        <v>43435</v>
      </c>
      <c r="F37" s="115">
        <f t="shared" si="2"/>
        <v>43435</v>
      </c>
      <c r="G37" s="115">
        <f t="shared" si="2"/>
        <v>43435</v>
      </c>
      <c r="H37" s="115"/>
      <c r="I37" s="115"/>
      <c r="J37" s="122" t="s">
        <v>544</v>
      </c>
      <c r="K37" s="121" t="s">
        <v>502</v>
      </c>
      <c r="L37" s="98"/>
    </row>
    <row r="38" spans="4:12" x14ac:dyDescent="0.3">
      <c r="D38" s="115">
        <f t="shared" si="2"/>
        <v>43466</v>
      </c>
      <c r="E38" s="115">
        <f t="shared" si="2"/>
        <v>43466</v>
      </c>
      <c r="F38" s="115">
        <f t="shared" si="2"/>
        <v>43466</v>
      </c>
      <c r="G38" s="115">
        <f t="shared" si="2"/>
        <v>43466</v>
      </c>
      <c r="H38" s="115"/>
      <c r="I38" s="115"/>
      <c r="J38" s="122" t="s">
        <v>545</v>
      </c>
      <c r="K38" s="121" t="s">
        <v>502</v>
      </c>
      <c r="L38" s="98"/>
    </row>
    <row r="39" spans="4:12" x14ac:dyDescent="0.3">
      <c r="D39" s="115">
        <f t="shared" si="2"/>
        <v>43497</v>
      </c>
      <c r="E39" s="115">
        <f t="shared" si="2"/>
        <v>43497</v>
      </c>
      <c r="F39" s="115">
        <f t="shared" si="2"/>
        <v>43497</v>
      </c>
      <c r="G39" s="115">
        <f t="shared" si="2"/>
        <v>43497</v>
      </c>
      <c r="H39" s="115"/>
      <c r="I39" s="115"/>
      <c r="J39" s="122" t="s">
        <v>419</v>
      </c>
      <c r="K39" s="121" t="s">
        <v>502</v>
      </c>
      <c r="L39" s="98"/>
    </row>
    <row r="40" spans="4:12" x14ac:dyDescent="0.3">
      <c r="D40" s="115">
        <f t="shared" si="2"/>
        <v>43525</v>
      </c>
      <c r="E40" s="115">
        <f t="shared" si="2"/>
        <v>43525</v>
      </c>
      <c r="F40" s="115">
        <f t="shared" si="2"/>
        <v>43525</v>
      </c>
      <c r="G40" s="115">
        <f t="shared" si="2"/>
        <v>43525</v>
      </c>
      <c r="H40" s="115"/>
      <c r="I40" s="115"/>
      <c r="J40" s="122" t="s">
        <v>546</v>
      </c>
      <c r="K40" s="121" t="s">
        <v>502</v>
      </c>
      <c r="L40" s="98"/>
    </row>
    <row r="41" spans="4:12" ht="28.8" x14ac:dyDescent="0.3">
      <c r="D41" s="115">
        <f t="shared" si="2"/>
        <v>43556</v>
      </c>
      <c r="E41" s="115">
        <f t="shared" si="2"/>
        <v>43556</v>
      </c>
      <c r="F41" s="115">
        <f t="shared" si="2"/>
        <v>43556</v>
      </c>
      <c r="G41" s="115">
        <f t="shared" si="2"/>
        <v>43556</v>
      </c>
      <c r="H41" s="115"/>
      <c r="I41" s="115"/>
      <c r="J41" s="122" t="s">
        <v>547</v>
      </c>
      <c r="K41" s="121" t="s">
        <v>502</v>
      </c>
      <c r="L41" s="98"/>
    </row>
    <row r="42" spans="4:12" x14ac:dyDescent="0.3">
      <c r="D42" s="115">
        <f t="shared" si="2"/>
        <v>43586</v>
      </c>
      <c r="E42" s="115">
        <f t="shared" si="2"/>
        <v>43586</v>
      </c>
      <c r="F42" s="115">
        <f t="shared" si="2"/>
        <v>43586</v>
      </c>
      <c r="G42" s="115">
        <f t="shared" si="2"/>
        <v>43586</v>
      </c>
      <c r="H42" s="115"/>
      <c r="I42" s="115"/>
      <c r="J42" s="122" t="s">
        <v>548</v>
      </c>
      <c r="K42" s="121" t="s">
        <v>502</v>
      </c>
      <c r="L42" s="98"/>
    </row>
    <row r="43" spans="4:12" x14ac:dyDescent="0.3">
      <c r="D43" s="115">
        <f t="shared" si="2"/>
        <v>43617</v>
      </c>
      <c r="E43" s="115">
        <f t="shared" si="2"/>
        <v>43617</v>
      </c>
      <c r="F43" s="115">
        <f t="shared" si="2"/>
        <v>43617</v>
      </c>
      <c r="G43" s="115">
        <f t="shared" si="2"/>
        <v>43617</v>
      </c>
      <c r="H43" s="115"/>
      <c r="I43" s="115"/>
      <c r="J43" s="122" t="s">
        <v>549</v>
      </c>
      <c r="K43" s="121" t="s">
        <v>502</v>
      </c>
      <c r="L43" s="98"/>
    </row>
    <row r="44" spans="4:12" x14ac:dyDescent="0.3">
      <c r="D44" s="115">
        <f t="shared" si="2"/>
        <v>43647</v>
      </c>
      <c r="E44" s="115">
        <f t="shared" si="2"/>
        <v>43647</v>
      </c>
      <c r="F44" s="115">
        <f t="shared" si="2"/>
        <v>43647</v>
      </c>
      <c r="G44" s="115">
        <f t="shared" si="2"/>
        <v>43647</v>
      </c>
      <c r="H44" s="115"/>
      <c r="I44" s="115"/>
      <c r="J44" s="122" t="s">
        <v>550</v>
      </c>
      <c r="K44" s="121" t="s">
        <v>502</v>
      </c>
      <c r="L44" s="98"/>
    </row>
    <row r="45" spans="4:12" x14ac:dyDescent="0.3">
      <c r="D45" s="115">
        <f t="shared" si="2"/>
        <v>43678</v>
      </c>
      <c r="E45" s="115">
        <f t="shared" si="2"/>
        <v>43678</v>
      </c>
      <c r="F45" s="115">
        <f t="shared" si="2"/>
        <v>43678</v>
      </c>
      <c r="G45" s="115">
        <f t="shared" si="2"/>
        <v>43678</v>
      </c>
      <c r="H45" s="115"/>
      <c r="I45" s="115"/>
      <c r="J45" s="122" t="s">
        <v>551</v>
      </c>
      <c r="K45" s="121" t="s">
        <v>502</v>
      </c>
      <c r="L45" s="98"/>
    </row>
    <row r="46" spans="4:12" x14ac:dyDescent="0.3">
      <c r="D46" s="115">
        <f t="shared" si="2"/>
        <v>43709</v>
      </c>
      <c r="E46" s="115">
        <f t="shared" si="2"/>
        <v>43709</v>
      </c>
      <c r="F46" s="115">
        <f t="shared" si="2"/>
        <v>43709</v>
      </c>
      <c r="G46" s="115">
        <f t="shared" si="2"/>
        <v>43709</v>
      </c>
      <c r="H46" s="115"/>
      <c r="I46" s="115"/>
      <c r="J46" s="122" t="s">
        <v>552</v>
      </c>
      <c r="K46" s="121" t="s">
        <v>502</v>
      </c>
      <c r="L46" s="98"/>
    </row>
    <row r="47" spans="4:12" x14ac:dyDescent="0.3">
      <c r="D47" s="115">
        <f t="shared" si="2"/>
        <v>43739</v>
      </c>
      <c r="E47" s="115">
        <f t="shared" si="2"/>
        <v>43739</v>
      </c>
      <c r="F47" s="115">
        <f t="shared" si="2"/>
        <v>43739</v>
      </c>
      <c r="G47" s="115">
        <f t="shared" si="2"/>
        <v>43739</v>
      </c>
      <c r="H47" s="115"/>
      <c r="I47" s="115"/>
      <c r="J47" s="122" t="s">
        <v>553</v>
      </c>
      <c r="K47" s="121" t="s">
        <v>502</v>
      </c>
    </row>
    <row r="48" spans="4:12" ht="28.8" x14ac:dyDescent="0.3">
      <c r="D48" s="115">
        <f t="shared" si="2"/>
        <v>43770</v>
      </c>
      <c r="E48" s="115">
        <f t="shared" si="2"/>
        <v>43770</v>
      </c>
      <c r="F48" s="115">
        <f t="shared" si="2"/>
        <v>43770</v>
      </c>
      <c r="G48" s="115">
        <f t="shared" si="2"/>
        <v>43770</v>
      </c>
      <c r="H48" s="115"/>
      <c r="I48" s="115"/>
      <c r="J48" s="122" t="s">
        <v>554</v>
      </c>
      <c r="K48" s="121" t="s">
        <v>502</v>
      </c>
    </row>
    <row r="49" spans="4:11" x14ac:dyDescent="0.3">
      <c r="D49" s="115">
        <f t="shared" si="2"/>
        <v>43800</v>
      </c>
      <c r="E49" s="115">
        <f t="shared" si="2"/>
        <v>43800</v>
      </c>
      <c r="F49" s="115">
        <f t="shared" si="2"/>
        <v>43800</v>
      </c>
      <c r="G49" s="115">
        <f t="shared" si="2"/>
        <v>43800</v>
      </c>
      <c r="H49" s="115"/>
      <c r="I49" s="115"/>
      <c r="J49" s="122" t="s">
        <v>555</v>
      </c>
      <c r="K49" s="121" t="s">
        <v>502</v>
      </c>
    </row>
    <row r="50" spans="4:11" x14ac:dyDescent="0.3">
      <c r="D50" s="115">
        <f t="shared" si="2"/>
        <v>43831</v>
      </c>
      <c r="E50" s="115">
        <f t="shared" si="2"/>
        <v>43831</v>
      </c>
      <c r="F50" s="115">
        <f t="shared" si="2"/>
        <v>43831</v>
      </c>
      <c r="G50" s="115">
        <f t="shared" si="2"/>
        <v>43831</v>
      </c>
      <c r="H50" s="115"/>
      <c r="I50" s="115"/>
      <c r="J50" s="122" t="s">
        <v>556</v>
      </c>
      <c r="K50" s="121" t="s">
        <v>502</v>
      </c>
    </row>
    <row r="51" spans="4:11" x14ac:dyDescent="0.3">
      <c r="D51" s="115">
        <f t="shared" ref="D51:G66" si="3">DATE(YEAR(D50),MONTH(D50)+1,DAY(1))</f>
        <v>43862</v>
      </c>
      <c r="E51" s="115">
        <f t="shared" si="3"/>
        <v>43862</v>
      </c>
      <c r="F51" s="115">
        <f t="shared" si="3"/>
        <v>43862</v>
      </c>
      <c r="G51" s="115">
        <f t="shared" si="3"/>
        <v>43862</v>
      </c>
      <c r="H51" s="115"/>
      <c r="I51" s="115"/>
      <c r="J51" s="122" t="s">
        <v>557</v>
      </c>
      <c r="K51" s="121" t="s">
        <v>502</v>
      </c>
    </row>
    <row r="52" spans="4:11" x14ac:dyDescent="0.3">
      <c r="D52" s="115">
        <f t="shared" si="3"/>
        <v>43891</v>
      </c>
      <c r="E52" s="115">
        <f t="shared" si="3"/>
        <v>43891</v>
      </c>
      <c r="F52" s="115">
        <f t="shared" si="3"/>
        <v>43891</v>
      </c>
      <c r="G52" s="115">
        <f t="shared" si="3"/>
        <v>43891</v>
      </c>
      <c r="H52" s="115"/>
      <c r="I52" s="115"/>
      <c r="J52" s="122" t="s">
        <v>558</v>
      </c>
      <c r="K52" s="121" t="s">
        <v>502</v>
      </c>
    </row>
    <row r="53" spans="4:11" ht="28.8" x14ac:dyDescent="0.3">
      <c r="D53" s="115">
        <f t="shared" si="3"/>
        <v>43922</v>
      </c>
      <c r="E53" s="115">
        <f t="shared" si="3"/>
        <v>43922</v>
      </c>
      <c r="F53" s="115">
        <f t="shared" si="3"/>
        <v>43922</v>
      </c>
      <c r="G53" s="115">
        <f t="shared" si="3"/>
        <v>43922</v>
      </c>
      <c r="H53" s="115"/>
      <c r="I53" s="115"/>
      <c r="J53" s="122" t="s">
        <v>559</v>
      </c>
      <c r="K53" s="121" t="s">
        <v>502</v>
      </c>
    </row>
    <row r="54" spans="4:11" x14ac:dyDescent="0.3">
      <c r="D54" s="115">
        <f t="shared" si="3"/>
        <v>43952</v>
      </c>
      <c r="E54" s="115">
        <f t="shared" si="3"/>
        <v>43952</v>
      </c>
      <c r="F54" s="115">
        <f t="shared" si="3"/>
        <v>43952</v>
      </c>
      <c r="G54" s="115">
        <f t="shared" si="3"/>
        <v>43952</v>
      </c>
      <c r="H54" s="115"/>
      <c r="I54" s="115"/>
      <c r="J54" s="122" t="s">
        <v>560</v>
      </c>
      <c r="K54" s="121" t="s">
        <v>502</v>
      </c>
    </row>
    <row r="55" spans="4:11" x14ac:dyDescent="0.3">
      <c r="D55" s="115">
        <f t="shared" si="3"/>
        <v>43983</v>
      </c>
      <c r="E55" s="115">
        <f t="shared" si="3"/>
        <v>43983</v>
      </c>
      <c r="F55" s="115">
        <f t="shared" si="3"/>
        <v>43983</v>
      </c>
      <c r="G55" s="115">
        <f t="shared" si="3"/>
        <v>43983</v>
      </c>
      <c r="H55" s="115"/>
      <c r="I55" s="115"/>
      <c r="J55" s="122" t="s">
        <v>561</v>
      </c>
      <c r="K55" s="121" t="s">
        <v>502</v>
      </c>
    </row>
    <row r="56" spans="4:11" x14ac:dyDescent="0.3">
      <c r="D56" s="115">
        <f t="shared" si="3"/>
        <v>44013</v>
      </c>
      <c r="E56" s="115">
        <f t="shared" si="3"/>
        <v>44013</v>
      </c>
      <c r="F56" s="115">
        <f t="shared" si="3"/>
        <v>44013</v>
      </c>
      <c r="G56" s="115">
        <f t="shared" si="3"/>
        <v>44013</v>
      </c>
      <c r="H56" s="115"/>
      <c r="I56" s="115"/>
      <c r="J56" s="122" t="s">
        <v>562</v>
      </c>
      <c r="K56" s="121" t="s">
        <v>502</v>
      </c>
    </row>
    <row r="57" spans="4:11" x14ac:dyDescent="0.3">
      <c r="D57" s="115">
        <f t="shared" si="3"/>
        <v>44044</v>
      </c>
      <c r="E57" s="115">
        <f t="shared" si="3"/>
        <v>44044</v>
      </c>
      <c r="F57" s="115">
        <f t="shared" si="3"/>
        <v>44044</v>
      </c>
      <c r="G57" s="115">
        <f t="shared" si="3"/>
        <v>44044</v>
      </c>
      <c r="H57" s="115"/>
      <c r="I57" s="115"/>
      <c r="J57" s="122" t="s">
        <v>563</v>
      </c>
      <c r="K57" s="121" t="s">
        <v>502</v>
      </c>
    </row>
    <row r="58" spans="4:11" x14ac:dyDescent="0.3">
      <c r="D58" s="115">
        <f t="shared" si="3"/>
        <v>44075</v>
      </c>
      <c r="E58" s="115">
        <f t="shared" si="3"/>
        <v>44075</v>
      </c>
      <c r="F58" s="115">
        <f t="shared" si="3"/>
        <v>44075</v>
      </c>
      <c r="G58" s="115">
        <f t="shared" si="3"/>
        <v>44075</v>
      </c>
      <c r="H58" s="115"/>
      <c r="I58" s="115"/>
      <c r="J58" s="122" t="s">
        <v>564</v>
      </c>
      <c r="K58" s="121" t="s">
        <v>502</v>
      </c>
    </row>
    <row r="59" spans="4:11" ht="15" customHeight="1" x14ac:dyDescent="0.3">
      <c r="D59" s="115">
        <f t="shared" si="3"/>
        <v>44105</v>
      </c>
      <c r="E59" s="115">
        <f t="shared" si="3"/>
        <v>44105</v>
      </c>
      <c r="F59" s="115">
        <f t="shared" si="3"/>
        <v>44105</v>
      </c>
      <c r="G59" s="115">
        <f t="shared" si="3"/>
        <v>44105</v>
      </c>
      <c r="H59" s="115"/>
      <c r="I59" s="115"/>
      <c r="J59" s="122" t="s">
        <v>565</v>
      </c>
      <c r="K59" s="123" t="s">
        <v>503</v>
      </c>
    </row>
    <row r="60" spans="4:11" x14ac:dyDescent="0.3">
      <c r="D60" s="115">
        <f t="shared" si="3"/>
        <v>44136</v>
      </c>
      <c r="E60" s="115">
        <f t="shared" si="3"/>
        <v>44136</v>
      </c>
      <c r="F60" s="115">
        <f t="shared" si="3"/>
        <v>44136</v>
      </c>
      <c r="G60" s="115">
        <f t="shared" si="3"/>
        <v>44136</v>
      </c>
      <c r="H60" s="115"/>
      <c r="I60" s="115"/>
      <c r="J60" s="122" t="s">
        <v>566</v>
      </c>
      <c r="K60" s="123" t="s">
        <v>503</v>
      </c>
    </row>
    <row r="61" spans="4:11" ht="28.8" x14ac:dyDescent="0.3">
      <c r="D61" s="115">
        <f t="shared" si="3"/>
        <v>44166</v>
      </c>
      <c r="E61" s="115">
        <f t="shared" si="3"/>
        <v>44166</v>
      </c>
      <c r="F61" s="115">
        <f t="shared" si="3"/>
        <v>44166</v>
      </c>
      <c r="G61" s="115">
        <f t="shared" si="3"/>
        <v>44166</v>
      </c>
      <c r="H61" s="115"/>
      <c r="I61" s="115"/>
      <c r="J61" s="122" t="s">
        <v>567</v>
      </c>
      <c r="K61" s="123" t="s">
        <v>503</v>
      </c>
    </row>
    <row r="62" spans="4:11" x14ac:dyDescent="0.3">
      <c r="D62" s="115">
        <f t="shared" si="3"/>
        <v>44197</v>
      </c>
      <c r="E62" s="115">
        <f t="shared" si="3"/>
        <v>44197</v>
      </c>
      <c r="F62" s="115">
        <f t="shared" si="3"/>
        <v>44197</v>
      </c>
      <c r="G62" s="115">
        <f t="shared" si="3"/>
        <v>44197</v>
      </c>
      <c r="H62" s="115"/>
      <c r="I62" s="115"/>
      <c r="J62" s="122" t="s">
        <v>568</v>
      </c>
      <c r="K62" s="123" t="s">
        <v>503</v>
      </c>
    </row>
    <row r="63" spans="4:11" x14ac:dyDescent="0.3">
      <c r="D63" s="115">
        <f t="shared" si="3"/>
        <v>44228</v>
      </c>
      <c r="E63" s="115">
        <f t="shared" si="3"/>
        <v>44228</v>
      </c>
      <c r="F63" s="115">
        <f t="shared" si="3"/>
        <v>44228</v>
      </c>
      <c r="G63" s="115">
        <f t="shared" si="3"/>
        <v>44228</v>
      </c>
      <c r="H63" s="115"/>
      <c r="I63" s="115"/>
      <c r="J63" s="122" t="s">
        <v>569</v>
      </c>
      <c r="K63" s="123" t="s">
        <v>503</v>
      </c>
    </row>
    <row r="64" spans="4:11" x14ac:dyDescent="0.3">
      <c r="D64" s="115">
        <f t="shared" si="3"/>
        <v>44256</v>
      </c>
      <c r="E64" s="115">
        <f t="shared" si="3"/>
        <v>44256</v>
      </c>
      <c r="F64" s="115">
        <f t="shared" si="3"/>
        <v>44256</v>
      </c>
      <c r="G64" s="115">
        <f t="shared" si="3"/>
        <v>44256</v>
      </c>
      <c r="H64" s="115"/>
      <c r="I64" s="115"/>
      <c r="J64" s="122" t="s">
        <v>570</v>
      </c>
      <c r="K64" s="123" t="s">
        <v>503</v>
      </c>
    </row>
    <row r="65" spans="4:11" ht="28.8" x14ac:dyDescent="0.3">
      <c r="D65" s="115">
        <f t="shared" si="3"/>
        <v>44287</v>
      </c>
      <c r="E65" s="115">
        <f t="shared" si="3"/>
        <v>44287</v>
      </c>
      <c r="F65" s="115">
        <f t="shared" si="3"/>
        <v>44287</v>
      </c>
      <c r="G65" s="115">
        <f t="shared" si="3"/>
        <v>44287</v>
      </c>
      <c r="H65" s="115"/>
      <c r="I65" s="115"/>
      <c r="J65" s="122" t="s">
        <v>571</v>
      </c>
      <c r="K65" s="123" t="s">
        <v>503</v>
      </c>
    </row>
    <row r="66" spans="4:11" ht="28.8" x14ac:dyDescent="0.3">
      <c r="D66" s="115">
        <f t="shared" si="3"/>
        <v>44317</v>
      </c>
      <c r="E66" s="115">
        <f t="shared" si="3"/>
        <v>44317</v>
      </c>
      <c r="F66" s="115">
        <f t="shared" si="3"/>
        <v>44317</v>
      </c>
      <c r="G66" s="115">
        <f t="shared" si="3"/>
        <v>44317</v>
      </c>
      <c r="H66" s="115"/>
      <c r="I66" s="115"/>
      <c r="J66" s="122" t="s">
        <v>572</v>
      </c>
      <c r="K66" s="123" t="s">
        <v>503</v>
      </c>
    </row>
    <row r="67" spans="4:11" x14ac:dyDescent="0.3">
      <c r="D67" s="115">
        <f t="shared" ref="D67:G82" si="4">DATE(YEAR(D66),MONTH(D66)+1,DAY(1))</f>
        <v>44348</v>
      </c>
      <c r="E67" s="115">
        <f t="shared" si="4"/>
        <v>44348</v>
      </c>
      <c r="F67" s="115">
        <f t="shared" si="4"/>
        <v>44348</v>
      </c>
      <c r="G67" s="115">
        <f t="shared" si="4"/>
        <v>44348</v>
      </c>
      <c r="H67" s="115"/>
      <c r="I67" s="115"/>
      <c r="J67" s="122" t="s">
        <v>573</v>
      </c>
      <c r="K67" s="123" t="s">
        <v>503</v>
      </c>
    </row>
    <row r="68" spans="4:11" x14ac:dyDescent="0.3">
      <c r="D68" s="115">
        <f t="shared" si="4"/>
        <v>44378</v>
      </c>
      <c r="E68" s="115">
        <f t="shared" si="4"/>
        <v>44378</v>
      </c>
      <c r="F68" s="115">
        <f t="shared" si="4"/>
        <v>44378</v>
      </c>
      <c r="G68" s="115">
        <f t="shared" si="4"/>
        <v>44378</v>
      </c>
      <c r="H68" s="115"/>
      <c r="I68" s="115"/>
      <c r="J68" s="122" t="s">
        <v>574</v>
      </c>
      <c r="K68" s="123" t="s">
        <v>503</v>
      </c>
    </row>
    <row r="69" spans="4:11" x14ac:dyDescent="0.3">
      <c r="D69" s="115">
        <f t="shared" si="4"/>
        <v>44409</v>
      </c>
      <c r="E69" s="115">
        <f t="shared" si="4"/>
        <v>44409</v>
      </c>
      <c r="F69" s="115">
        <f t="shared" si="4"/>
        <v>44409</v>
      </c>
      <c r="G69" s="115">
        <f t="shared" si="4"/>
        <v>44409</v>
      </c>
      <c r="H69" s="115"/>
      <c r="I69" s="115"/>
      <c r="J69" s="122" t="s">
        <v>575</v>
      </c>
      <c r="K69" s="123" t="s">
        <v>503</v>
      </c>
    </row>
    <row r="70" spans="4:11" ht="28.8" x14ac:dyDescent="0.3">
      <c r="D70" s="115">
        <f t="shared" si="4"/>
        <v>44440</v>
      </c>
      <c r="E70" s="115">
        <f t="shared" si="4"/>
        <v>44440</v>
      </c>
      <c r="F70" s="115">
        <f t="shared" si="4"/>
        <v>44440</v>
      </c>
      <c r="G70" s="115">
        <f t="shared" si="4"/>
        <v>44440</v>
      </c>
      <c r="H70" s="115"/>
      <c r="I70" s="115"/>
      <c r="J70" s="122" t="s">
        <v>576</v>
      </c>
      <c r="K70" s="123" t="s">
        <v>503</v>
      </c>
    </row>
    <row r="71" spans="4:11" ht="28.8" x14ac:dyDescent="0.3">
      <c r="D71" s="115">
        <f t="shared" si="4"/>
        <v>44470</v>
      </c>
      <c r="E71" s="115">
        <f t="shared" si="4"/>
        <v>44470</v>
      </c>
      <c r="F71" s="115">
        <f t="shared" si="4"/>
        <v>44470</v>
      </c>
      <c r="G71" s="115">
        <f t="shared" si="4"/>
        <v>44470</v>
      </c>
      <c r="H71" s="115"/>
      <c r="I71" s="115"/>
      <c r="J71" s="122" t="s">
        <v>577</v>
      </c>
      <c r="K71" s="123" t="s">
        <v>503</v>
      </c>
    </row>
    <row r="72" spans="4:11" x14ac:dyDescent="0.3">
      <c r="D72" s="115">
        <f t="shared" si="4"/>
        <v>44501</v>
      </c>
      <c r="E72" s="115">
        <f t="shared" si="4"/>
        <v>44501</v>
      </c>
      <c r="F72" s="115">
        <f t="shared" si="4"/>
        <v>44501</v>
      </c>
      <c r="G72" s="115">
        <f t="shared" si="4"/>
        <v>44501</v>
      </c>
      <c r="H72" s="115"/>
      <c r="I72" s="115"/>
      <c r="J72" s="122" t="s">
        <v>578</v>
      </c>
      <c r="K72" s="123" t="s">
        <v>503</v>
      </c>
    </row>
    <row r="73" spans="4:11" x14ac:dyDescent="0.3">
      <c r="D73" s="115">
        <f t="shared" si="4"/>
        <v>44531</v>
      </c>
      <c r="E73" s="115">
        <f t="shared" si="4"/>
        <v>44531</v>
      </c>
      <c r="F73" s="115">
        <f t="shared" si="4"/>
        <v>44531</v>
      </c>
      <c r="G73" s="115">
        <f t="shared" si="4"/>
        <v>44531</v>
      </c>
      <c r="H73" s="115"/>
      <c r="I73" s="115"/>
      <c r="J73" s="122" t="s">
        <v>579</v>
      </c>
      <c r="K73" s="123" t="s">
        <v>503</v>
      </c>
    </row>
    <row r="74" spans="4:11" x14ac:dyDescent="0.3">
      <c r="D74" s="115">
        <f t="shared" si="4"/>
        <v>44562</v>
      </c>
      <c r="E74" s="115">
        <f t="shared" si="4"/>
        <v>44562</v>
      </c>
      <c r="F74" s="115">
        <f t="shared" si="4"/>
        <v>44562</v>
      </c>
      <c r="G74" s="115">
        <f t="shared" si="4"/>
        <v>44562</v>
      </c>
      <c r="H74" s="115"/>
      <c r="I74" s="115"/>
      <c r="J74" s="122"/>
      <c r="K74" s="124"/>
    </row>
    <row r="75" spans="4:11" x14ac:dyDescent="0.3">
      <c r="D75" s="115">
        <f t="shared" si="4"/>
        <v>44593</v>
      </c>
      <c r="E75" s="115">
        <f t="shared" si="4"/>
        <v>44593</v>
      </c>
      <c r="F75" s="115">
        <f t="shared" si="4"/>
        <v>44593</v>
      </c>
      <c r="G75" s="115">
        <f t="shared" si="4"/>
        <v>44593</v>
      </c>
      <c r="H75" s="115"/>
      <c r="I75" s="115"/>
      <c r="J75" s="115"/>
    </row>
    <row r="76" spans="4:11" x14ac:dyDescent="0.3">
      <c r="D76" s="115">
        <f t="shared" si="4"/>
        <v>44621</v>
      </c>
      <c r="E76" s="115">
        <f t="shared" si="4"/>
        <v>44621</v>
      </c>
      <c r="F76" s="115">
        <f t="shared" si="4"/>
        <v>44621</v>
      </c>
      <c r="G76" s="115">
        <f t="shared" si="4"/>
        <v>44621</v>
      </c>
      <c r="H76" s="115"/>
      <c r="I76" s="115"/>
      <c r="J76" s="115"/>
    </row>
    <row r="77" spans="4:11" x14ac:dyDescent="0.3">
      <c r="D77" s="115">
        <f t="shared" si="4"/>
        <v>44652</v>
      </c>
      <c r="E77" s="115">
        <f t="shared" si="4"/>
        <v>44652</v>
      </c>
      <c r="F77" s="115">
        <f t="shared" si="4"/>
        <v>44652</v>
      </c>
      <c r="G77" s="115">
        <f t="shared" si="4"/>
        <v>44652</v>
      </c>
      <c r="H77" s="115"/>
      <c r="I77" s="115"/>
      <c r="J77" s="115"/>
    </row>
    <row r="78" spans="4:11" x14ac:dyDescent="0.3">
      <c r="D78" s="115">
        <f t="shared" si="4"/>
        <v>44682</v>
      </c>
      <c r="E78" s="115">
        <f t="shared" si="4"/>
        <v>44682</v>
      </c>
      <c r="F78" s="115">
        <f t="shared" si="4"/>
        <v>44682</v>
      </c>
      <c r="G78" s="115">
        <f t="shared" si="4"/>
        <v>44682</v>
      </c>
      <c r="H78" s="115"/>
      <c r="I78" s="115"/>
      <c r="J78" s="115"/>
    </row>
    <row r="79" spans="4:11" x14ac:dyDescent="0.3">
      <c r="D79" s="115">
        <f t="shared" si="4"/>
        <v>44713</v>
      </c>
      <c r="E79" s="115">
        <f t="shared" si="4"/>
        <v>44713</v>
      </c>
      <c r="F79" s="115">
        <f t="shared" si="4"/>
        <v>44713</v>
      </c>
      <c r="G79" s="115">
        <f t="shared" si="4"/>
        <v>44713</v>
      </c>
      <c r="H79" s="115"/>
      <c r="I79" s="115"/>
      <c r="J79" s="115"/>
    </row>
    <row r="80" spans="4:11" x14ac:dyDescent="0.3">
      <c r="D80" s="115">
        <f t="shared" si="4"/>
        <v>44743</v>
      </c>
      <c r="E80" s="115">
        <f t="shared" si="4"/>
        <v>44743</v>
      </c>
      <c r="F80" s="115">
        <f t="shared" si="4"/>
        <v>44743</v>
      </c>
      <c r="G80" s="115">
        <f t="shared" si="4"/>
        <v>44743</v>
      </c>
      <c r="H80" s="115"/>
      <c r="I80" s="115"/>
      <c r="J80" s="115"/>
    </row>
    <row r="81" spans="4:10" x14ac:dyDescent="0.3">
      <c r="D81" s="115">
        <f t="shared" si="4"/>
        <v>44774</v>
      </c>
      <c r="E81" s="115">
        <f t="shared" si="4"/>
        <v>44774</v>
      </c>
      <c r="F81" s="115">
        <f t="shared" si="4"/>
        <v>44774</v>
      </c>
      <c r="G81" s="115">
        <f t="shared" si="4"/>
        <v>44774</v>
      </c>
      <c r="H81" s="115"/>
      <c r="I81" s="115"/>
      <c r="J81" s="115"/>
    </row>
    <row r="82" spans="4:10" x14ac:dyDescent="0.3">
      <c r="D82" s="115">
        <f t="shared" si="4"/>
        <v>44805</v>
      </c>
      <c r="E82" s="115">
        <f t="shared" si="4"/>
        <v>44805</v>
      </c>
      <c r="F82" s="115">
        <f t="shared" si="4"/>
        <v>44805</v>
      </c>
      <c r="G82" s="115">
        <f t="shared" si="4"/>
        <v>44805</v>
      </c>
      <c r="H82" s="115"/>
      <c r="I82" s="115"/>
      <c r="J82" s="115"/>
    </row>
    <row r="83" spans="4:10" x14ac:dyDescent="0.3">
      <c r="D83" s="115">
        <f t="shared" ref="D83:G98" si="5">DATE(YEAR(D82),MONTH(D82)+1,DAY(1))</f>
        <v>44835</v>
      </c>
      <c r="E83" s="115">
        <f t="shared" si="5"/>
        <v>44835</v>
      </c>
      <c r="F83" s="115">
        <f t="shared" si="5"/>
        <v>44835</v>
      </c>
      <c r="G83" s="115">
        <f t="shared" si="5"/>
        <v>44835</v>
      </c>
      <c r="H83" s="115"/>
      <c r="I83" s="115"/>
      <c r="J83" s="115"/>
    </row>
    <row r="84" spans="4:10" x14ac:dyDescent="0.3">
      <c r="D84" s="115">
        <f t="shared" si="5"/>
        <v>44866</v>
      </c>
      <c r="E84" s="115">
        <f t="shared" si="5"/>
        <v>44866</v>
      </c>
      <c r="F84" s="115">
        <f t="shared" si="5"/>
        <v>44866</v>
      </c>
      <c r="G84" s="115">
        <f t="shared" si="5"/>
        <v>44866</v>
      </c>
      <c r="H84" s="115"/>
      <c r="I84" s="115"/>
      <c r="J84" s="115"/>
    </row>
    <row r="85" spans="4:10" x14ac:dyDescent="0.3">
      <c r="D85" s="115">
        <f t="shared" si="5"/>
        <v>44896</v>
      </c>
      <c r="E85" s="115">
        <f t="shared" si="5"/>
        <v>44896</v>
      </c>
      <c r="F85" s="115">
        <f t="shared" si="5"/>
        <v>44896</v>
      </c>
      <c r="G85" s="115">
        <f t="shared" si="5"/>
        <v>44896</v>
      </c>
      <c r="H85" s="115"/>
      <c r="I85" s="115"/>
      <c r="J85" s="115"/>
    </row>
    <row r="86" spans="4:10" x14ac:dyDescent="0.3">
      <c r="D86" s="115">
        <f t="shared" si="5"/>
        <v>44927</v>
      </c>
      <c r="E86" s="115">
        <f t="shared" si="5"/>
        <v>44927</v>
      </c>
      <c r="F86" s="115">
        <f t="shared" si="5"/>
        <v>44927</v>
      </c>
      <c r="G86" s="115">
        <f t="shared" si="5"/>
        <v>44927</v>
      </c>
      <c r="H86" s="115"/>
      <c r="I86" s="115"/>
      <c r="J86" s="115"/>
    </row>
    <row r="87" spans="4:10" x14ac:dyDescent="0.3">
      <c r="D87" s="115">
        <f t="shared" si="5"/>
        <v>44958</v>
      </c>
      <c r="E87" s="115">
        <f t="shared" si="5"/>
        <v>44958</v>
      </c>
      <c r="F87" s="115">
        <f t="shared" si="5"/>
        <v>44958</v>
      </c>
      <c r="G87" s="115">
        <f t="shared" si="5"/>
        <v>44958</v>
      </c>
      <c r="H87" s="115"/>
      <c r="I87" s="115"/>
      <c r="J87" s="115"/>
    </row>
    <row r="88" spans="4:10" x14ac:dyDescent="0.3">
      <c r="D88" s="115">
        <f t="shared" si="5"/>
        <v>44986</v>
      </c>
      <c r="E88" s="115">
        <f t="shared" si="5"/>
        <v>44986</v>
      </c>
      <c r="F88" s="115">
        <f t="shared" si="5"/>
        <v>44986</v>
      </c>
      <c r="G88" s="115">
        <f t="shared" si="5"/>
        <v>44986</v>
      </c>
      <c r="H88" s="115"/>
      <c r="I88" s="115"/>
      <c r="J88" s="115"/>
    </row>
    <row r="89" spans="4:10" x14ac:dyDescent="0.3">
      <c r="D89" s="115">
        <f t="shared" si="5"/>
        <v>45017</v>
      </c>
      <c r="E89" s="115">
        <f t="shared" si="5"/>
        <v>45017</v>
      </c>
      <c r="F89" s="115">
        <f t="shared" si="5"/>
        <v>45017</v>
      </c>
      <c r="G89" s="115">
        <f t="shared" si="5"/>
        <v>45017</v>
      </c>
      <c r="H89" s="115"/>
      <c r="I89" s="115"/>
      <c r="J89" s="115"/>
    </row>
    <row r="90" spans="4:10" x14ac:dyDescent="0.3">
      <c r="D90" s="115">
        <f t="shared" si="5"/>
        <v>45047</v>
      </c>
      <c r="E90" s="115">
        <f t="shared" si="5"/>
        <v>45047</v>
      </c>
      <c r="F90" s="115">
        <f t="shared" si="5"/>
        <v>45047</v>
      </c>
      <c r="G90" s="115">
        <f t="shared" si="5"/>
        <v>45047</v>
      </c>
      <c r="H90" s="115"/>
      <c r="I90" s="115"/>
      <c r="J90" s="115"/>
    </row>
    <row r="91" spans="4:10" x14ac:dyDescent="0.3">
      <c r="D91" s="115">
        <f t="shared" si="5"/>
        <v>45078</v>
      </c>
      <c r="E91" s="115">
        <f t="shared" si="5"/>
        <v>45078</v>
      </c>
      <c r="F91" s="115">
        <f t="shared" si="5"/>
        <v>45078</v>
      </c>
      <c r="G91" s="115">
        <f t="shared" si="5"/>
        <v>45078</v>
      </c>
      <c r="H91" s="115"/>
      <c r="I91" s="115"/>
      <c r="J91" s="115"/>
    </row>
    <row r="92" spans="4:10" x14ac:dyDescent="0.3">
      <c r="D92" s="115">
        <f t="shared" si="5"/>
        <v>45108</v>
      </c>
      <c r="E92" s="115">
        <f t="shared" si="5"/>
        <v>45108</v>
      </c>
      <c r="F92" s="115">
        <f t="shared" si="5"/>
        <v>45108</v>
      </c>
      <c r="G92" s="115">
        <f t="shared" si="5"/>
        <v>45108</v>
      </c>
      <c r="H92" s="115"/>
      <c r="I92" s="115"/>
      <c r="J92" s="115"/>
    </row>
    <row r="93" spans="4:10" x14ac:dyDescent="0.3">
      <c r="D93" s="115">
        <f t="shared" si="5"/>
        <v>45139</v>
      </c>
      <c r="E93" s="115">
        <f t="shared" si="5"/>
        <v>45139</v>
      </c>
      <c r="F93" s="115">
        <f t="shared" si="5"/>
        <v>45139</v>
      </c>
      <c r="G93" s="115">
        <f t="shared" si="5"/>
        <v>45139</v>
      </c>
      <c r="H93" s="115"/>
      <c r="I93" s="115"/>
      <c r="J93" s="115"/>
    </row>
    <row r="94" spans="4:10" x14ac:dyDescent="0.3">
      <c r="D94" s="115">
        <f t="shared" si="5"/>
        <v>45170</v>
      </c>
      <c r="E94" s="115">
        <f t="shared" si="5"/>
        <v>45170</v>
      </c>
      <c r="F94" s="115">
        <f t="shared" si="5"/>
        <v>45170</v>
      </c>
      <c r="G94" s="115">
        <f t="shared" si="5"/>
        <v>45170</v>
      </c>
      <c r="H94" s="115"/>
      <c r="I94" s="115"/>
      <c r="J94" s="115"/>
    </row>
    <row r="95" spans="4:10" x14ac:dyDescent="0.3">
      <c r="D95" s="115">
        <f t="shared" si="5"/>
        <v>45200</v>
      </c>
      <c r="E95" s="115">
        <f t="shared" si="5"/>
        <v>45200</v>
      </c>
      <c r="F95" s="115">
        <f t="shared" si="5"/>
        <v>45200</v>
      </c>
      <c r="G95" s="115">
        <f t="shared" si="5"/>
        <v>45200</v>
      </c>
      <c r="H95" s="115"/>
      <c r="I95" s="115"/>
      <c r="J95" s="115"/>
    </row>
    <row r="96" spans="4:10" x14ac:dyDescent="0.3">
      <c r="D96" s="115">
        <f t="shared" si="5"/>
        <v>45231</v>
      </c>
      <c r="E96" s="115">
        <f t="shared" si="5"/>
        <v>45231</v>
      </c>
      <c r="F96" s="115">
        <f t="shared" si="5"/>
        <v>45231</v>
      </c>
      <c r="G96" s="115">
        <f t="shared" si="5"/>
        <v>45231</v>
      </c>
      <c r="H96" s="115"/>
      <c r="I96" s="115"/>
      <c r="J96" s="115"/>
    </row>
    <row r="97" spans="4:10" x14ac:dyDescent="0.3">
      <c r="D97" s="115">
        <f t="shared" si="5"/>
        <v>45261</v>
      </c>
      <c r="E97" s="115">
        <f t="shared" si="5"/>
        <v>45261</v>
      </c>
      <c r="F97" s="115">
        <f t="shared" si="5"/>
        <v>45261</v>
      </c>
      <c r="G97" s="115">
        <f t="shared" si="5"/>
        <v>45261</v>
      </c>
      <c r="H97" s="115"/>
      <c r="I97" s="115"/>
      <c r="J97" s="115"/>
    </row>
    <row r="98" spans="4:10" x14ac:dyDescent="0.3">
      <c r="D98" s="115">
        <f t="shared" si="5"/>
        <v>45292</v>
      </c>
      <c r="E98" s="115">
        <f t="shared" si="5"/>
        <v>45292</v>
      </c>
      <c r="F98" s="115">
        <f t="shared" si="5"/>
        <v>45292</v>
      </c>
      <c r="G98" s="115">
        <f t="shared" si="5"/>
        <v>45292</v>
      </c>
      <c r="J98" s="115"/>
    </row>
    <row r="99" spans="4:10" x14ac:dyDescent="0.3">
      <c r="D99" s="115">
        <f t="shared" ref="D99:G114" si="6">DATE(YEAR(D98),MONTH(D98)+1,DAY(1))</f>
        <v>45323</v>
      </c>
      <c r="E99" s="115">
        <f t="shared" si="6"/>
        <v>45323</v>
      </c>
      <c r="F99" s="115">
        <f t="shared" si="6"/>
        <v>45323</v>
      </c>
      <c r="G99" s="115">
        <f t="shared" si="6"/>
        <v>45323</v>
      </c>
      <c r="J99" s="115"/>
    </row>
    <row r="100" spans="4:10" x14ac:dyDescent="0.3">
      <c r="D100" s="115">
        <f t="shared" si="6"/>
        <v>45352</v>
      </c>
      <c r="E100" s="115">
        <f t="shared" si="6"/>
        <v>45352</v>
      </c>
      <c r="F100" s="115">
        <f t="shared" si="6"/>
        <v>45352</v>
      </c>
      <c r="G100" s="115">
        <f t="shared" si="6"/>
        <v>45352</v>
      </c>
      <c r="J100" s="115"/>
    </row>
    <row r="101" spans="4:10" x14ac:dyDescent="0.3">
      <c r="D101" s="115">
        <f t="shared" si="6"/>
        <v>45383</v>
      </c>
      <c r="E101" s="115">
        <f t="shared" si="6"/>
        <v>45383</v>
      </c>
      <c r="F101" s="115">
        <f t="shared" si="6"/>
        <v>45383</v>
      </c>
      <c r="G101" s="115">
        <f t="shared" si="6"/>
        <v>45383</v>
      </c>
    </row>
    <row r="102" spans="4:10" x14ac:dyDescent="0.3">
      <c r="D102" s="115">
        <f t="shared" si="6"/>
        <v>45413</v>
      </c>
      <c r="E102" s="115">
        <f t="shared" si="6"/>
        <v>45413</v>
      </c>
      <c r="F102" s="115">
        <f t="shared" si="6"/>
        <v>45413</v>
      </c>
      <c r="G102" s="115">
        <f t="shared" si="6"/>
        <v>45413</v>
      </c>
    </row>
    <row r="103" spans="4:10" x14ac:dyDescent="0.3">
      <c r="D103" s="115">
        <f t="shared" si="6"/>
        <v>45444</v>
      </c>
      <c r="E103" s="115">
        <f t="shared" si="6"/>
        <v>45444</v>
      </c>
      <c r="F103" s="115">
        <f t="shared" si="6"/>
        <v>45444</v>
      </c>
      <c r="G103" s="115">
        <f t="shared" si="6"/>
        <v>45444</v>
      </c>
    </row>
    <row r="104" spans="4:10" x14ac:dyDescent="0.3">
      <c r="D104" s="115">
        <f t="shared" si="6"/>
        <v>45474</v>
      </c>
      <c r="E104" s="115">
        <f t="shared" si="6"/>
        <v>45474</v>
      </c>
      <c r="F104" s="115">
        <f t="shared" si="6"/>
        <v>45474</v>
      </c>
      <c r="G104" s="115">
        <f t="shared" si="6"/>
        <v>45474</v>
      </c>
    </row>
    <row r="105" spans="4:10" x14ac:dyDescent="0.3">
      <c r="D105" s="115">
        <f t="shared" si="6"/>
        <v>45505</v>
      </c>
      <c r="E105" s="115">
        <f t="shared" si="6"/>
        <v>45505</v>
      </c>
      <c r="F105" s="115">
        <f t="shared" si="6"/>
        <v>45505</v>
      </c>
      <c r="G105" s="115">
        <f t="shared" si="6"/>
        <v>45505</v>
      </c>
    </row>
    <row r="106" spans="4:10" x14ac:dyDescent="0.3">
      <c r="D106" s="115">
        <f t="shared" si="6"/>
        <v>45536</v>
      </c>
      <c r="E106" s="115">
        <f t="shared" si="6"/>
        <v>45536</v>
      </c>
      <c r="F106" s="115">
        <f t="shared" si="6"/>
        <v>45536</v>
      </c>
      <c r="G106" s="115">
        <f t="shared" si="6"/>
        <v>45536</v>
      </c>
    </row>
    <row r="107" spans="4:10" x14ac:dyDescent="0.3">
      <c r="D107" s="115">
        <f t="shared" si="6"/>
        <v>45566</v>
      </c>
      <c r="E107" s="115">
        <f t="shared" si="6"/>
        <v>45566</v>
      </c>
      <c r="F107" s="115">
        <f t="shared" si="6"/>
        <v>45566</v>
      </c>
      <c r="G107" s="115">
        <f t="shared" si="6"/>
        <v>45566</v>
      </c>
    </row>
    <row r="108" spans="4:10" x14ac:dyDescent="0.3">
      <c r="D108" s="115">
        <f t="shared" si="6"/>
        <v>45597</v>
      </c>
      <c r="E108" s="115">
        <f t="shared" si="6"/>
        <v>45597</v>
      </c>
      <c r="F108" s="115">
        <f t="shared" si="6"/>
        <v>45597</v>
      </c>
      <c r="G108" s="115">
        <f t="shared" si="6"/>
        <v>45597</v>
      </c>
    </row>
    <row r="109" spans="4:10" x14ac:dyDescent="0.3">
      <c r="D109" s="115">
        <f t="shared" si="6"/>
        <v>45627</v>
      </c>
      <c r="E109" s="115">
        <f t="shared" si="6"/>
        <v>45627</v>
      </c>
      <c r="F109" s="115">
        <f t="shared" si="6"/>
        <v>45627</v>
      </c>
      <c r="G109" s="115">
        <f t="shared" si="6"/>
        <v>45627</v>
      </c>
    </row>
    <row r="110" spans="4:10" x14ac:dyDescent="0.3">
      <c r="D110" s="115">
        <f t="shared" si="6"/>
        <v>45658</v>
      </c>
      <c r="E110" s="115">
        <f t="shared" si="6"/>
        <v>45658</v>
      </c>
      <c r="F110" s="115">
        <f t="shared" si="6"/>
        <v>45658</v>
      </c>
      <c r="G110" s="115">
        <f t="shared" si="6"/>
        <v>45658</v>
      </c>
    </row>
    <row r="111" spans="4:10" x14ac:dyDescent="0.3">
      <c r="D111" s="115">
        <f t="shared" si="6"/>
        <v>45689</v>
      </c>
      <c r="E111" s="115">
        <f t="shared" si="6"/>
        <v>45689</v>
      </c>
      <c r="F111" s="115">
        <f t="shared" si="6"/>
        <v>45689</v>
      </c>
      <c r="G111" s="115">
        <f t="shared" si="6"/>
        <v>45689</v>
      </c>
    </row>
    <row r="112" spans="4:10" x14ac:dyDescent="0.3">
      <c r="D112" s="115">
        <f t="shared" si="6"/>
        <v>45717</v>
      </c>
      <c r="E112" s="115">
        <f t="shared" si="6"/>
        <v>45717</v>
      </c>
      <c r="F112" s="115">
        <f t="shared" si="6"/>
        <v>45717</v>
      </c>
      <c r="G112" s="115">
        <f t="shared" si="6"/>
        <v>45717</v>
      </c>
    </row>
    <row r="113" spans="4:7" x14ac:dyDescent="0.3">
      <c r="D113" s="115">
        <f t="shared" si="6"/>
        <v>45748</v>
      </c>
      <c r="E113" s="115">
        <f t="shared" si="6"/>
        <v>45748</v>
      </c>
      <c r="F113" s="115">
        <f t="shared" si="6"/>
        <v>45748</v>
      </c>
      <c r="G113" s="115">
        <f t="shared" si="6"/>
        <v>45748</v>
      </c>
    </row>
    <row r="114" spans="4:7" x14ac:dyDescent="0.3">
      <c r="D114" s="115">
        <f t="shared" si="6"/>
        <v>45778</v>
      </c>
      <c r="E114" s="115">
        <f t="shared" si="6"/>
        <v>45778</v>
      </c>
      <c r="F114" s="115">
        <f t="shared" si="6"/>
        <v>45778</v>
      </c>
      <c r="G114" s="115">
        <f t="shared" si="6"/>
        <v>45778</v>
      </c>
    </row>
    <row r="115" spans="4:7" x14ac:dyDescent="0.3">
      <c r="D115" s="115">
        <f t="shared" ref="D115:G130" si="7">DATE(YEAR(D114),MONTH(D114)+1,DAY(1))</f>
        <v>45809</v>
      </c>
      <c r="E115" s="115">
        <f t="shared" si="7"/>
        <v>45809</v>
      </c>
      <c r="F115" s="115">
        <f t="shared" si="7"/>
        <v>45809</v>
      </c>
      <c r="G115" s="115">
        <f t="shared" si="7"/>
        <v>45809</v>
      </c>
    </row>
    <row r="116" spans="4:7" x14ac:dyDescent="0.3">
      <c r="D116" s="115">
        <f t="shared" si="7"/>
        <v>45839</v>
      </c>
      <c r="E116" s="115">
        <f t="shared" si="7"/>
        <v>45839</v>
      </c>
      <c r="F116" s="115">
        <f t="shared" si="7"/>
        <v>45839</v>
      </c>
      <c r="G116" s="115">
        <f t="shared" si="7"/>
        <v>45839</v>
      </c>
    </row>
    <row r="117" spans="4:7" x14ac:dyDescent="0.3">
      <c r="D117" s="115">
        <f t="shared" si="7"/>
        <v>45870</v>
      </c>
      <c r="E117" s="115">
        <f t="shared" si="7"/>
        <v>45870</v>
      </c>
      <c r="F117" s="115">
        <f t="shared" si="7"/>
        <v>45870</v>
      </c>
      <c r="G117" s="115">
        <f t="shared" si="7"/>
        <v>45870</v>
      </c>
    </row>
    <row r="118" spans="4:7" x14ac:dyDescent="0.3">
      <c r="D118" s="115">
        <f t="shared" si="7"/>
        <v>45901</v>
      </c>
      <c r="E118" s="115">
        <f t="shared" si="7"/>
        <v>45901</v>
      </c>
      <c r="F118" s="115">
        <f t="shared" si="7"/>
        <v>45901</v>
      </c>
      <c r="G118" s="115">
        <f t="shared" si="7"/>
        <v>45901</v>
      </c>
    </row>
    <row r="119" spans="4:7" x14ac:dyDescent="0.3">
      <c r="D119" s="115">
        <f t="shared" si="7"/>
        <v>45931</v>
      </c>
      <c r="E119" s="115">
        <f t="shared" si="7"/>
        <v>45931</v>
      </c>
      <c r="F119" s="115">
        <f t="shared" si="7"/>
        <v>45931</v>
      </c>
      <c r="G119" s="115">
        <f t="shared" si="7"/>
        <v>45931</v>
      </c>
    </row>
    <row r="120" spans="4:7" x14ac:dyDescent="0.3">
      <c r="D120" s="115">
        <f t="shared" si="7"/>
        <v>45962</v>
      </c>
      <c r="E120" s="115">
        <f t="shared" si="7"/>
        <v>45962</v>
      </c>
      <c r="F120" s="115">
        <f t="shared" si="7"/>
        <v>45962</v>
      </c>
      <c r="G120" s="115">
        <f t="shared" si="7"/>
        <v>45962</v>
      </c>
    </row>
    <row r="121" spans="4:7" x14ac:dyDescent="0.3">
      <c r="D121" s="115">
        <f t="shared" si="7"/>
        <v>45992</v>
      </c>
      <c r="E121" s="115">
        <f t="shared" si="7"/>
        <v>45992</v>
      </c>
      <c r="F121" s="115">
        <f t="shared" si="7"/>
        <v>45992</v>
      </c>
      <c r="G121" s="115">
        <f t="shared" si="7"/>
        <v>45992</v>
      </c>
    </row>
    <row r="122" spans="4:7" x14ac:dyDescent="0.3">
      <c r="D122" s="115">
        <f t="shared" si="7"/>
        <v>46023</v>
      </c>
      <c r="E122" s="115">
        <f t="shared" si="7"/>
        <v>46023</v>
      </c>
      <c r="F122" s="115">
        <f t="shared" si="7"/>
        <v>46023</v>
      </c>
      <c r="G122" s="115">
        <f t="shared" si="7"/>
        <v>46023</v>
      </c>
    </row>
    <row r="123" spans="4:7" x14ac:dyDescent="0.3">
      <c r="D123" s="115">
        <f t="shared" si="7"/>
        <v>46054</v>
      </c>
      <c r="E123" s="115">
        <f t="shared" si="7"/>
        <v>46054</v>
      </c>
      <c r="F123" s="115">
        <f t="shared" si="7"/>
        <v>46054</v>
      </c>
      <c r="G123" s="115">
        <f t="shared" si="7"/>
        <v>46054</v>
      </c>
    </row>
    <row r="124" spans="4:7" x14ac:dyDescent="0.3">
      <c r="D124" s="115">
        <f t="shared" si="7"/>
        <v>46082</v>
      </c>
      <c r="E124" s="115">
        <f t="shared" si="7"/>
        <v>46082</v>
      </c>
      <c r="F124" s="115">
        <f t="shared" si="7"/>
        <v>46082</v>
      </c>
      <c r="G124" s="115">
        <f t="shared" si="7"/>
        <v>46082</v>
      </c>
    </row>
    <row r="125" spans="4:7" x14ac:dyDescent="0.3">
      <c r="D125" s="115">
        <f t="shared" si="7"/>
        <v>46113</v>
      </c>
      <c r="E125" s="115">
        <f t="shared" si="7"/>
        <v>46113</v>
      </c>
      <c r="F125" s="115">
        <f t="shared" si="7"/>
        <v>46113</v>
      </c>
      <c r="G125" s="115">
        <f t="shared" si="7"/>
        <v>46113</v>
      </c>
    </row>
    <row r="126" spans="4:7" x14ac:dyDescent="0.3">
      <c r="D126" s="115">
        <f t="shared" si="7"/>
        <v>46143</v>
      </c>
      <c r="E126" s="115">
        <f t="shared" si="7"/>
        <v>46143</v>
      </c>
      <c r="F126" s="115">
        <f t="shared" si="7"/>
        <v>46143</v>
      </c>
      <c r="G126" s="115">
        <f t="shared" si="7"/>
        <v>46143</v>
      </c>
    </row>
    <row r="127" spans="4:7" x14ac:dyDescent="0.3">
      <c r="D127" s="115">
        <f t="shared" si="7"/>
        <v>46174</v>
      </c>
      <c r="E127" s="115">
        <f t="shared" si="7"/>
        <v>46174</v>
      </c>
      <c r="F127" s="115">
        <f t="shared" si="7"/>
        <v>46174</v>
      </c>
      <c r="G127" s="115">
        <f t="shared" si="7"/>
        <v>46174</v>
      </c>
    </row>
    <row r="128" spans="4:7" x14ac:dyDescent="0.3">
      <c r="D128" s="115">
        <f t="shared" si="7"/>
        <v>46204</v>
      </c>
      <c r="E128" s="115">
        <f t="shared" si="7"/>
        <v>46204</v>
      </c>
      <c r="F128" s="115">
        <f t="shared" si="7"/>
        <v>46204</v>
      </c>
      <c r="G128" s="115">
        <f t="shared" si="7"/>
        <v>46204</v>
      </c>
    </row>
    <row r="129" spans="4:7" x14ac:dyDescent="0.3">
      <c r="D129" s="115">
        <f t="shared" si="7"/>
        <v>46235</v>
      </c>
      <c r="E129" s="115">
        <f t="shared" si="7"/>
        <v>46235</v>
      </c>
      <c r="F129" s="115">
        <f t="shared" si="7"/>
        <v>46235</v>
      </c>
      <c r="G129" s="115">
        <f t="shared" si="7"/>
        <v>46235</v>
      </c>
    </row>
    <row r="130" spans="4:7" x14ac:dyDescent="0.3">
      <c r="D130" s="115">
        <f t="shared" si="7"/>
        <v>46266</v>
      </c>
      <c r="E130" s="115">
        <f t="shared" si="7"/>
        <v>46266</v>
      </c>
      <c r="F130" s="115">
        <f t="shared" si="7"/>
        <v>46266</v>
      </c>
      <c r="G130" s="115">
        <f t="shared" si="7"/>
        <v>46266</v>
      </c>
    </row>
    <row r="131" spans="4:7" x14ac:dyDescent="0.3">
      <c r="D131" s="115">
        <f t="shared" ref="D131:G146" si="8">DATE(YEAR(D130),MONTH(D130)+1,DAY(1))</f>
        <v>46296</v>
      </c>
      <c r="E131" s="115">
        <f t="shared" si="8"/>
        <v>46296</v>
      </c>
      <c r="F131" s="115">
        <f t="shared" si="8"/>
        <v>46296</v>
      </c>
      <c r="G131" s="115">
        <f t="shared" si="8"/>
        <v>46296</v>
      </c>
    </row>
    <row r="132" spans="4:7" x14ac:dyDescent="0.3">
      <c r="D132" s="115">
        <f t="shared" si="8"/>
        <v>46327</v>
      </c>
      <c r="E132" s="115">
        <f t="shared" si="8"/>
        <v>46327</v>
      </c>
      <c r="F132" s="115">
        <f t="shared" si="8"/>
        <v>46327</v>
      </c>
      <c r="G132" s="115">
        <f t="shared" si="8"/>
        <v>46327</v>
      </c>
    </row>
    <row r="133" spans="4:7" x14ac:dyDescent="0.3">
      <c r="D133" s="115">
        <f t="shared" si="8"/>
        <v>46357</v>
      </c>
      <c r="E133" s="115">
        <f t="shared" si="8"/>
        <v>46357</v>
      </c>
      <c r="F133" s="115">
        <f t="shared" si="8"/>
        <v>46357</v>
      </c>
      <c r="G133" s="115">
        <f t="shared" si="8"/>
        <v>46357</v>
      </c>
    </row>
    <row r="134" spans="4:7" x14ac:dyDescent="0.3">
      <c r="D134" s="115">
        <f t="shared" si="8"/>
        <v>46388</v>
      </c>
      <c r="E134" s="115">
        <f t="shared" si="8"/>
        <v>46388</v>
      </c>
      <c r="F134" s="115">
        <f t="shared" si="8"/>
        <v>46388</v>
      </c>
      <c r="G134" s="115">
        <f t="shared" si="8"/>
        <v>46388</v>
      </c>
    </row>
    <row r="135" spans="4:7" x14ac:dyDescent="0.3">
      <c r="D135" s="115">
        <f t="shared" si="8"/>
        <v>46419</v>
      </c>
      <c r="E135" s="115">
        <f t="shared" si="8"/>
        <v>46419</v>
      </c>
      <c r="F135" s="115">
        <f t="shared" si="8"/>
        <v>46419</v>
      </c>
      <c r="G135" s="115">
        <f t="shared" si="8"/>
        <v>46419</v>
      </c>
    </row>
    <row r="136" spans="4:7" x14ac:dyDescent="0.3">
      <c r="D136" s="115">
        <f t="shared" si="8"/>
        <v>46447</v>
      </c>
      <c r="E136" s="115">
        <f t="shared" si="8"/>
        <v>46447</v>
      </c>
      <c r="F136" s="115">
        <f t="shared" si="8"/>
        <v>46447</v>
      </c>
      <c r="G136" s="115">
        <f t="shared" si="8"/>
        <v>46447</v>
      </c>
    </row>
    <row r="137" spans="4:7" x14ac:dyDescent="0.3">
      <c r="D137" s="115">
        <f t="shared" si="8"/>
        <v>46478</v>
      </c>
      <c r="E137" s="115">
        <f t="shared" si="8"/>
        <v>46478</v>
      </c>
      <c r="F137" s="115">
        <f t="shared" si="8"/>
        <v>46478</v>
      </c>
      <c r="G137" s="115">
        <f t="shared" si="8"/>
        <v>46478</v>
      </c>
    </row>
    <row r="138" spans="4:7" x14ac:dyDescent="0.3">
      <c r="D138" s="115">
        <f t="shared" si="8"/>
        <v>46508</v>
      </c>
      <c r="E138" s="115">
        <f t="shared" si="8"/>
        <v>46508</v>
      </c>
      <c r="F138" s="115">
        <f t="shared" si="8"/>
        <v>46508</v>
      </c>
      <c r="G138" s="115">
        <f t="shared" si="8"/>
        <v>46508</v>
      </c>
    </row>
    <row r="139" spans="4:7" x14ac:dyDescent="0.3">
      <c r="D139" s="115">
        <f t="shared" si="8"/>
        <v>46539</v>
      </c>
      <c r="E139" s="115">
        <f t="shared" si="8"/>
        <v>46539</v>
      </c>
      <c r="F139" s="115">
        <f t="shared" si="8"/>
        <v>46539</v>
      </c>
      <c r="G139" s="115">
        <f t="shared" si="8"/>
        <v>46539</v>
      </c>
    </row>
    <row r="140" spans="4:7" x14ac:dyDescent="0.3">
      <c r="D140" s="115">
        <f t="shared" si="8"/>
        <v>46569</v>
      </c>
      <c r="E140" s="115">
        <f t="shared" si="8"/>
        <v>46569</v>
      </c>
      <c r="F140" s="115">
        <f t="shared" si="8"/>
        <v>46569</v>
      </c>
      <c r="G140" s="115">
        <f t="shared" si="8"/>
        <v>46569</v>
      </c>
    </row>
    <row r="141" spans="4:7" x14ac:dyDescent="0.3">
      <c r="D141" s="115">
        <f t="shared" si="8"/>
        <v>46600</v>
      </c>
      <c r="E141" s="115">
        <f t="shared" si="8"/>
        <v>46600</v>
      </c>
      <c r="F141" s="115">
        <f t="shared" si="8"/>
        <v>46600</v>
      </c>
      <c r="G141" s="115">
        <f t="shared" si="8"/>
        <v>46600</v>
      </c>
    </row>
    <row r="142" spans="4:7" x14ac:dyDescent="0.3">
      <c r="D142" s="115">
        <f t="shared" si="8"/>
        <v>46631</v>
      </c>
      <c r="E142" s="115">
        <f t="shared" si="8"/>
        <v>46631</v>
      </c>
      <c r="F142" s="115">
        <f t="shared" si="8"/>
        <v>46631</v>
      </c>
      <c r="G142" s="115">
        <f t="shared" si="8"/>
        <v>46631</v>
      </c>
    </row>
    <row r="143" spans="4:7" x14ac:dyDescent="0.3">
      <c r="D143" s="115">
        <f t="shared" si="8"/>
        <v>46661</v>
      </c>
      <c r="E143" s="115">
        <f t="shared" si="8"/>
        <v>46661</v>
      </c>
      <c r="F143" s="115">
        <f t="shared" si="8"/>
        <v>46661</v>
      </c>
      <c r="G143" s="115">
        <f t="shared" si="8"/>
        <v>46661</v>
      </c>
    </row>
    <row r="144" spans="4:7" x14ac:dyDescent="0.3">
      <c r="D144" s="115">
        <f t="shared" si="8"/>
        <v>46692</v>
      </c>
      <c r="E144" s="115">
        <f t="shared" si="8"/>
        <v>46692</v>
      </c>
      <c r="F144" s="115">
        <f t="shared" si="8"/>
        <v>46692</v>
      </c>
      <c r="G144" s="115">
        <f t="shared" si="8"/>
        <v>46692</v>
      </c>
    </row>
    <row r="145" spans="4:7" x14ac:dyDescent="0.3">
      <c r="D145" s="115">
        <f t="shared" si="8"/>
        <v>46722</v>
      </c>
      <c r="E145" s="115">
        <f t="shared" si="8"/>
        <v>46722</v>
      </c>
      <c r="F145" s="115">
        <f t="shared" si="8"/>
        <v>46722</v>
      </c>
      <c r="G145" s="115">
        <f t="shared" si="8"/>
        <v>46722</v>
      </c>
    </row>
    <row r="146" spans="4:7" x14ac:dyDescent="0.3">
      <c r="D146" s="115">
        <f t="shared" si="8"/>
        <v>46753</v>
      </c>
      <c r="E146" s="115">
        <f t="shared" si="8"/>
        <v>46753</v>
      </c>
      <c r="F146" s="115">
        <f t="shared" si="8"/>
        <v>46753</v>
      </c>
      <c r="G146" s="115">
        <f t="shared" si="8"/>
        <v>46753</v>
      </c>
    </row>
    <row r="147" spans="4:7" x14ac:dyDescent="0.3">
      <c r="D147" s="115">
        <f t="shared" ref="D147:G162" si="9">DATE(YEAR(D146),MONTH(D146)+1,DAY(1))</f>
        <v>46784</v>
      </c>
      <c r="E147" s="115">
        <f t="shared" si="9"/>
        <v>46784</v>
      </c>
      <c r="F147" s="115">
        <f t="shared" si="9"/>
        <v>46784</v>
      </c>
      <c r="G147" s="115">
        <f t="shared" si="9"/>
        <v>46784</v>
      </c>
    </row>
    <row r="148" spans="4:7" x14ac:dyDescent="0.3">
      <c r="D148" s="115">
        <f t="shared" si="9"/>
        <v>46813</v>
      </c>
      <c r="E148" s="115">
        <f t="shared" si="9"/>
        <v>46813</v>
      </c>
      <c r="F148" s="115">
        <f t="shared" si="9"/>
        <v>46813</v>
      </c>
      <c r="G148" s="115">
        <f t="shared" si="9"/>
        <v>46813</v>
      </c>
    </row>
    <row r="149" spans="4:7" x14ac:dyDescent="0.3">
      <c r="D149" s="115">
        <f t="shared" si="9"/>
        <v>46844</v>
      </c>
      <c r="E149" s="115">
        <f t="shared" si="9"/>
        <v>46844</v>
      </c>
      <c r="F149" s="115">
        <f t="shared" si="9"/>
        <v>46844</v>
      </c>
      <c r="G149" s="115">
        <f t="shared" si="9"/>
        <v>46844</v>
      </c>
    </row>
    <row r="150" spans="4:7" x14ac:dyDescent="0.3">
      <c r="D150" s="115">
        <f t="shared" si="9"/>
        <v>46874</v>
      </c>
      <c r="E150" s="115">
        <f t="shared" si="9"/>
        <v>46874</v>
      </c>
      <c r="F150" s="115">
        <f t="shared" si="9"/>
        <v>46874</v>
      </c>
      <c r="G150" s="115">
        <f t="shared" si="9"/>
        <v>46874</v>
      </c>
    </row>
    <row r="151" spans="4:7" x14ac:dyDescent="0.3">
      <c r="D151" s="115">
        <f t="shared" si="9"/>
        <v>46905</v>
      </c>
      <c r="E151" s="115">
        <f t="shared" si="9"/>
        <v>46905</v>
      </c>
      <c r="F151" s="115">
        <f t="shared" si="9"/>
        <v>46905</v>
      </c>
      <c r="G151" s="115">
        <f t="shared" si="9"/>
        <v>46905</v>
      </c>
    </row>
    <row r="152" spans="4:7" x14ac:dyDescent="0.3">
      <c r="D152" s="115">
        <f t="shared" si="9"/>
        <v>46935</v>
      </c>
      <c r="E152" s="115">
        <f t="shared" si="9"/>
        <v>46935</v>
      </c>
      <c r="F152" s="115">
        <f t="shared" si="9"/>
        <v>46935</v>
      </c>
      <c r="G152" s="115">
        <f t="shared" si="9"/>
        <v>46935</v>
      </c>
    </row>
    <row r="153" spans="4:7" x14ac:dyDescent="0.3">
      <c r="D153" s="115">
        <f t="shared" si="9"/>
        <v>46966</v>
      </c>
      <c r="E153" s="115">
        <f t="shared" si="9"/>
        <v>46966</v>
      </c>
      <c r="F153" s="115">
        <f t="shared" si="9"/>
        <v>46966</v>
      </c>
      <c r="G153" s="115">
        <f t="shared" si="9"/>
        <v>46966</v>
      </c>
    </row>
    <row r="154" spans="4:7" x14ac:dyDescent="0.3">
      <c r="D154" s="115">
        <f t="shared" si="9"/>
        <v>46997</v>
      </c>
      <c r="E154" s="115">
        <f t="shared" si="9"/>
        <v>46997</v>
      </c>
      <c r="F154" s="115">
        <f t="shared" si="9"/>
        <v>46997</v>
      </c>
      <c r="G154" s="115">
        <f t="shared" si="9"/>
        <v>46997</v>
      </c>
    </row>
    <row r="155" spans="4:7" x14ac:dyDescent="0.3">
      <c r="D155" s="115">
        <f t="shared" si="9"/>
        <v>47027</v>
      </c>
      <c r="E155" s="115">
        <f t="shared" si="9"/>
        <v>47027</v>
      </c>
      <c r="F155" s="115">
        <f t="shared" si="9"/>
        <v>47027</v>
      </c>
      <c r="G155" s="115">
        <f t="shared" si="9"/>
        <v>47027</v>
      </c>
    </row>
    <row r="156" spans="4:7" x14ac:dyDescent="0.3">
      <c r="D156" s="115">
        <f t="shared" si="9"/>
        <v>47058</v>
      </c>
      <c r="E156" s="115">
        <f t="shared" si="9"/>
        <v>47058</v>
      </c>
      <c r="F156" s="115">
        <f t="shared" si="9"/>
        <v>47058</v>
      </c>
      <c r="G156" s="115">
        <f t="shared" si="9"/>
        <v>47058</v>
      </c>
    </row>
    <row r="157" spans="4:7" x14ac:dyDescent="0.3">
      <c r="D157" s="115">
        <f t="shared" si="9"/>
        <v>47088</v>
      </c>
      <c r="E157" s="115">
        <f t="shared" si="9"/>
        <v>47088</v>
      </c>
      <c r="F157" s="115">
        <f t="shared" si="9"/>
        <v>47088</v>
      </c>
      <c r="G157" s="115">
        <f t="shared" si="9"/>
        <v>47088</v>
      </c>
    </row>
    <row r="158" spans="4:7" x14ac:dyDescent="0.3">
      <c r="D158" s="115">
        <f t="shared" si="9"/>
        <v>47119</v>
      </c>
      <c r="E158" s="115">
        <f t="shared" si="9"/>
        <v>47119</v>
      </c>
      <c r="F158" s="115">
        <f t="shared" si="9"/>
        <v>47119</v>
      </c>
      <c r="G158" s="115">
        <f t="shared" si="9"/>
        <v>47119</v>
      </c>
    </row>
    <row r="159" spans="4:7" x14ac:dyDescent="0.3">
      <c r="D159" s="115">
        <f t="shared" si="9"/>
        <v>47150</v>
      </c>
      <c r="E159" s="115">
        <f t="shared" si="9"/>
        <v>47150</v>
      </c>
      <c r="F159" s="115">
        <f t="shared" si="9"/>
        <v>47150</v>
      </c>
      <c r="G159" s="115">
        <f t="shared" si="9"/>
        <v>47150</v>
      </c>
    </row>
    <row r="160" spans="4:7" x14ac:dyDescent="0.3">
      <c r="D160" s="115">
        <f t="shared" si="9"/>
        <v>47178</v>
      </c>
      <c r="E160" s="115">
        <f t="shared" si="9"/>
        <v>47178</v>
      </c>
      <c r="F160" s="115">
        <f t="shared" si="9"/>
        <v>47178</v>
      </c>
      <c r="G160" s="115">
        <f t="shared" si="9"/>
        <v>47178</v>
      </c>
    </row>
    <row r="161" spans="4:7" x14ac:dyDescent="0.3">
      <c r="D161" s="115">
        <f t="shared" si="9"/>
        <v>47209</v>
      </c>
      <c r="E161" s="115">
        <f t="shared" si="9"/>
        <v>47209</v>
      </c>
      <c r="F161" s="115">
        <f t="shared" si="9"/>
        <v>47209</v>
      </c>
      <c r="G161" s="115">
        <f t="shared" si="9"/>
        <v>47209</v>
      </c>
    </row>
    <row r="162" spans="4:7" x14ac:dyDescent="0.3">
      <c r="D162" s="115">
        <f t="shared" si="9"/>
        <v>47239</v>
      </c>
      <c r="E162" s="115">
        <f t="shared" si="9"/>
        <v>47239</v>
      </c>
      <c r="F162" s="115">
        <f t="shared" si="9"/>
        <v>47239</v>
      </c>
      <c r="G162" s="115">
        <f t="shared" si="9"/>
        <v>47239</v>
      </c>
    </row>
    <row r="163" spans="4:7" x14ac:dyDescent="0.3">
      <c r="D163" s="115">
        <f t="shared" ref="D163:G178" si="10">DATE(YEAR(D162),MONTH(D162)+1,DAY(1))</f>
        <v>47270</v>
      </c>
      <c r="E163" s="115">
        <f t="shared" si="10"/>
        <v>47270</v>
      </c>
      <c r="F163" s="115">
        <f t="shared" si="10"/>
        <v>47270</v>
      </c>
      <c r="G163" s="115">
        <f t="shared" si="10"/>
        <v>47270</v>
      </c>
    </row>
    <row r="164" spans="4:7" x14ac:dyDescent="0.3">
      <c r="D164" s="115">
        <f t="shared" si="10"/>
        <v>47300</v>
      </c>
      <c r="E164" s="115">
        <f t="shared" si="10"/>
        <v>47300</v>
      </c>
      <c r="F164" s="115">
        <f t="shared" si="10"/>
        <v>47300</v>
      </c>
      <c r="G164" s="115">
        <f t="shared" si="10"/>
        <v>47300</v>
      </c>
    </row>
    <row r="165" spans="4:7" x14ac:dyDescent="0.3">
      <c r="D165" s="115">
        <f t="shared" si="10"/>
        <v>47331</v>
      </c>
      <c r="E165" s="115">
        <f t="shared" si="10"/>
        <v>47331</v>
      </c>
      <c r="F165" s="115">
        <f t="shared" si="10"/>
        <v>47331</v>
      </c>
      <c r="G165" s="115">
        <f t="shared" si="10"/>
        <v>47331</v>
      </c>
    </row>
    <row r="166" spans="4:7" x14ac:dyDescent="0.3">
      <c r="D166" s="115">
        <f t="shared" si="10"/>
        <v>47362</v>
      </c>
      <c r="E166" s="115">
        <f t="shared" si="10"/>
        <v>47362</v>
      </c>
      <c r="F166" s="115">
        <f t="shared" si="10"/>
        <v>47362</v>
      </c>
      <c r="G166" s="115">
        <f t="shared" si="10"/>
        <v>47362</v>
      </c>
    </row>
    <row r="167" spans="4:7" x14ac:dyDescent="0.3">
      <c r="D167" s="115">
        <f t="shared" si="10"/>
        <v>47392</v>
      </c>
      <c r="E167" s="115">
        <f t="shared" si="10"/>
        <v>47392</v>
      </c>
      <c r="F167" s="115">
        <f t="shared" si="10"/>
        <v>47392</v>
      </c>
      <c r="G167" s="115">
        <f t="shared" si="10"/>
        <v>47392</v>
      </c>
    </row>
    <row r="168" spans="4:7" x14ac:dyDescent="0.3">
      <c r="D168" s="115">
        <f t="shared" si="10"/>
        <v>47423</v>
      </c>
      <c r="E168" s="115">
        <f t="shared" si="10"/>
        <v>47423</v>
      </c>
      <c r="F168" s="115">
        <f t="shared" si="10"/>
        <v>47423</v>
      </c>
      <c r="G168" s="115">
        <f t="shared" si="10"/>
        <v>47423</v>
      </c>
    </row>
    <row r="169" spans="4:7" x14ac:dyDescent="0.3">
      <c r="D169" s="115">
        <f t="shared" si="10"/>
        <v>47453</v>
      </c>
      <c r="E169" s="115">
        <f t="shared" si="10"/>
        <v>47453</v>
      </c>
      <c r="F169" s="115">
        <f t="shared" si="10"/>
        <v>47453</v>
      </c>
      <c r="G169" s="115">
        <f t="shared" si="10"/>
        <v>47453</v>
      </c>
    </row>
    <row r="170" spans="4:7" x14ac:dyDescent="0.3">
      <c r="D170" s="115">
        <f t="shared" si="10"/>
        <v>47484</v>
      </c>
      <c r="E170" s="115">
        <f t="shared" si="10"/>
        <v>47484</v>
      </c>
      <c r="F170" s="115">
        <f t="shared" si="10"/>
        <v>47484</v>
      </c>
      <c r="G170" s="115">
        <f t="shared" si="10"/>
        <v>47484</v>
      </c>
    </row>
    <row r="171" spans="4:7" x14ac:dyDescent="0.3">
      <c r="D171" s="115">
        <f t="shared" si="10"/>
        <v>47515</v>
      </c>
      <c r="E171" s="115">
        <f t="shared" si="10"/>
        <v>47515</v>
      </c>
      <c r="F171" s="115">
        <f t="shared" si="10"/>
        <v>47515</v>
      </c>
      <c r="G171" s="115">
        <f t="shared" si="10"/>
        <v>47515</v>
      </c>
    </row>
    <row r="172" spans="4:7" x14ac:dyDescent="0.3">
      <c r="D172" s="115">
        <f t="shared" si="10"/>
        <v>47543</v>
      </c>
      <c r="E172" s="115">
        <f t="shared" si="10"/>
        <v>47543</v>
      </c>
      <c r="F172" s="115">
        <f t="shared" si="10"/>
        <v>47543</v>
      </c>
      <c r="G172" s="115">
        <f t="shared" si="10"/>
        <v>47543</v>
      </c>
    </row>
    <row r="173" spans="4:7" x14ac:dyDescent="0.3">
      <c r="D173" s="115">
        <f t="shared" si="10"/>
        <v>47574</v>
      </c>
      <c r="E173" s="115">
        <f t="shared" si="10"/>
        <v>47574</v>
      </c>
      <c r="F173" s="115">
        <f t="shared" si="10"/>
        <v>47574</v>
      </c>
      <c r="G173" s="115">
        <f t="shared" si="10"/>
        <v>47574</v>
      </c>
    </row>
    <row r="174" spans="4:7" x14ac:dyDescent="0.3">
      <c r="D174" s="115">
        <f t="shared" si="10"/>
        <v>47604</v>
      </c>
      <c r="E174" s="115">
        <f t="shared" si="10"/>
        <v>47604</v>
      </c>
      <c r="F174" s="115">
        <f t="shared" si="10"/>
        <v>47604</v>
      </c>
      <c r="G174" s="115">
        <f t="shared" si="10"/>
        <v>47604</v>
      </c>
    </row>
    <row r="175" spans="4:7" x14ac:dyDescent="0.3">
      <c r="D175" s="115">
        <f t="shared" si="10"/>
        <v>47635</v>
      </c>
      <c r="E175" s="115">
        <f t="shared" si="10"/>
        <v>47635</v>
      </c>
      <c r="F175" s="115">
        <f t="shared" si="10"/>
        <v>47635</v>
      </c>
      <c r="G175" s="115">
        <f t="shared" si="10"/>
        <v>47635</v>
      </c>
    </row>
    <row r="176" spans="4:7" x14ac:dyDescent="0.3">
      <c r="D176" s="115">
        <f t="shared" si="10"/>
        <v>47665</v>
      </c>
      <c r="E176" s="115">
        <f t="shared" si="10"/>
        <v>47665</v>
      </c>
      <c r="F176" s="115">
        <f t="shared" si="10"/>
        <v>47665</v>
      </c>
      <c r="G176" s="115">
        <f t="shared" si="10"/>
        <v>47665</v>
      </c>
    </row>
    <row r="177" spans="4:7" x14ac:dyDescent="0.3">
      <c r="D177" s="115">
        <f t="shared" si="10"/>
        <v>47696</v>
      </c>
      <c r="E177" s="115">
        <f t="shared" si="10"/>
        <v>47696</v>
      </c>
      <c r="F177" s="115">
        <f t="shared" si="10"/>
        <v>47696</v>
      </c>
      <c r="G177" s="115">
        <f t="shared" si="10"/>
        <v>47696</v>
      </c>
    </row>
    <row r="178" spans="4:7" x14ac:dyDescent="0.3">
      <c r="D178" s="115">
        <f t="shared" si="10"/>
        <v>47727</v>
      </c>
      <c r="E178" s="115">
        <f t="shared" si="10"/>
        <v>47727</v>
      </c>
      <c r="F178" s="115">
        <f t="shared" si="10"/>
        <v>47727</v>
      </c>
      <c r="G178" s="115">
        <f t="shared" si="10"/>
        <v>47727</v>
      </c>
    </row>
    <row r="179" spans="4:7" x14ac:dyDescent="0.3">
      <c r="D179" s="115">
        <f t="shared" ref="D179:G194" si="11">DATE(YEAR(D178),MONTH(D178)+1,DAY(1))</f>
        <v>47757</v>
      </c>
      <c r="E179" s="115">
        <f t="shared" si="11"/>
        <v>47757</v>
      </c>
      <c r="F179" s="115">
        <f t="shared" si="11"/>
        <v>47757</v>
      </c>
      <c r="G179" s="115">
        <f t="shared" si="11"/>
        <v>47757</v>
      </c>
    </row>
    <row r="180" spans="4:7" x14ac:dyDescent="0.3">
      <c r="D180" s="115">
        <f t="shared" si="11"/>
        <v>47788</v>
      </c>
      <c r="E180" s="115">
        <f t="shared" si="11"/>
        <v>47788</v>
      </c>
      <c r="F180" s="115">
        <f t="shared" si="11"/>
        <v>47788</v>
      </c>
      <c r="G180" s="115">
        <f t="shared" si="11"/>
        <v>47788</v>
      </c>
    </row>
    <row r="181" spans="4:7" x14ac:dyDescent="0.3">
      <c r="D181" s="115">
        <f t="shared" si="11"/>
        <v>47818</v>
      </c>
      <c r="E181" s="115">
        <f t="shared" si="11"/>
        <v>47818</v>
      </c>
      <c r="F181" s="115">
        <f t="shared" si="11"/>
        <v>47818</v>
      </c>
      <c r="G181" s="115">
        <f t="shared" si="11"/>
        <v>47818</v>
      </c>
    </row>
    <row r="182" spans="4:7" x14ac:dyDescent="0.3">
      <c r="D182" s="115">
        <f t="shared" si="11"/>
        <v>47849</v>
      </c>
      <c r="E182" s="115">
        <f t="shared" si="11"/>
        <v>47849</v>
      </c>
      <c r="F182" s="115">
        <f t="shared" si="11"/>
        <v>47849</v>
      </c>
      <c r="G182" s="115">
        <f t="shared" si="11"/>
        <v>47849</v>
      </c>
    </row>
    <row r="183" spans="4:7" x14ac:dyDescent="0.3">
      <c r="D183" s="115">
        <f t="shared" si="11"/>
        <v>47880</v>
      </c>
      <c r="E183" s="115">
        <f t="shared" si="11"/>
        <v>47880</v>
      </c>
      <c r="F183" s="115">
        <f t="shared" si="11"/>
        <v>47880</v>
      </c>
      <c r="G183" s="115">
        <f t="shared" si="11"/>
        <v>47880</v>
      </c>
    </row>
    <row r="184" spans="4:7" x14ac:dyDescent="0.3">
      <c r="D184" s="115">
        <f t="shared" si="11"/>
        <v>47908</v>
      </c>
      <c r="E184" s="115">
        <f t="shared" si="11"/>
        <v>47908</v>
      </c>
      <c r="F184" s="115">
        <f t="shared" si="11"/>
        <v>47908</v>
      </c>
      <c r="G184" s="115">
        <f t="shared" si="11"/>
        <v>47908</v>
      </c>
    </row>
    <row r="185" spans="4:7" x14ac:dyDescent="0.3">
      <c r="D185" s="115">
        <f t="shared" si="11"/>
        <v>47939</v>
      </c>
      <c r="E185" s="115">
        <f t="shared" si="11"/>
        <v>47939</v>
      </c>
      <c r="F185" s="115">
        <f t="shared" si="11"/>
        <v>47939</v>
      </c>
      <c r="G185" s="115">
        <f t="shared" si="11"/>
        <v>47939</v>
      </c>
    </row>
    <row r="186" spans="4:7" x14ac:dyDescent="0.3">
      <c r="D186" s="115">
        <f t="shared" si="11"/>
        <v>47969</v>
      </c>
      <c r="E186" s="115">
        <f t="shared" si="11"/>
        <v>47969</v>
      </c>
      <c r="F186" s="115">
        <f t="shared" si="11"/>
        <v>47969</v>
      </c>
      <c r="G186" s="115">
        <f t="shared" si="11"/>
        <v>47969</v>
      </c>
    </row>
    <row r="187" spans="4:7" x14ac:dyDescent="0.3">
      <c r="D187" s="115">
        <f t="shared" si="11"/>
        <v>48000</v>
      </c>
      <c r="E187" s="115">
        <f t="shared" si="11"/>
        <v>48000</v>
      </c>
      <c r="F187" s="115">
        <f t="shared" si="11"/>
        <v>48000</v>
      </c>
      <c r="G187" s="115">
        <f t="shared" si="11"/>
        <v>48000</v>
      </c>
    </row>
    <row r="188" spans="4:7" x14ac:dyDescent="0.3">
      <c r="D188" s="115">
        <f t="shared" si="11"/>
        <v>48030</v>
      </c>
      <c r="E188" s="115">
        <f t="shared" si="11"/>
        <v>48030</v>
      </c>
      <c r="F188" s="115">
        <f t="shared" si="11"/>
        <v>48030</v>
      </c>
      <c r="G188" s="115">
        <f t="shared" si="11"/>
        <v>48030</v>
      </c>
    </row>
    <row r="189" spans="4:7" x14ac:dyDescent="0.3">
      <c r="D189" s="115">
        <f t="shared" si="11"/>
        <v>48061</v>
      </c>
      <c r="E189" s="115">
        <f t="shared" si="11"/>
        <v>48061</v>
      </c>
      <c r="F189" s="115">
        <f t="shared" si="11"/>
        <v>48061</v>
      </c>
      <c r="G189" s="115">
        <f t="shared" si="11"/>
        <v>48061</v>
      </c>
    </row>
    <row r="190" spans="4:7" x14ac:dyDescent="0.3">
      <c r="D190" s="115">
        <f t="shared" si="11"/>
        <v>48092</v>
      </c>
      <c r="E190" s="115">
        <f t="shared" si="11"/>
        <v>48092</v>
      </c>
      <c r="F190" s="115">
        <f t="shared" si="11"/>
        <v>48092</v>
      </c>
      <c r="G190" s="115">
        <f t="shared" si="11"/>
        <v>48092</v>
      </c>
    </row>
    <row r="191" spans="4:7" x14ac:dyDescent="0.3">
      <c r="D191" s="115">
        <f t="shared" si="11"/>
        <v>48122</v>
      </c>
      <c r="E191" s="115">
        <f t="shared" si="11"/>
        <v>48122</v>
      </c>
      <c r="F191" s="115">
        <f t="shared" si="11"/>
        <v>48122</v>
      </c>
      <c r="G191" s="115">
        <f t="shared" si="11"/>
        <v>48122</v>
      </c>
    </row>
    <row r="192" spans="4:7" x14ac:dyDescent="0.3">
      <c r="D192" s="115">
        <f t="shared" si="11"/>
        <v>48153</v>
      </c>
      <c r="E192" s="115">
        <f t="shared" si="11"/>
        <v>48153</v>
      </c>
      <c r="F192" s="115">
        <f t="shared" si="11"/>
        <v>48153</v>
      </c>
      <c r="G192" s="115">
        <f t="shared" si="11"/>
        <v>48153</v>
      </c>
    </row>
    <row r="193" spans="4:7" x14ac:dyDescent="0.3">
      <c r="D193" s="115">
        <f t="shared" si="11"/>
        <v>48183</v>
      </c>
      <c r="E193" s="115">
        <f t="shared" si="11"/>
        <v>48183</v>
      </c>
      <c r="F193" s="115">
        <f t="shared" si="11"/>
        <v>48183</v>
      </c>
      <c r="G193" s="115">
        <f t="shared" si="11"/>
        <v>48183</v>
      </c>
    </row>
    <row r="194" spans="4:7" x14ac:dyDescent="0.3">
      <c r="D194" s="115">
        <f t="shared" si="11"/>
        <v>48214</v>
      </c>
      <c r="E194" s="115">
        <f t="shared" si="11"/>
        <v>48214</v>
      </c>
      <c r="F194" s="115">
        <f t="shared" si="11"/>
        <v>48214</v>
      </c>
      <c r="G194" s="115">
        <f t="shared" si="11"/>
        <v>48214</v>
      </c>
    </row>
    <row r="195" spans="4:7" x14ac:dyDescent="0.3">
      <c r="D195" s="115">
        <f t="shared" ref="D195:G210" si="12">DATE(YEAR(D194),MONTH(D194)+1,DAY(1))</f>
        <v>48245</v>
      </c>
      <c r="E195" s="115">
        <f t="shared" si="12"/>
        <v>48245</v>
      </c>
      <c r="F195" s="115">
        <f t="shared" si="12"/>
        <v>48245</v>
      </c>
      <c r="G195" s="115">
        <f t="shared" si="12"/>
        <v>48245</v>
      </c>
    </row>
    <row r="196" spans="4:7" x14ac:dyDescent="0.3">
      <c r="D196" s="115">
        <f t="shared" si="12"/>
        <v>48274</v>
      </c>
      <c r="E196" s="115">
        <f t="shared" si="12"/>
        <v>48274</v>
      </c>
      <c r="F196" s="115">
        <f t="shared" si="12"/>
        <v>48274</v>
      </c>
      <c r="G196" s="115">
        <f t="shared" si="12"/>
        <v>48274</v>
      </c>
    </row>
    <row r="197" spans="4:7" x14ac:dyDescent="0.3">
      <c r="D197" s="115">
        <f t="shared" si="12"/>
        <v>48305</v>
      </c>
      <c r="E197" s="115">
        <f t="shared" si="12"/>
        <v>48305</v>
      </c>
      <c r="F197" s="115">
        <f t="shared" si="12"/>
        <v>48305</v>
      </c>
      <c r="G197" s="115">
        <f t="shared" si="12"/>
        <v>48305</v>
      </c>
    </row>
    <row r="198" spans="4:7" x14ac:dyDescent="0.3">
      <c r="D198" s="115">
        <f t="shared" si="12"/>
        <v>48335</v>
      </c>
      <c r="E198" s="115">
        <f t="shared" si="12"/>
        <v>48335</v>
      </c>
      <c r="F198" s="115">
        <f t="shared" si="12"/>
        <v>48335</v>
      </c>
      <c r="G198" s="115">
        <f t="shared" si="12"/>
        <v>48335</v>
      </c>
    </row>
    <row r="199" spans="4:7" x14ac:dyDescent="0.3">
      <c r="D199" s="115">
        <f t="shared" si="12"/>
        <v>48366</v>
      </c>
      <c r="E199" s="115">
        <f t="shared" si="12"/>
        <v>48366</v>
      </c>
      <c r="F199" s="115">
        <f t="shared" si="12"/>
        <v>48366</v>
      </c>
      <c r="G199" s="115">
        <f t="shared" si="12"/>
        <v>48366</v>
      </c>
    </row>
    <row r="200" spans="4:7" x14ac:dyDescent="0.3">
      <c r="D200" s="115">
        <f t="shared" si="12"/>
        <v>48396</v>
      </c>
      <c r="E200" s="115">
        <f t="shared" si="12"/>
        <v>48396</v>
      </c>
      <c r="F200" s="115">
        <f t="shared" si="12"/>
        <v>48396</v>
      </c>
      <c r="G200" s="115">
        <f t="shared" si="12"/>
        <v>48396</v>
      </c>
    </row>
    <row r="201" spans="4:7" x14ac:dyDescent="0.3">
      <c r="D201" s="115">
        <f t="shared" si="12"/>
        <v>48427</v>
      </c>
      <c r="E201" s="115">
        <f t="shared" si="12"/>
        <v>48427</v>
      </c>
      <c r="F201" s="115">
        <f t="shared" si="12"/>
        <v>48427</v>
      </c>
      <c r="G201" s="115">
        <f t="shared" si="12"/>
        <v>48427</v>
      </c>
    </row>
    <row r="202" spans="4:7" x14ac:dyDescent="0.3">
      <c r="D202" s="115">
        <f t="shared" si="12"/>
        <v>48458</v>
      </c>
      <c r="E202" s="115">
        <f t="shared" si="12"/>
        <v>48458</v>
      </c>
      <c r="F202" s="115">
        <f t="shared" si="12"/>
        <v>48458</v>
      </c>
      <c r="G202" s="115">
        <f t="shared" si="12"/>
        <v>48458</v>
      </c>
    </row>
    <row r="203" spans="4:7" x14ac:dyDescent="0.3">
      <c r="D203" s="115">
        <f t="shared" si="12"/>
        <v>48488</v>
      </c>
      <c r="E203" s="115">
        <f t="shared" si="12"/>
        <v>48488</v>
      </c>
      <c r="F203" s="115">
        <f t="shared" si="12"/>
        <v>48488</v>
      </c>
      <c r="G203" s="115">
        <f t="shared" si="12"/>
        <v>48488</v>
      </c>
    </row>
    <row r="204" spans="4:7" x14ac:dyDescent="0.3">
      <c r="D204" s="115">
        <f t="shared" si="12"/>
        <v>48519</v>
      </c>
      <c r="E204" s="115">
        <f t="shared" si="12"/>
        <v>48519</v>
      </c>
      <c r="F204" s="115">
        <f t="shared" si="12"/>
        <v>48519</v>
      </c>
      <c r="G204" s="115">
        <f t="shared" si="12"/>
        <v>48519</v>
      </c>
    </row>
    <row r="205" spans="4:7" x14ac:dyDescent="0.3">
      <c r="D205" s="115">
        <f t="shared" si="12"/>
        <v>48549</v>
      </c>
      <c r="E205" s="115">
        <f t="shared" si="12"/>
        <v>48549</v>
      </c>
      <c r="F205" s="115">
        <f t="shared" si="12"/>
        <v>48549</v>
      </c>
      <c r="G205" s="115">
        <f t="shared" si="12"/>
        <v>48549</v>
      </c>
    </row>
    <row r="206" spans="4:7" x14ac:dyDescent="0.3">
      <c r="D206" s="115">
        <f t="shared" si="12"/>
        <v>48580</v>
      </c>
      <c r="E206" s="115">
        <f t="shared" si="12"/>
        <v>48580</v>
      </c>
      <c r="F206" s="115">
        <f t="shared" si="12"/>
        <v>48580</v>
      </c>
      <c r="G206" s="115">
        <f t="shared" si="12"/>
        <v>48580</v>
      </c>
    </row>
    <row r="207" spans="4:7" x14ac:dyDescent="0.3">
      <c r="D207" s="115">
        <f t="shared" si="12"/>
        <v>48611</v>
      </c>
      <c r="E207" s="115">
        <f t="shared" si="12"/>
        <v>48611</v>
      </c>
      <c r="F207" s="115">
        <f t="shared" si="12"/>
        <v>48611</v>
      </c>
      <c r="G207" s="115">
        <f t="shared" si="12"/>
        <v>48611</v>
      </c>
    </row>
    <row r="208" spans="4:7" x14ac:dyDescent="0.3">
      <c r="D208" s="115">
        <f t="shared" si="12"/>
        <v>48639</v>
      </c>
      <c r="E208" s="115">
        <f t="shared" si="12"/>
        <v>48639</v>
      </c>
      <c r="F208" s="115">
        <f t="shared" si="12"/>
        <v>48639</v>
      </c>
      <c r="G208" s="115">
        <f t="shared" si="12"/>
        <v>48639</v>
      </c>
    </row>
    <row r="209" spans="4:7" x14ac:dyDescent="0.3">
      <c r="D209" s="115">
        <f t="shared" si="12"/>
        <v>48670</v>
      </c>
      <c r="E209" s="115">
        <f t="shared" si="12"/>
        <v>48670</v>
      </c>
      <c r="F209" s="115">
        <f t="shared" si="12"/>
        <v>48670</v>
      </c>
      <c r="G209" s="115">
        <f t="shared" si="12"/>
        <v>48670</v>
      </c>
    </row>
    <row r="210" spans="4:7" x14ac:dyDescent="0.3">
      <c r="D210" s="115">
        <f t="shared" si="12"/>
        <v>48700</v>
      </c>
      <c r="E210" s="115">
        <f t="shared" si="12"/>
        <v>48700</v>
      </c>
      <c r="F210" s="115">
        <f t="shared" si="12"/>
        <v>48700</v>
      </c>
      <c r="G210" s="115">
        <f t="shared" si="12"/>
        <v>48700</v>
      </c>
    </row>
    <row r="211" spans="4:7" x14ac:dyDescent="0.3">
      <c r="D211" s="115">
        <f t="shared" ref="D211:G226" si="13">DATE(YEAR(D210),MONTH(D210)+1,DAY(1))</f>
        <v>48731</v>
      </c>
      <c r="E211" s="115">
        <f t="shared" si="13"/>
        <v>48731</v>
      </c>
      <c r="F211" s="115">
        <f t="shared" si="13"/>
        <v>48731</v>
      </c>
      <c r="G211" s="115">
        <f t="shared" si="13"/>
        <v>48731</v>
      </c>
    </row>
    <row r="212" spans="4:7" x14ac:dyDescent="0.3">
      <c r="D212" s="115">
        <f t="shared" si="13"/>
        <v>48761</v>
      </c>
      <c r="E212" s="115">
        <f t="shared" si="13"/>
        <v>48761</v>
      </c>
      <c r="F212" s="115">
        <f t="shared" si="13"/>
        <v>48761</v>
      </c>
      <c r="G212" s="115">
        <f t="shared" si="13"/>
        <v>48761</v>
      </c>
    </row>
    <row r="213" spans="4:7" x14ac:dyDescent="0.3">
      <c r="D213" s="115">
        <f t="shared" si="13"/>
        <v>48792</v>
      </c>
      <c r="E213" s="115">
        <f t="shared" si="13"/>
        <v>48792</v>
      </c>
      <c r="F213" s="115">
        <f t="shared" si="13"/>
        <v>48792</v>
      </c>
      <c r="G213" s="115">
        <f t="shared" si="13"/>
        <v>48792</v>
      </c>
    </row>
    <row r="214" spans="4:7" x14ac:dyDescent="0.3">
      <c r="D214" s="115">
        <f t="shared" si="13"/>
        <v>48823</v>
      </c>
      <c r="E214" s="115">
        <f t="shared" si="13"/>
        <v>48823</v>
      </c>
      <c r="F214" s="115">
        <f t="shared" si="13"/>
        <v>48823</v>
      </c>
      <c r="G214" s="115">
        <f t="shared" si="13"/>
        <v>48823</v>
      </c>
    </row>
    <row r="215" spans="4:7" x14ac:dyDescent="0.3">
      <c r="D215" s="115">
        <f t="shared" si="13"/>
        <v>48853</v>
      </c>
      <c r="E215" s="115">
        <f t="shared" si="13"/>
        <v>48853</v>
      </c>
      <c r="F215" s="115">
        <f t="shared" si="13"/>
        <v>48853</v>
      </c>
      <c r="G215" s="115">
        <f t="shared" si="13"/>
        <v>48853</v>
      </c>
    </row>
    <row r="216" spans="4:7" x14ac:dyDescent="0.3">
      <c r="D216" s="115">
        <f t="shared" si="13"/>
        <v>48884</v>
      </c>
      <c r="E216" s="115">
        <f t="shared" si="13"/>
        <v>48884</v>
      </c>
      <c r="F216" s="115">
        <f t="shared" si="13"/>
        <v>48884</v>
      </c>
      <c r="G216" s="115">
        <f t="shared" si="13"/>
        <v>48884</v>
      </c>
    </row>
    <row r="217" spans="4:7" x14ac:dyDescent="0.3">
      <c r="D217" s="115">
        <f t="shared" si="13"/>
        <v>48914</v>
      </c>
      <c r="E217" s="115">
        <f t="shared" si="13"/>
        <v>48914</v>
      </c>
      <c r="F217" s="115">
        <f t="shared" si="13"/>
        <v>48914</v>
      </c>
      <c r="G217" s="115">
        <f t="shared" si="13"/>
        <v>48914</v>
      </c>
    </row>
    <row r="218" spans="4:7" x14ac:dyDescent="0.3">
      <c r="D218" s="115">
        <f t="shared" si="13"/>
        <v>48945</v>
      </c>
      <c r="E218" s="115">
        <f t="shared" si="13"/>
        <v>48945</v>
      </c>
      <c r="F218" s="115">
        <f t="shared" si="13"/>
        <v>48945</v>
      </c>
      <c r="G218" s="115">
        <f t="shared" si="13"/>
        <v>48945</v>
      </c>
    </row>
    <row r="219" spans="4:7" x14ac:dyDescent="0.3">
      <c r="D219" s="115">
        <f t="shared" si="13"/>
        <v>48976</v>
      </c>
      <c r="E219" s="115">
        <f t="shared" si="13"/>
        <v>48976</v>
      </c>
      <c r="F219" s="115">
        <f t="shared" si="13"/>
        <v>48976</v>
      </c>
      <c r="G219" s="115">
        <f t="shared" si="13"/>
        <v>48976</v>
      </c>
    </row>
    <row r="220" spans="4:7" x14ac:dyDescent="0.3">
      <c r="D220" s="115">
        <f t="shared" si="13"/>
        <v>49004</v>
      </c>
      <c r="E220" s="115">
        <f t="shared" si="13"/>
        <v>49004</v>
      </c>
      <c r="F220" s="115">
        <f t="shared" si="13"/>
        <v>49004</v>
      </c>
      <c r="G220" s="115">
        <f t="shared" si="13"/>
        <v>49004</v>
      </c>
    </row>
    <row r="221" spans="4:7" x14ac:dyDescent="0.3">
      <c r="D221" s="115">
        <f t="shared" si="13"/>
        <v>49035</v>
      </c>
      <c r="E221" s="115">
        <f t="shared" si="13"/>
        <v>49035</v>
      </c>
      <c r="F221" s="115">
        <f t="shared" si="13"/>
        <v>49035</v>
      </c>
      <c r="G221" s="115">
        <f t="shared" si="13"/>
        <v>49035</v>
      </c>
    </row>
    <row r="222" spans="4:7" x14ac:dyDescent="0.3">
      <c r="D222" s="115">
        <f t="shared" si="13"/>
        <v>49065</v>
      </c>
      <c r="E222" s="115">
        <f t="shared" si="13"/>
        <v>49065</v>
      </c>
      <c r="F222" s="115">
        <f t="shared" si="13"/>
        <v>49065</v>
      </c>
      <c r="G222" s="115">
        <f t="shared" si="13"/>
        <v>49065</v>
      </c>
    </row>
    <row r="223" spans="4:7" x14ac:dyDescent="0.3">
      <c r="D223" s="115">
        <f t="shared" si="13"/>
        <v>49096</v>
      </c>
      <c r="E223" s="115">
        <f t="shared" si="13"/>
        <v>49096</v>
      </c>
      <c r="F223" s="115">
        <f t="shared" si="13"/>
        <v>49096</v>
      </c>
      <c r="G223" s="115">
        <f t="shared" si="13"/>
        <v>49096</v>
      </c>
    </row>
    <row r="224" spans="4:7" x14ac:dyDescent="0.3">
      <c r="D224" s="115">
        <f t="shared" si="13"/>
        <v>49126</v>
      </c>
      <c r="E224" s="115">
        <f t="shared" si="13"/>
        <v>49126</v>
      </c>
      <c r="F224" s="115">
        <f t="shared" si="13"/>
        <v>49126</v>
      </c>
      <c r="G224" s="115">
        <f t="shared" si="13"/>
        <v>49126</v>
      </c>
    </row>
    <row r="225" spans="4:7" x14ac:dyDescent="0.3">
      <c r="D225" s="115">
        <f t="shared" si="13"/>
        <v>49157</v>
      </c>
      <c r="E225" s="115">
        <f t="shared" si="13"/>
        <v>49157</v>
      </c>
      <c r="F225" s="115">
        <f t="shared" si="13"/>
        <v>49157</v>
      </c>
      <c r="G225" s="115">
        <f t="shared" si="13"/>
        <v>49157</v>
      </c>
    </row>
    <row r="226" spans="4:7" x14ac:dyDescent="0.3">
      <c r="D226" s="115">
        <f t="shared" si="13"/>
        <v>49188</v>
      </c>
      <c r="E226" s="115">
        <f t="shared" si="13"/>
        <v>49188</v>
      </c>
      <c r="F226" s="115">
        <f t="shared" si="13"/>
        <v>49188</v>
      </c>
      <c r="G226" s="115">
        <f t="shared" si="13"/>
        <v>49188</v>
      </c>
    </row>
    <row r="227" spans="4:7" x14ac:dyDescent="0.3">
      <c r="D227" s="115">
        <f t="shared" ref="D227:G242" si="14">DATE(YEAR(D226),MONTH(D226)+1,DAY(1))</f>
        <v>49218</v>
      </c>
      <c r="E227" s="115">
        <f t="shared" si="14"/>
        <v>49218</v>
      </c>
      <c r="F227" s="115">
        <f t="shared" si="14"/>
        <v>49218</v>
      </c>
      <c r="G227" s="115">
        <f t="shared" si="14"/>
        <v>49218</v>
      </c>
    </row>
    <row r="228" spans="4:7" x14ac:dyDescent="0.3">
      <c r="D228" s="115">
        <f t="shared" si="14"/>
        <v>49249</v>
      </c>
      <c r="E228" s="115">
        <f t="shared" si="14"/>
        <v>49249</v>
      </c>
      <c r="F228" s="115">
        <f t="shared" si="14"/>
        <v>49249</v>
      </c>
      <c r="G228" s="115">
        <f t="shared" si="14"/>
        <v>49249</v>
      </c>
    </row>
    <row r="229" spans="4:7" x14ac:dyDescent="0.3">
      <c r="D229" s="115">
        <f t="shared" si="14"/>
        <v>49279</v>
      </c>
      <c r="E229" s="115">
        <f t="shared" si="14"/>
        <v>49279</v>
      </c>
      <c r="F229" s="115">
        <f t="shared" si="14"/>
        <v>49279</v>
      </c>
      <c r="G229" s="115">
        <f t="shared" si="14"/>
        <v>49279</v>
      </c>
    </row>
    <row r="230" spans="4:7" x14ac:dyDescent="0.3">
      <c r="D230" s="115">
        <f t="shared" si="14"/>
        <v>49310</v>
      </c>
      <c r="E230" s="115">
        <f t="shared" si="14"/>
        <v>49310</v>
      </c>
      <c r="F230" s="115">
        <f t="shared" si="14"/>
        <v>49310</v>
      </c>
      <c r="G230" s="115">
        <f t="shared" si="14"/>
        <v>49310</v>
      </c>
    </row>
    <row r="231" spans="4:7" x14ac:dyDescent="0.3">
      <c r="D231" s="115">
        <f t="shared" si="14"/>
        <v>49341</v>
      </c>
      <c r="E231" s="115">
        <f t="shared" si="14"/>
        <v>49341</v>
      </c>
      <c r="F231" s="115">
        <f t="shared" si="14"/>
        <v>49341</v>
      </c>
      <c r="G231" s="115">
        <f t="shared" si="14"/>
        <v>49341</v>
      </c>
    </row>
    <row r="232" spans="4:7" x14ac:dyDescent="0.3">
      <c r="D232" s="115">
        <f t="shared" si="14"/>
        <v>49369</v>
      </c>
      <c r="E232" s="115">
        <f t="shared" si="14"/>
        <v>49369</v>
      </c>
      <c r="F232" s="115">
        <f t="shared" si="14"/>
        <v>49369</v>
      </c>
      <c r="G232" s="115">
        <f t="shared" si="14"/>
        <v>49369</v>
      </c>
    </row>
    <row r="233" spans="4:7" x14ac:dyDescent="0.3">
      <c r="D233" s="115">
        <f t="shared" si="14"/>
        <v>49400</v>
      </c>
      <c r="E233" s="115">
        <f t="shared" si="14"/>
        <v>49400</v>
      </c>
      <c r="F233" s="115">
        <f t="shared" si="14"/>
        <v>49400</v>
      </c>
      <c r="G233" s="115">
        <f t="shared" si="14"/>
        <v>49400</v>
      </c>
    </row>
    <row r="234" spans="4:7" x14ac:dyDescent="0.3">
      <c r="D234" s="115">
        <f t="shared" si="14"/>
        <v>49430</v>
      </c>
      <c r="E234" s="115">
        <f t="shared" si="14"/>
        <v>49430</v>
      </c>
      <c r="F234" s="115">
        <f t="shared" si="14"/>
        <v>49430</v>
      </c>
      <c r="G234" s="115">
        <f t="shared" si="14"/>
        <v>49430</v>
      </c>
    </row>
    <row r="235" spans="4:7" x14ac:dyDescent="0.3">
      <c r="D235" s="115">
        <f t="shared" si="14"/>
        <v>49461</v>
      </c>
      <c r="E235" s="115">
        <f t="shared" si="14"/>
        <v>49461</v>
      </c>
      <c r="F235" s="115">
        <f t="shared" si="14"/>
        <v>49461</v>
      </c>
      <c r="G235" s="115">
        <f t="shared" si="14"/>
        <v>49461</v>
      </c>
    </row>
    <row r="236" spans="4:7" x14ac:dyDescent="0.3">
      <c r="D236" s="115">
        <f t="shared" si="14"/>
        <v>49491</v>
      </c>
      <c r="E236" s="115">
        <f t="shared" si="14"/>
        <v>49491</v>
      </c>
      <c r="F236" s="115">
        <f t="shared" si="14"/>
        <v>49491</v>
      </c>
      <c r="G236" s="115">
        <f t="shared" si="14"/>
        <v>49491</v>
      </c>
    </row>
    <row r="237" spans="4:7" x14ac:dyDescent="0.3">
      <c r="D237" s="115">
        <f t="shared" si="14"/>
        <v>49522</v>
      </c>
      <c r="E237" s="115">
        <f t="shared" si="14"/>
        <v>49522</v>
      </c>
      <c r="F237" s="115">
        <f t="shared" si="14"/>
        <v>49522</v>
      </c>
      <c r="G237" s="115">
        <f t="shared" si="14"/>
        <v>49522</v>
      </c>
    </row>
    <row r="238" spans="4:7" x14ac:dyDescent="0.3">
      <c r="D238" s="115">
        <f t="shared" si="14"/>
        <v>49553</v>
      </c>
      <c r="E238" s="115">
        <f t="shared" si="14"/>
        <v>49553</v>
      </c>
      <c r="F238" s="115">
        <f t="shared" si="14"/>
        <v>49553</v>
      </c>
      <c r="G238" s="115">
        <f t="shared" si="14"/>
        <v>49553</v>
      </c>
    </row>
    <row r="239" spans="4:7" x14ac:dyDescent="0.3">
      <c r="D239" s="115">
        <f t="shared" si="14"/>
        <v>49583</v>
      </c>
      <c r="E239" s="115">
        <f t="shared" si="14"/>
        <v>49583</v>
      </c>
      <c r="F239" s="115">
        <f t="shared" si="14"/>
        <v>49583</v>
      </c>
      <c r="G239" s="115">
        <f t="shared" si="14"/>
        <v>49583</v>
      </c>
    </row>
    <row r="240" spans="4:7" x14ac:dyDescent="0.3">
      <c r="D240" s="115">
        <f t="shared" si="14"/>
        <v>49614</v>
      </c>
      <c r="E240" s="115">
        <f t="shared" si="14"/>
        <v>49614</v>
      </c>
      <c r="F240" s="115">
        <f t="shared" si="14"/>
        <v>49614</v>
      </c>
      <c r="G240" s="115">
        <f t="shared" si="14"/>
        <v>49614</v>
      </c>
    </row>
    <row r="241" spans="4:7" x14ac:dyDescent="0.3">
      <c r="D241" s="115">
        <f t="shared" si="14"/>
        <v>49644</v>
      </c>
      <c r="E241" s="115">
        <f t="shared" si="14"/>
        <v>49644</v>
      </c>
      <c r="F241" s="115">
        <f t="shared" si="14"/>
        <v>49644</v>
      </c>
      <c r="G241" s="115">
        <f t="shared" si="14"/>
        <v>49644</v>
      </c>
    </row>
    <row r="242" spans="4:7" x14ac:dyDescent="0.3">
      <c r="D242" s="115">
        <f t="shared" si="14"/>
        <v>49675</v>
      </c>
      <c r="E242" s="115">
        <f t="shared" si="14"/>
        <v>49675</v>
      </c>
      <c r="F242" s="115">
        <f t="shared" si="14"/>
        <v>49675</v>
      </c>
      <c r="G242" s="115">
        <f t="shared" si="14"/>
        <v>49675</v>
      </c>
    </row>
    <row r="243" spans="4:7" x14ac:dyDescent="0.3">
      <c r="D243" s="115">
        <f t="shared" ref="D243:G253" si="15">DATE(YEAR(D242),MONTH(D242)+1,DAY(1))</f>
        <v>49706</v>
      </c>
      <c r="E243" s="115">
        <f t="shared" si="15"/>
        <v>49706</v>
      </c>
      <c r="F243" s="115">
        <f t="shared" si="15"/>
        <v>49706</v>
      </c>
      <c r="G243" s="115">
        <f t="shared" si="15"/>
        <v>49706</v>
      </c>
    </row>
    <row r="244" spans="4:7" x14ac:dyDescent="0.3">
      <c r="D244" s="115">
        <f t="shared" si="15"/>
        <v>49735</v>
      </c>
      <c r="E244" s="115">
        <f t="shared" si="15"/>
        <v>49735</v>
      </c>
      <c r="F244" s="115">
        <f t="shared" si="15"/>
        <v>49735</v>
      </c>
      <c r="G244" s="115">
        <f t="shared" si="15"/>
        <v>49735</v>
      </c>
    </row>
    <row r="245" spans="4:7" x14ac:dyDescent="0.3">
      <c r="D245" s="115">
        <f t="shared" si="15"/>
        <v>49766</v>
      </c>
      <c r="E245" s="115">
        <f t="shared" si="15"/>
        <v>49766</v>
      </c>
      <c r="F245" s="115">
        <f t="shared" si="15"/>
        <v>49766</v>
      </c>
      <c r="G245" s="115">
        <f t="shared" si="15"/>
        <v>49766</v>
      </c>
    </row>
    <row r="246" spans="4:7" x14ac:dyDescent="0.3">
      <c r="D246" s="115">
        <f t="shared" si="15"/>
        <v>49796</v>
      </c>
      <c r="E246" s="115">
        <f t="shared" si="15"/>
        <v>49796</v>
      </c>
      <c r="F246" s="115">
        <f t="shared" si="15"/>
        <v>49796</v>
      </c>
      <c r="G246" s="115">
        <f t="shared" si="15"/>
        <v>49796</v>
      </c>
    </row>
    <row r="247" spans="4:7" x14ac:dyDescent="0.3">
      <c r="D247" s="115">
        <f t="shared" si="15"/>
        <v>49827</v>
      </c>
      <c r="E247" s="115">
        <f t="shared" si="15"/>
        <v>49827</v>
      </c>
      <c r="F247" s="115">
        <f t="shared" si="15"/>
        <v>49827</v>
      </c>
      <c r="G247" s="115">
        <f t="shared" si="15"/>
        <v>49827</v>
      </c>
    </row>
    <row r="248" spans="4:7" x14ac:dyDescent="0.3">
      <c r="D248" s="115">
        <f t="shared" si="15"/>
        <v>49857</v>
      </c>
      <c r="E248" s="115">
        <f t="shared" si="15"/>
        <v>49857</v>
      </c>
      <c r="F248" s="115">
        <f t="shared" si="15"/>
        <v>49857</v>
      </c>
      <c r="G248" s="115">
        <f t="shared" si="15"/>
        <v>49857</v>
      </c>
    </row>
    <row r="249" spans="4:7" x14ac:dyDescent="0.3">
      <c r="D249" s="115">
        <f t="shared" si="15"/>
        <v>49888</v>
      </c>
      <c r="E249" s="115">
        <f t="shared" si="15"/>
        <v>49888</v>
      </c>
      <c r="F249" s="115">
        <f t="shared" si="15"/>
        <v>49888</v>
      </c>
      <c r="G249" s="115">
        <f t="shared" si="15"/>
        <v>49888</v>
      </c>
    </row>
    <row r="250" spans="4:7" x14ac:dyDescent="0.3">
      <c r="D250" s="115">
        <f t="shared" si="15"/>
        <v>49919</v>
      </c>
      <c r="E250" s="115">
        <f t="shared" si="15"/>
        <v>49919</v>
      </c>
      <c r="F250" s="115">
        <f t="shared" si="15"/>
        <v>49919</v>
      </c>
      <c r="G250" s="115">
        <f t="shared" si="15"/>
        <v>49919</v>
      </c>
    </row>
    <row r="251" spans="4:7" x14ac:dyDescent="0.3">
      <c r="D251" s="115">
        <f t="shared" si="15"/>
        <v>49949</v>
      </c>
      <c r="E251" s="115">
        <f t="shared" si="15"/>
        <v>49949</v>
      </c>
      <c r="F251" s="115">
        <f t="shared" si="15"/>
        <v>49949</v>
      </c>
      <c r="G251" s="115">
        <f t="shared" si="15"/>
        <v>49949</v>
      </c>
    </row>
    <row r="252" spans="4:7" x14ac:dyDescent="0.3">
      <c r="D252" s="115">
        <f t="shared" si="15"/>
        <v>49980</v>
      </c>
      <c r="E252" s="115">
        <f t="shared" si="15"/>
        <v>49980</v>
      </c>
      <c r="F252" s="115">
        <f t="shared" si="15"/>
        <v>49980</v>
      </c>
      <c r="G252" s="115">
        <f t="shared" si="15"/>
        <v>49980</v>
      </c>
    </row>
    <row r="253" spans="4:7" x14ac:dyDescent="0.3">
      <c r="D253" s="115">
        <f t="shared" si="15"/>
        <v>50010</v>
      </c>
      <c r="E253" s="115">
        <f t="shared" si="15"/>
        <v>50010</v>
      </c>
      <c r="F253" s="115">
        <f t="shared" si="15"/>
        <v>50010</v>
      </c>
      <c r="G253" s="115">
        <f t="shared" si="15"/>
        <v>50010</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B0FF0-8F08-49C4-BDC3-15109A14060B}">
  <sheetPr codeName="Sheet5"/>
  <dimension ref="B2:H38"/>
  <sheetViews>
    <sheetView showGridLines="0" workbookViewId="0"/>
  </sheetViews>
  <sheetFormatPr defaultRowHeight="14.4" x14ac:dyDescent="0.3"/>
  <cols>
    <col min="3" max="3" width="26.88671875" customWidth="1"/>
    <col min="4" max="5" width="12.6640625" customWidth="1"/>
    <col min="6" max="8" width="13.6640625" customWidth="1"/>
  </cols>
  <sheetData>
    <row r="2" spans="2:8" x14ac:dyDescent="0.3">
      <c r="B2" s="156" t="s">
        <v>580</v>
      </c>
      <c r="C2" s="156"/>
      <c r="D2" s="156"/>
      <c r="E2" s="156"/>
      <c r="F2" s="156"/>
      <c r="G2" s="156"/>
      <c r="H2" s="156"/>
    </row>
    <row r="3" spans="2:8" x14ac:dyDescent="0.3">
      <c r="C3" t="s">
        <v>581</v>
      </c>
      <c r="D3" s="131">
        <f ca="1">+Base_Month</f>
        <v>45503.372473379626</v>
      </c>
      <c r="E3" s="131"/>
      <c r="G3" t="s">
        <v>582</v>
      </c>
      <c r="H3" t="s">
        <v>583</v>
      </c>
    </row>
    <row r="4" spans="2:8" x14ac:dyDescent="0.3">
      <c r="C4" t="s">
        <v>584</v>
      </c>
      <c r="D4" s="131">
        <f>StartPD</f>
        <v>0</v>
      </c>
      <c r="E4" s="131">
        <f>+ENDPD</f>
        <v>0</v>
      </c>
      <c r="G4">
        <f>E4-D4</f>
        <v>0</v>
      </c>
      <c r="H4">
        <f>NETWORKDAYS(D4,E4)</f>
        <v>0</v>
      </c>
    </row>
    <row r="5" spans="2:8" x14ac:dyDescent="0.3">
      <c r="C5" t="s">
        <v>585</v>
      </c>
      <c r="D5" s="131">
        <f>+StartD</f>
        <v>0</v>
      </c>
      <c r="E5" s="131">
        <f>+EndD</f>
        <v>0</v>
      </c>
      <c r="G5">
        <f t="shared" ref="G5:G6" si="0">E5-D5</f>
        <v>0</v>
      </c>
      <c r="H5">
        <f t="shared" ref="H5:H6" si="1">NETWORKDAYS(D5,E5)</f>
        <v>0</v>
      </c>
    </row>
    <row r="6" spans="2:8" x14ac:dyDescent="0.3">
      <c r="C6" t="s">
        <v>83</v>
      </c>
      <c r="D6" s="131">
        <f>+StartC</f>
        <v>0</v>
      </c>
      <c r="E6" s="131">
        <f>+EndC</f>
        <v>0</v>
      </c>
      <c r="G6">
        <f t="shared" si="0"/>
        <v>0</v>
      </c>
      <c r="H6">
        <f t="shared" si="1"/>
        <v>0</v>
      </c>
    </row>
    <row r="7" spans="2:8" x14ac:dyDescent="0.3">
      <c r="C7" t="s">
        <v>586</v>
      </c>
      <c r="D7" s="131"/>
      <c r="E7" s="131"/>
    </row>
    <row r="10" spans="2:8" x14ac:dyDescent="0.3">
      <c r="B10" s="156" t="s">
        <v>587</v>
      </c>
      <c r="C10" s="156"/>
      <c r="D10" s="156"/>
      <c r="E10" s="156"/>
      <c r="F10" s="156"/>
      <c r="G10" s="156"/>
      <c r="H10" s="156"/>
    </row>
    <row r="11" spans="2:8" x14ac:dyDescent="0.3">
      <c r="C11" t="s">
        <v>378</v>
      </c>
      <c r="D11" s="3">
        <f>+GSF</f>
        <v>0</v>
      </c>
      <c r="E11" s="3"/>
      <c r="F11" s="3" t="s">
        <v>378</v>
      </c>
    </row>
    <row r="12" spans="2:8" x14ac:dyDescent="0.3">
      <c r="C12" t="s">
        <v>588</v>
      </c>
      <c r="D12" s="3">
        <f>+Summary!C16</f>
        <v>0</v>
      </c>
      <c r="E12" s="3"/>
      <c r="F12" s="3">
        <f>+Summary!E16</f>
        <v>0</v>
      </c>
    </row>
    <row r="13" spans="2:8" x14ac:dyDescent="0.3">
      <c r="D13" s="3"/>
      <c r="E13" s="3"/>
      <c r="F13" s="3"/>
    </row>
    <row r="14" spans="2:8" x14ac:dyDescent="0.3">
      <c r="C14" t="s">
        <v>589</v>
      </c>
      <c r="D14" s="159">
        <f>IF(D11=0,D12,D11)</f>
        <v>0</v>
      </c>
      <c r="E14" s="3"/>
      <c r="F14" s="159">
        <f>IF(D11=0,F12,F11)</f>
        <v>0</v>
      </c>
    </row>
    <row r="15" spans="2:8" x14ac:dyDescent="0.3">
      <c r="D15" s="3"/>
      <c r="E15" s="3"/>
      <c r="F15" s="3"/>
    </row>
    <row r="16" spans="2:8" x14ac:dyDescent="0.3">
      <c r="D16" s="3"/>
      <c r="E16" s="3"/>
      <c r="F16" s="3"/>
    </row>
    <row r="17" spans="2:8" x14ac:dyDescent="0.3">
      <c r="B17" s="156" t="s">
        <v>382</v>
      </c>
      <c r="C17" s="156"/>
      <c r="D17" s="156"/>
      <c r="E17" s="156"/>
      <c r="F17" s="156"/>
      <c r="G17" s="156"/>
      <c r="H17" s="156"/>
    </row>
    <row r="18" spans="2:8" x14ac:dyDescent="0.3">
      <c r="E18" s="3"/>
      <c r="F18" s="3"/>
    </row>
    <row r="19" spans="2:8" x14ac:dyDescent="0.3">
      <c r="C19" t="s">
        <v>590</v>
      </c>
      <c r="D19" s="3" t="str">
        <f>Summary!C21</f>
        <v>GCCM</v>
      </c>
      <c r="E19" s="3"/>
      <c r="F19" s="3"/>
    </row>
    <row r="20" spans="2:8" x14ac:dyDescent="0.3">
      <c r="C20" t="s">
        <v>382</v>
      </c>
      <c r="D20" s="160" t="str">
        <f>IFERROR(VLOOKUP(Transition!D19,'Data Tables'!A8:C12,3,FALSE),0)</f>
        <v>yes</v>
      </c>
    </row>
    <row r="23" spans="2:8" x14ac:dyDescent="0.3">
      <c r="B23" s="156" t="s">
        <v>591</v>
      </c>
      <c r="C23" s="156"/>
      <c r="D23" s="156"/>
      <c r="E23" s="156"/>
      <c r="F23" s="156"/>
      <c r="G23" s="156"/>
      <c r="H23" s="156"/>
    </row>
    <row r="25" spans="2:8" x14ac:dyDescent="0.3">
      <c r="C25" t="s">
        <v>592</v>
      </c>
      <c r="D25">
        <f>+'Biennium Summary'!E28</f>
        <v>0</v>
      </c>
    </row>
    <row r="26" spans="2:8" x14ac:dyDescent="0.3">
      <c r="C26" t="s">
        <v>109</v>
      </c>
      <c r="D26">
        <f>+'Biennium Summary'!H28</f>
        <v>0</v>
      </c>
    </row>
    <row r="27" spans="2:8" x14ac:dyDescent="0.3">
      <c r="C27" t="s">
        <v>593</v>
      </c>
      <c r="D27">
        <f>+'Biennium Summary'!K28</f>
        <v>0</v>
      </c>
    </row>
    <row r="28" spans="2:8" x14ac:dyDescent="0.3">
      <c r="C28" t="s">
        <v>594</v>
      </c>
      <c r="D28">
        <f ca="1">'Biennium Summary'!M28</f>
        <v>0</v>
      </c>
    </row>
    <row r="29" spans="2:8" x14ac:dyDescent="0.3">
      <c r="E29" s="206" t="s">
        <v>595</v>
      </c>
      <c r="F29" s="206" t="s">
        <v>596</v>
      </c>
      <c r="G29" s="206" t="s">
        <v>597</v>
      </c>
      <c r="H29" s="206" t="s">
        <v>598</v>
      </c>
    </row>
    <row r="30" spans="2:8" x14ac:dyDescent="0.3">
      <c r="C30" t="s">
        <v>599</v>
      </c>
      <c r="D30">
        <f>IF(G4&lt;&gt;0,1,0)</f>
        <v>0</v>
      </c>
      <c r="E30">
        <f>IF(D4&lt;DATE(2023,7,1),1,0)</f>
        <v>1</v>
      </c>
      <c r="F30">
        <f>IF(D4&lt;DATE(2025,7,1),1,0)</f>
        <v>1</v>
      </c>
      <c r="G30">
        <f>IF(D4&lt;DATE(2027,7,1),1,0)</f>
        <v>1</v>
      </c>
    </row>
    <row r="31" spans="2:8" x14ac:dyDescent="0.3">
      <c r="C31" t="s">
        <v>600</v>
      </c>
      <c r="D31">
        <f>IF(G5&lt;&gt;0,1,0)</f>
        <v>0</v>
      </c>
      <c r="E31">
        <f t="shared" ref="E31:E32" si="2">IF(D5&lt;DATE(2023,7,1),1,0)</f>
        <v>1</v>
      </c>
      <c r="F31">
        <f t="shared" ref="F31:F32" si="3">IF(D5&lt;DATE(2025,7,1),1,0)</f>
        <v>1</v>
      </c>
      <c r="G31">
        <f t="shared" ref="G31:G32" si="4">IF(D5&lt;DATE(2027,7,1),1,0)</f>
        <v>1</v>
      </c>
    </row>
    <row r="32" spans="2:8" x14ac:dyDescent="0.3">
      <c r="C32" t="s">
        <v>601</v>
      </c>
      <c r="D32">
        <f>IF(G6&lt;&gt;0,1,0)</f>
        <v>0</v>
      </c>
      <c r="E32">
        <f t="shared" si="2"/>
        <v>1</v>
      </c>
      <c r="F32">
        <f t="shared" si="3"/>
        <v>1</v>
      </c>
      <c r="G32">
        <f t="shared" si="4"/>
        <v>1</v>
      </c>
    </row>
    <row r="34" spans="3:5" x14ac:dyDescent="0.3">
      <c r="C34" t="s">
        <v>602</v>
      </c>
    </row>
    <row r="35" spans="3:5" x14ac:dyDescent="0.3">
      <c r="C35" s="207" t="s">
        <v>603</v>
      </c>
      <c r="E35">
        <f ca="1">IF(AND(D25&gt;0,SUM(E30:E32)=0,'Biennium Summary'!C29&lt;&gt;0),1,0)</f>
        <v>0</v>
      </c>
    </row>
    <row r="36" spans="3:5" x14ac:dyDescent="0.3">
      <c r="C36" s="207" t="s">
        <v>604</v>
      </c>
      <c r="E36">
        <f ca="1">IF(AND(SUM(E30:E32)&gt;0,D25=0,'Biennium Summary'!C29&lt;&gt;0),1,0)</f>
        <v>0</v>
      </c>
    </row>
    <row r="37" spans="3:5" x14ac:dyDescent="0.3">
      <c r="C37" s="207" t="s">
        <v>605</v>
      </c>
      <c r="E37">
        <f ca="1">IF(AND(SUM(F30:F32)&gt;0,D26=0,'Biennium Summary'!C29&lt;&gt;0),1,0)</f>
        <v>0</v>
      </c>
    </row>
    <row r="38" spans="3:5" x14ac:dyDescent="0.3">
      <c r="C38" s="207" t="s">
        <v>606</v>
      </c>
      <c r="E38">
        <f ca="1">IF(AND(SUM(G30:G32)&gt;0,D27=0,'Biennium Summary'!C29&lt;&gt;0),1,0)</f>
        <v>0</v>
      </c>
    </row>
  </sheetData>
  <pageMargins left="0.7" right="0.7" top="0.75" bottom="0.75" header="0.3" footer="0.3"/>
  <pageSetup orientation="portrait" horizont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69328-7BD1-40B9-AB2B-6649F75E52BA}">
  <sheetPr codeName="hu">
    <pageSetUpPr fitToPage="1"/>
  </sheetPr>
  <dimension ref="A1:J97"/>
  <sheetViews>
    <sheetView showGridLines="0" tabSelected="1" zoomScaleNormal="100" workbookViewId="0">
      <selection activeCell="L26" sqref="L26"/>
    </sheetView>
  </sheetViews>
  <sheetFormatPr defaultColWidth="9.109375" defaultRowHeight="14.4" x14ac:dyDescent="0.3"/>
  <cols>
    <col min="1" max="1" width="1.44140625" style="3" customWidth="1"/>
    <col min="2" max="2" width="30" style="52" customWidth="1"/>
    <col min="3" max="3" width="19.6640625" style="3" bestFit="1" customWidth="1"/>
    <col min="4" max="4" width="2.88671875" style="3" customWidth="1"/>
    <col min="5" max="5" width="35.6640625" style="52" customWidth="1"/>
    <col min="6" max="6" width="17.109375" style="3" customWidth="1"/>
    <col min="7" max="7" width="1.44140625" style="3" customWidth="1"/>
    <col min="8" max="16384" width="9.109375" style="3"/>
  </cols>
  <sheetData>
    <row r="1" spans="1:7" s="41" customFormat="1" ht="21.6" thickTop="1" x14ac:dyDescent="0.3">
      <c r="A1" s="39"/>
      <c r="B1" s="231" t="s">
        <v>21</v>
      </c>
      <c r="C1" s="231"/>
      <c r="D1" s="231"/>
      <c r="E1" s="231"/>
      <c r="F1" s="231"/>
      <c r="G1" s="40"/>
    </row>
    <row r="2" spans="1:7" s="44" customFormat="1" ht="15" customHeight="1" x14ac:dyDescent="0.3">
      <c r="A2" s="42"/>
      <c r="B2" s="253" t="s">
        <v>22</v>
      </c>
      <c r="C2" s="253"/>
      <c r="D2" s="253"/>
      <c r="E2" s="253"/>
      <c r="F2" s="253"/>
      <c r="G2" s="43"/>
    </row>
    <row r="3" spans="1:7" s="41" customFormat="1" ht="12.75" customHeight="1" x14ac:dyDescent="0.3">
      <c r="A3" s="45"/>
      <c r="B3" s="254" t="s">
        <v>0</v>
      </c>
      <c r="C3" s="254"/>
      <c r="D3" s="254"/>
      <c r="E3" s="254"/>
      <c r="F3" s="254"/>
      <c r="G3" s="46"/>
    </row>
    <row r="4" spans="1:7" x14ac:dyDescent="0.3">
      <c r="A4" s="47"/>
      <c r="B4" s="48" t="s">
        <v>23</v>
      </c>
      <c r="C4" s="255"/>
      <c r="D4" s="256"/>
      <c r="E4" s="257"/>
      <c r="F4" s="49"/>
      <c r="G4" s="50"/>
    </row>
    <row r="5" spans="1:7" x14ac:dyDescent="0.3">
      <c r="A5" s="51"/>
      <c r="B5" s="52" t="s">
        <v>24</v>
      </c>
      <c r="C5" s="255"/>
      <c r="D5" s="256"/>
      <c r="E5" s="257"/>
      <c r="G5" s="53"/>
    </row>
    <row r="6" spans="1:7" ht="15" thickBot="1" x14ac:dyDescent="0.35">
      <c r="A6" s="54"/>
      <c r="B6" s="55" t="s">
        <v>25</v>
      </c>
      <c r="C6" s="258"/>
      <c r="D6" s="259"/>
      <c r="E6" s="260"/>
      <c r="F6" s="56"/>
      <c r="G6" s="57"/>
    </row>
    <row r="7" spans="1:7" ht="15" thickTop="1" x14ac:dyDescent="0.3"/>
    <row r="8" spans="1:7" x14ac:dyDescent="0.3">
      <c r="B8" s="261" t="s">
        <v>26</v>
      </c>
      <c r="C8" s="262"/>
      <c r="D8" s="262"/>
      <c r="E8" s="262"/>
      <c r="F8" s="263"/>
    </row>
    <row r="9" spans="1:7" x14ac:dyDescent="0.3">
      <c r="B9" s="58" t="s">
        <v>27</v>
      </c>
      <c r="C9" s="255"/>
      <c r="D9" s="256"/>
      <c r="E9" s="257"/>
      <c r="F9" s="59"/>
    </row>
    <row r="10" spans="1:7" x14ac:dyDescent="0.3">
      <c r="B10" s="58" t="s">
        <v>28</v>
      </c>
      <c r="C10" s="264"/>
      <c r="D10" s="265"/>
      <c r="E10" s="266"/>
      <c r="F10" s="59"/>
    </row>
    <row r="11" spans="1:7" x14ac:dyDescent="0.3">
      <c r="B11" s="60" t="s">
        <v>29</v>
      </c>
      <c r="C11" s="267"/>
      <c r="D11" s="256"/>
      <c r="E11" s="257"/>
      <c r="F11" s="61"/>
    </row>
    <row r="13" spans="1:7" x14ac:dyDescent="0.3">
      <c r="B13" s="261" t="s">
        <v>30</v>
      </c>
      <c r="C13" s="262"/>
      <c r="D13" s="262"/>
      <c r="E13" s="262"/>
      <c r="F13" s="263"/>
    </row>
    <row r="14" spans="1:7" x14ac:dyDescent="0.3">
      <c r="B14" s="58" t="s">
        <v>31</v>
      </c>
      <c r="C14" s="62"/>
      <c r="D14" s="252"/>
      <c r="E14" s="52" t="s">
        <v>32</v>
      </c>
      <c r="F14" s="63" t="str">
        <f>IFERROR(MACC/GSF, "")</f>
        <v/>
      </c>
    </row>
    <row r="15" spans="1:7" x14ac:dyDescent="0.3">
      <c r="B15" s="58" t="s">
        <v>33</v>
      </c>
      <c r="C15" s="62"/>
      <c r="D15" s="252"/>
      <c r="E15" s="52" t="s">
        <v>34</v>
      </c>
      <c r="F15" s="63" t="str">
        <f ca="1">IFERROR(MACC_ESC/GSF, "")</f>
        <v/>
      </c>
    </row>
    <row r="16" spans="1:7" x14ac:dyDescent="0.3">
      <c r="B16" s="58" t="s">
        <v>35</v>
      </c>
      <c r="C16" s="62"/>
      <c r="D16" s="252"/>
      <c r="E16" s="66"/>
      <c r="F16" s="63"/>
    </row>
    <row r="17" spans="2:10" x14ac:dyDescent="0.3">
      <c r="B17" s="58" t="s">
        <v>36</v>
      </c>
      <c r="C17" s="64" t="str">
        <f>IFERROR(USF/GSF, "")</f>
        <v/>
      </c>
      <c r="D17" s="252"/>
      <c r="E17" s="52" t="s">
        <v>37</v>
      </c>
      <c r="F17" s="65" t="str">
        <f>IFERROR(VLOOKUP($C$18,'Data Tables'!$J$10:$K$73,2,FALSE), "")</f>
        <v>A</v>
      </c>
    </row>
    <row r="18" spans="2:10" x14ac:dyDescent="0.3">
      <c r="B18" s="58" t="s">
        <v>38</v>
      </c>
      <c r="C18" s="66" t="s">
        <v>39</v>
      </c>
      <c r="D18" s="252"/>
      <c r="E18" s="52" t="s">
        <v>40</v>
      </c>
      <c r="F18" s="67">
        <f>IFERROR(IF(C19="No",VLOOKUP(F17,'Data Tables'!J2:K4,2,FALSE),VLOOKUP(F17,'Data Tables'!J2:K4,2,FALSE)+Rem_Ad), "")</f>
        <v>0.1951</v>
      </c>
    </row>
    <row r="19" spans="2:10" x14ac:dyDescent="0.3">
      <c r="B19" s="58" t="s">
        <v>41</v>
      </c>
      <c r="C19" s="68"/>
      <c r="D19" s="252"/>
      <c r="E19" s="52" t="s">
        <v>42</v>
      </c>
      <c r="F19" s="62"/>
    </row>
    <row r="20" spans="2:10" x14ac:dyDescent="0.3">
      <c r="B20" s="271" t="s">
        <v>43</v>
      </c>
      <c r="C20" s="272"/>
      <c r="D20" s="272"/>
      <c r="E20" s="272"/>
      <c r="F20" s="273"/>
    </row>
    <row r="21" spans="2:10" ht="15" customHeight="1" x14ac:dyDescent="0.3">
      <c r="B21" s="58" t="s">
        <v>44</v>
      </c>
      <c r="C21" s="62" t="s">
        <v>45</v>
      </c>
      <c r="D21" s="252"/>
      <c r="E21" s="52" t="s">
        <v>46</v>
      </c>
      <c r="F21" s="62"/>
      <c r="J21" s="3" t="str">
        <f>IF(LEFT(C21,3)="DB-","Note: C-100 does not automatically add sales tax to AE fees for DB work. Manually add sales tax as 'other' design cost","")</f>
        <v/>
      </c>
    </row>
    <row r="22" spans="2:10" x14ac:dyDescent="0.3">
      <c r="B22" s="58" t="s">
        <v>47</v>
      </c>
      <c r="C22" s="200">
        <v>3.3300000000000003E-2</v>
      </c>
      <c r="D22" s="252"/>
      <c r="E22" s="52" t="s">
        <v>48</v>
      </c>
      <c r="F22" s="62"/>
    </row>
    <row r="23" spans="2:10" x14ac:dyDescent="0.3">
      <c r="B23" s="70" t="s">
        <v>49</v>
      </c>
      <c r="C23" s="69">
        <v>0.1</v>
      </c>
      <c r="D23" s="252"/>
      <c r="E23" s="52" t="s">
        <v>50</v>
      </c>
      <c r="F23" s="62"/>
    </row>
    <row r="24" spans="2:10" x14ac:dyDescent="0.3">
      <c r="B24" s="58" t="s">
        <v>51</v>
      </c>
      <c r="C24" s="71">
        <v>0.05</v>
      </c>
      <c r="D24" s="252"/>
      <c r="F24" s="59"/>
      <c r="I24" s="72"/>
    </row>
    <row r="25" spans="2:10" x14ac:dyDescent="0.3">
      <c r="B25" s="58" t="s">
        <v>52</v>
      </c>
      <c r="C25" s="73">
        <f ca="1">NOW()</f>
        <v>45503.372473379626</v>
      </c>
      <c r="D25" s="252"/>
      <c r="E25" s="74" t="s">
        <v>53</v>
      </c>
      <c r="F25" s="62"/>
    </row>
    <row r="26" spans="2:10" x14ac:dyDescent="0.3">
      <c r="B26" s="60" t="s">
        <v>54</v>
      </c>
      <c r="C26" s="68"/>
      <c r="D26" s="274"/>
      <c r="E26" s="75"/>
      <c r="F26" s="61"/>
    </row>
    <row r="28" spans="2:10" x14ac:dyDescent="0.3">
      <c r="B28" s="261" t="s">
        <v>55</v>
      </c>
      <c r="C28" s="262"/>
      <c r="D28" s="262"/>
      <c r="E28" s="262"/>
      <c r="F28" s="263"/>
    </row>
    <row r="29" spans="2:10" x14ac:dyDescent="0.3">
      <c r="B29" s="58" t="s">
        <v>56</v>
      </c>
      <c r="C29" s="73"/>
      <c r="D29" s="252"/>
      <c r="E29" s="52" t="s">
        <v>57</v>
      </c>
      <c r="F29" s="73"/>
    </row>
    <row r="30" spans="2:10" x14ac:dyDescent="0.3">
      <c r="B30" s="58" t="s">
        <v>58</v>
      </c>
      <c r="C30" s="73"/>
      <c r="D30" s="252"/>
      <c r="E30" s="52" t="s">
        <v>59</v>
      </c>
      <c r="F30" s="73"/>
    </row>
    <row r="31" spans="2:10" x14ac:dyDescent="0.3">
      <c r="B31" s="58" t="s">
        <v>60</v>
      </c>
      <c r="C31" s="73"/>
      <c r="D31" s="252"/>
      <c r="E31" s="52" t="s">
        <v>61</v>
      </c>
      <c r="F31" s="73"/>
    </row>
    <row r="32" spans="2:10" x14ac:dyDescent="0.3">
      <c r="B32" s="60" t="s">
        <v>62</v>
      </c>
      <c r="C32" s="132">
        <f>MAX(ROUND((EndC-StartC)/30.5,0),0)</f>
        <v>0</v>
      </c>
      <c r="D32" s="274"/>
      <c r="E32" s="75"/>
      <c r="F32" s="76"/>
    </row>
    <row r="34" spans="1:7" x14ac:dyDescent="0.3">
      <c r="B34" s="275" t="s">
        <v>63</v>
      </c>
      <c r="C34" s="276"/>
    </row>
    <row r="36" spans="1:7" ht="15" thickBot="1" x14ac:dyDescent="0.35"/>
    <row r="37" spans="1:7" ht="22.2" thickTop="1" thickBot="1" x14ac:dyDescent="0.35">
      <c r="A37" s="77"/>
      <c r="B37" s="277" t="s">
        <v>64</v>
      </c>
      <c r="C37" s="277"/>
      <c r="D37" s="277"/>
      <c r="E37" s="277"/>
      <c r="F37" s="277"/>
      <c r="G37" s="78"/>
    </row>
    <row r="38" spans="1:7" ht="18.600000000000001" thickBot="1" x14ac:dyDescent="0.35">
      <c r="A38" s="51"/>
      <c r="B38" s="52" t="s">
        <v>65</v>
      </c>
      <c r="C38" s="204">
        <f ca="1">IFERROR(ACQ_TOTAL+CONSUL_TOTAL+CONST_TOTAL+EQUIP_TOTAL+ART_TOTAL+PM_TOTAL+OTHER_TOTAL, "")</f>
        <v>0</v>
      </c>
      <c r="D38" s="6"/>
      <c r="E38" s="52" t="s">
        <v>66</v>
      </c>
      <c r="F38" s="204">
        <f ca="1">IFERROR(ACQ_TOTAL_ESC+CONSUL_TOTAL_ESC+CONST_TOTAL_ESC+EQUIP_TOTAL_ESC+ART_TOTAL_ESC+PM_TOTAL_ESC+OTHER_TOTAL_ESC, "")</f>
        <v>0</v>
      </c>
      <c r="G38" s="53"/>
    </row>
    <row r="39" spans="1:7" ht="18.600000000000001" thickBot="1" x14ac:dyDescent="0.35">
      <c r="A39" s="51"/>
      <c r="D39" s="6"/>
      <c r="E39" s="52" t="s">
        <v>67</v>
      </c>
      <c r="F39" s="204">
        <f ca="1">IFERROR(ROUND(F38,-3), "")</f>
        <v>0</v>
      </c>
      <c r="G39" s="53"/>
    </row>
    <row r="40" spans="1:7" x14ac:dyDescent="0.3">
      <c r="A40" s="51"/>
      <c r="D40" s="6"/>
      <c r="F40" s="190"/>
      <c r="G40" s="53"/>
    </row>
    <row r="41" spans="1:7" x14ac:dyDescent="0.3">
      <c r="A41" s="51"/>
      <c r="B41" s="52" t="s">
        <v>68</v>
      </c>
      <c r="D41" s="6"/>
      <c r="F41" s="190">
        <f>+'Biennium Summary'!E29</f>
        <v>0</v>
      </c>
      <c r="G41" s="53"/>
    </row>
    <row r="42" spans="1:7" ht="21" x14ac:dyDescent="0.3">
      <c r="A42" s="51"/>
      <c r="B42" s="203" t="s">
        <v>69</v>
      </c>
      <c r="D42" s="6"/>
      <c r="E42" s="3"/>
      <c r="F42" s="202">
        <f>+'Biennium Summary'!H29</f>
        <v>0</v>
      </c>
      <c r="G42" s="53"/>
    </row>
    <row r="43" spans="1:7" x14ac:dyDescent="0.3">
      <c r="A43" s="51"/>
      <c r="B43" s="52" t="s">
        <v>70</v>
      </c>
      <c r="D43" s="6"/>
      <c r="F43" s="190">
        <f>+'Biennium Summary'!K29</f>
        <v>0</v>
      </c>
      <c r="G43" s="53"/>
    </row>
    <row r="44" spans="1:7" x14ac:dyDescent="0.3">
      <c r="A44" s="51"/>
      <c r="B44" s="52" t="s">
        <v>71</v>
      </c>
      <c r="D44" s="6"/>
      <c r="F44" s="208">
        <f ca="1">+'Biennium Summary'!M29</f>
        <v>0</v>
      </c>
      <c r="G44" s="53"/>
    </row>
    <row r="45" spans="1:7" x14ac:dyDescent="0.3">
      <c r="A45" s="51"/>
      <c r="B45" s="3"/>
      <c r="D45" s="6"/>
      <c r="F45" s="205" t="str">
        <f ca="1">IF(AND(F44=F39,'Biennium Summary'!Q9="No",F39&lt;&gt;0),"Please enter biennial spending breakdown on Biennium Summary tab","")</f>
        <v/>
      </c>
      <c r="G45" s="53"/>
    </row>
    <row r="46" spans="1:7" ht="15" thickBot="1" x14ac:dyDescent="0.35">
      <c r="A46" s="54"/>
      <c r="B46" s="55"/>
      <c r="C46" s="56"/>
      <c r="D46" s="222"/>
      <c r="E46" s="55"/>
      <c r="F46" s="56"/>
      <c r="G46" s="57"/>
    </row>
    <row r="47" spans="1:7" ht="15" thickTop="1" x14ac:dyDescent="0.3"/>
    <row r="48" spans="1:7" x14ac:dyDescent="0.3">
      <c r="B48" s="4"/>
      <c r="C48" s="4"/>
      <c r="D48" s="4"/>
      <c r="E48" s="4"/>
      <c r="F48" s="4"/>
    </row>
    <row r="49" spans="2:6" x14ac:dyDescent="0.3">
      <c r="B49" s="268" t="s">
        <v>72</v>
      </c>
      <c r="C49" s="269"/>
      <c r="D49" s="269"/>
      <c r="E49" s="269"/>
      <c r="F49" s="270"/>
    </row>
    <row r="50" spans="2:6" s="41" customFormat="1" x14ac:dyDescent="0.3">
      <c r="B50" s="80" t="s">
        <v>73</v>
      </c>
      <c r="C50" s="81">
        <f>ACQ_TOTAL</f>
        <v>0</v>
      </c>
      <c r="D50" s="82"/>
      <c r="E50" s="83" t="s">
        <v>74</v>
      </c>
      <c r="F50" s="81">
        <f>ACQ_TOTAL_ESC</f>
        <v>0</v>
      </c>
    </row>
    <row r="51" spans="2:6" x14ac:dyDescent="0.3">
      <c r="B51" s="15"/>
      <c r="C51" s="13"/>
      <c r="D51" s="13"/>
      <c r="E51" s="15"/>
      <c r="F51" s="13"/>
    </row>
    <row r="52" spans="2:6" x14ac:dyDescent="0.3">
      <c r="B52" s="268" t="s">
        <v>75</v>
      </c>
      <c r="C52" s="269"/>
      <c r="D52" s="269"/>
      <c r="E52" s="269"/>
      <c r="F52" s="270"/>
    </row>
    <row r="53" spans="2:6" x14ac:dyDescent="0.3">
      <c r="B53" s="84" t="s">
        <v>76</v>
      </c>
      <c r="C53" s="31">
        <f>PREDESIGN_TOTAL</f>
        <v>0</v>
      </c>
      <c r="D53" s="13"/>
      <c r="E53" s="15"/>
      <c r="F53" s="85"/>
    </row>
    <row r="54" spans="2:6" x14ac:dyDescent="0.3">
      <c r="B54" s="84" t="s">
        <v>77</v>
      </c>
      <c r="C54" s="31">
        <f>CONST_DOCS</f>
        <v>0</v>
      </c>
      <c r="D54" s="13"/>
      <c r="E54" s="15"/>
      <c r="F54" s="85"/>
    </row>
    <row r="55" spans="2:6" x14ac:dyDescent="0.3">
      <c r="B55" s="84" t="s">
        <v>78</v>
      </c>
      <c r="C55" s="31">
        <f>EX_SVCS_TOTAL</f>
        <v>0</v>
      </c>
      <c r="D55" s="13"/>
      <c r="E55" s="15"/>
      <c r="F55" s="85"/>
    </row>
    <row r="56" spans="2:6" x14ac:dyDescent="0.3">
      <c r="B56" s="84" t="s">
        <v>79</v>
      </c>
      <c r="C56" s="31">
        <f>OTHER_SVCS_TOTAL</f>
        <v>0</v>
      </c>
      <c r="D56" s="13"/>
      <c r="E56" s="15"/>
      <c r="F56" s="85"/>
    </row>
    <row r="57" spans="2:6" x14ac:dyDescent="0.3">
      <c r="B57" s="84" t="s">
        <v>80</v>
      </c>
      <c r="C57" s="31">
        <f>DES_CONT_TOTAL</f>
        <v>0</v>
      </c>
      <c r="D57" s="13"/>
      <c r="E57" s="15"/>
      <c r="F57" s="85"/>
    </row>
    <row r="58" spans="2:6" s="41" customFormat="1" x14ac:dyDescent="0.3">
      <c r="B58" s="80" t="s">
        <v>81</v>
      </c>
      <c r="C58" s="81">
        <f>CONSUL_TOTAL</f>
        <v>0</v>
      </c>
      <c r="D58" s="82"/>
      <c r="E58" s="83" t="s">
        <v>82</v>
      </c>
      <c r="F58" s="81">
        <f ca="1">CONSUL_TOTAL_ESC</f>
        <v>0</v>
      </c>
    </row>
    <row r="59" spans="2:6" x14ac:dyDescent="0.3">
      <c r="B59" s="15"/>
      <c r="C59" s="13"/>
      <c r="D59" s="13"/>
      <c r="E59" s="15"/>
      <c r="F59" s="13"/>
    </row>
    <row r="60" spans="2:6" x14ac:dyDescent="0.3">
      <c r="B60" s="268" t="s">
        <v>83</v>
      </c>
      <c r="C60" s="269"/>
      <c r="D60" s="269"/>
      <c r="E60" s="269"/>
      <c r="F60" s="270"/>
    </row>
    <row r="61" spans="2:6" ht="28.8" x14ac:dyDescent="0.3">
      <c r="B61" s="84" t="s">
        <v>84</v>
      </c>
      <c r="C61" s="31">
        <f>MACC</f>
        <v>0</v>
      </c>
      <c r="D61" s="13"/>
      <c r="E61" s="15" t="s">
        <v>85</v>
      </c>
      <c r="F61" s="31">
        <f ca="1">MACC_ESC</f>
        <v>0</v>
      </c>
    </row>
    <row r="62" spans="2:6" x14ac:dyDescent="0.3">
      <c r="B62" s="84" t="str">
        <f>Transition!D19&amp;" Risk Contingencies"</f>
        <v>GCCM Risk Contingencies</v>
      </c>
      <c r="C62" s="31">
        <f>GCCM_RISK</f>
        <v>0</v>
      </c>
      <c r="D62" s="13"/>
      <c r="E62" s="15"/>
      <c r="F62" s="31">
        <f ca="1">GCCM_RISK_ESC</f>
        <v>0</v>
      </c>
    </row>
    <row r="63" spans="2:6" x14ac:dyDescent="0.3">
      <c r="B63" s="84" t="str">
        <f>Transition!D19&amp;" Management"</f>
        <v>GCCM Management</v>
      </c>
      <c r="C63" s="31">
        <f>GCCM_DB_TOTAL</f>
        <v>0</v>
      </c>
      <c r="D63" s="13"/>
      <c r="E63" s="15"/>
      <c r="F63" s="31">
        <f ca="1">GCCM_DB_TOTAL_ESC</f>
        <v>0</v>
      </c>
    </row>
    <row r="64" spans="2:6" ht="15" customHeight="1" x14ac:dyDescent="0.3">
      <c r="B64" s="84" t="s">
        <v>86</v>
      </c>
      <c r="C64" s="31">
        <f>CONT</f>
        <v>0</v>
      </c>
      <c r="D64" s="13"/>
      <c r="E64" s="15"/>
      <c r="F64" s="31">
        <f ca="1">CONT_ESC</f>
        <v>0</v>
      </c>
    </row>
    <row r="65" spans="2:6" x14ac:dyDescent="0.3">
      <c r="B65" s="84" t="s">
        <v>87</v>
      </c>
      <c r="C65" s="31">
        <f>'C. Construction Contracts'!C76</f>
        <v>0</v>
      </c>
      <c r="D65" s="13"/>
      <c r="E65" s="15"/>
      <c r="F65" s="31">
        <f ca="1">'C. Construction Contracts'!F76</f>
        <v>0</v>
      </c>
    </row>
    <row r="66" spans="2:6" x14ac:dyDescent="0.3">
      <c r="B66" s="84" t="s">
        <v>88</v>
      </c>
      <c r="C66" s="31">
        <f>SALES_TAX</f>
        <v>0</v>
      </c>
      <c r="D66" s="13"/>
      <c r="E66" s="15" t="s">
        <v>89</v>
      </c>
      <c r="F66" s="31">
        <f ca="1">SALES_TAX_ESC</f>
        <v>0</v>
      </c>
    </row>
    <row r="67" spans="2:6" s="41" customFormat="1" x14ac:dyDescent="0.3">
      <c r="B67" s="80" t="s">
        <v>90</v>
      </c>
      <c r="C67" s="81">
        <f>CONST_TOTAL</f>
        <v>0</v>
      </c>
      <c r="D67" s="82"/>
      <c r="E67" s="83" t="s">
        <v>91</v>
      </c>
      <c r="F67" s="81">
        <f ca="1">CONST_TOTAL_ESC</f>
        <v>0</v>
      </c>
    </row>
    <row r="68" spans="2:6" x14ac:dyDescent="0.3">
      <c r="B68" s="15"/>
      <c r="C68" s="13"/>
      <c r="D68" s="13"/>
      <c r="E68" s="15"/>
      <c r="F68" s="13"/>
    </row>
    <row r="69" spans="2:6" x14ac:dyDescent="0.3">
      <c r="B69" s="268" t="s">
        <v>92</v>
      </c>
      <c r="C69" s="269"/>
      <c r="D69" s="269"/>
      <c r="E69" s="269"/>
      <c r="F69" s="270"/>
    </row>
    <row r="70" spans="2:6" x14ac:dyDescent="0.3">
      <c r="B70" s="84" t="s">
        <v>92</v>
      </c>
      <c r="C70" s="31">
        <f>EQUIP_SUBTOTAL</f>
        <v>0</v>
      </c>
      <c r="D70" s="13"/>
      <c r="E70" s="15"/>
      <c r="F70" s="85"/>
    </row>
    <row r="71" spans="2:6" x14ac:dyDescent="0.3">
      <c r="B71" s="84" t="s">
        <v>88</v>
      </c>
      <c r="C71" s="31">
        <f>EQUIP_SALES_TAX</f>
        <v>0</v>
      </c>
      <c r="D71" s="13"/>
      <c r="E71" s="15"/>
      <c r="F71" s="85"/>
    </row>
    <row r="72" spans="2:6" x14ac:dyDescent="0.3">
      <c r="B72" s="84" t="s">
        <v>87</v>
      </c>
      <c r="C72" s="31">
        <f>EQUIP_NON_TAX</f>
        <v>0</v>
      </c>
      <c r="D72" s="13"/>
      <c r="E72" s="15"/>
      <c r="F72" s="85"/>
    </row>
    <row r="73" spans="2:6" s="41" customFormat="1" x14ac:dyDescent="0.3">
      <c r="B73" s="80" t="s">
        <v>93</v>
      </c>
      <c r="C73" s="81">
        <f>EQUIP_TOTAL</f>
        <v>0</v>
      </c>
      <c r="D73" s="82"/>
      <c r="E73" s="83" t="s">
        <v>94</v>
      </c>
      <c r="F73" s="81">
        <f ca="1">EQUIP_TOTAL_ESC</f>
        <v>0</v>
      </c>
    </row>
    <row r="74" spans="2:6" x14ac:dyDescent="0.3">
      <c r="B74" s="15"/>
      <c r="C74" s="13"/>
      <c r="D74" s="13"/>
      <c r="E74" s="15"/>
      <c r="F74" s="13"/>
    </row>
    <row r="75" spans="2:6" x14ac:dyDescent="0.3">
      <c r="B75" s="268" t="s">
        <v>95</v>
      </c>
      <c r="C75" s="269"/>
      <c r="D75" s="269"/>
      <c r="E75" s="269"/>
      <c r="F75" s="270"/>
    </row>
    <row r="76" spans="2:6" s="41" customFormat="1" x14ac:dyDescent="0.3">
      <c r="B76" s="80" t="s">
        <v>96</v>
      </c>
      <c r="C76" s="81">
        <f ca="1">ART_TOTAL</f>
        <v>0</v>
      </c>
      <c r="D76" s="82"/>
      <c r="E76" s="83" t="s">
        <v>97</v>
      </c>
      <c r="F76" s="81">
        <f ca="1">ART_TOTAL_ESC</f>
        <v>0</v>
      </c>
    </row>
    <row r="77" spans="2:6" x14ac:dyDescent="0.3">
      <c r="B77" s="15"/>
      <c r="C77" s="13"/>
      <c r="D77" s="13"/>
      <c r="E77" s="15"/>
      <c r="F77" s="13"/>
    </row>
    <row r="78" spans="2:6" x14ac:dyDescent="0.3">
      <c r="B78" s="268" t="s">
        <v>98</v>
      </c>
      <c r="C78" s="269"/>
      <c r="D78" s="269"/>
      <c r="E78" s="269"/>
      <c r="F78" s="270"/>
    </row>
    <row r="79" spans="2:6" ht="28.8" x14ac:dyDescent="0.3">
      <c r="B79" s="84" t="s">
        <v>99</v>
      </c>
      <c r="C79" s="31">
        <f>AGENCY_PM</f>
        <v>0</v>
      </c>
      <c r="D79" s="13"/>
      <c r="E79" s="15"/>
      <c r="F79" s="85"/>
    </row>
    <row r="80" spans="2:6" ht="15" customHeight="1" x14ac:dyDescent="0.3">
      <c r="B80" s="84" t="s">
        <v>100</v>
      </c>
      <c r="C80" s="31">
        <f>DES_ADD_SVCS</f>
        <v>0</v>
      </c>
      <c r="D80" s="13"/>
      <c r="E80" s="15"/>
      <c r="F80" s="85"/>
    </row>
    <row r="81" spans="1:7" ht="15" customHeight="1" x14ac:dyDescent="0.3">
      <c r="B81" s="84" t="s">
        <v>101</v>
      </c>
      <c r="C81" s="31">
        <f>PM_OTHER</f>
        <v>0</v>
      </c>
      <c r="D81" s="13"/>
      <c r="E81" s="15"/>
      <c r="F81" s="85"/>
    </row>
    <row r="82" spans="1:7" s="41" customFormat="1" ht="28.8" x14ac:dyDescent="0.3">
      <c r="B82" s="80" t="s">
        <v>102</v>
      </c>
      <c r="C82" s="81">
        <f>PM_TOTAL</f>
        <v>0</v>
      </c>
      <c r="D82" s="82"/>
      <c r="E82" s="83" t="s">
        <v>103</v>
      </c>
      <c r="F82" s="81">
        <f ca="1">PM_TOTAL_ESC</f>
        <v>0</v>
      </c>
    </row>
    <row r="83" spans="1:7" x14ac:dyDescent="0.3">
      <c r="B83" s="15"/>
      <c r="C83" s="13"/>
      <c r="D83" s="13"/>
      <c r="E83" s="15"/>
      <c r="F83" s="13"/>
    </row>
    <row r="84" spans="1:7" x14ac:dyDescent="0.3">
      <c r="B84" s="278" t="s">
        <v>104</v>
      </c>
      <c r="C84" s="279"/>
      <c r="D84" s="279"/>
      <c r="E84" s="279"/>
      <c r="F84" s="280"/>
    </row>
    <row r="85" spans="1:7" s="41" customFormat="1" x14ac:dyDescent="0.3">
      <c r="B85" s="80" t="s">
        <v>105</v>
      </c>
      <c r="C85" s="81">
        <f>OTHER_TOTAL</f>
        <v>0</v>
      </c>
      <c r="D85" s="82"/>
      <c r="E85" s="83" t="s">
        <v>106</v>
      </c>
      <c r="F85" s="81">
        <f ca="1">OTHER_TOTAL_ESC</f>
        <v>0</v>
      </c>
    </row>
    <row r="86" spans="1:7" s="41" customFormat="1" x14ac:dyDescent="0.3">
      <c r="B86" s="86"/>
      <c r="C86" s="87"/>
      <c r="D86" s="87"/>
      <c r="E86" s="86"/>
      <c r="F86" s="87"/>
    </row>
    <row r="87" spans="1:7" ht="15" thickBot="1" x14ac:dyDescent="0.35">
      <c r="B87" s="15"/>
      <c r="C87" s="13"/>
      <c r="D87" s="13"/>
      <c r="E87" s="15"/>
      <c r="F87" s="13"/>
    </row>
    <row r="88" spans="1:7" ht="22.2" thickTop="1" thickBot="1" x14ac:dyDescent="0.35">
      <c r="A88" s="77"/>
      <c r="B88" s="277" t="s">
        <v>107</v>
      </c>
      <c r="C88" s="277"/>
      <c r="D88" s="277"/>
      <c r="E88" s="277"/>
      <c r="F88" s="277"/>
      <c r="G88" s="78"/>
    </row>
    <row r="89" spans="1:7" ht="21.6" thickBot="1" x14ac:dyDescent="0.35">
      <c r="A89" s="51"/>
      <c r="B89" s="52" t="s">
        <v>65</v>
      </c>
      <c r="C89" s="79">
        <f ca="1">IFERROR(ACQ_TOTAL+CONSUL_TOTAL+CONST_TOTAL+EQUIP_TOTAL+ART_TOTAL+PM_TOTAL+OTHER_TOTAL, "")</f>
        <v>0</v>
      </c>
      <c r="D89" s="281"/>
      <c r="E89" s="52" t="s">
        <v>66</v>
      </c>
      <c r="F89" s="79">
        <f ca="1">IFERROR(ACQ_TOTAL_ESC+CONSUL_TOTAL_ESC+CONST_TOTAL_ESC+EQUIP_TOTAL_ESC+ART_TOTAL_ESC+PM_TOTAL_ESC+OTHER_TOTAL_ESC, "")</f>
        <v>0</v>
      </c>
      <c r="G89" s="53"/>
    </row>
    <row r="90" spans="1:7" ht="21.6" thickBot="1" x14ac:dyDescent="0.35">
      <c r="A90" s="51"/>
      <c r="D90" s="281"/>
      <c r="E90" s="52" t="s">
        <v>67</v>
      </c>
      <c r="F90" s="79">
        <f ca="1">IFERROR(ROUND(F89,-3), "")</f>
        <v>0</v>
      </c>
      <c r="G90" s="53"/>
    </row>
    <row r="91" spans="1:7" ht="15" thickBot="1" x14ac:dyDescent="0.35">
      <c r="A91" s="54"/>
      <c r="B91" s="55"/>
      <c r="C91" s="56"/>
      <c r="D91" s="282"/>
      <c r="E91" s="55"/>
      <c r="F91" s="56"/>
      <c r="G91" s="57"/>
    </row>
    <row r="92" spans="1:7" ht="15" thickTop="1" x14ac:dyDescent="0.3">
      <c r="B92" s="15"/>
      <c r="C92" s="13"/>
      <c r="D92" s="13"/>
      <c r="E92" s="15"/>
      <c r="F92" s="13"/>
    </row>
    <row r="93" spans="1:7" x14ac:dyDescent="0.3">
      <c r="B93" s="15"/>
      <c r="C93" s="13"/>
      <c r="D93" s="13"/>
      <c r="E93" s="15"/>
      <c r="F93" s="13"/>
    </row>
    <row r="94" spans="1:7" x14ac:dyDescent="0.3">
      <c r="B94" s="15"/>
      <c r="C94" s="13"/>
      <c r="D94" s="13"/>
      <c r="E94" s="15"/>
      <c r="F94" s="13"/>
    </row>
    <row r="95" spans="1:7" x14ac:dyDescent="0.3">
      <c r="B95" s="15"/>
      <c r="C95" s="13"/>
      <c r="D95" s="13"/>
      <c r="E95" s="15"/>
      <c r="F95" s="13"/>
    </row>
    <row r="96" spans="1:7" x14ac:dyDescent="0.3">
      <c r="B96" s="15"/>
      <c r="C96" s="13"/>
      <c r="D96" s="13"/>
      <c r="E96" s="15"/>
      <c r="F96" s="13"/>
    </row>
    <row r="97" spans="2:6" x14ac:dyDescent="0.3">
      <c r="B97" s="15"/>
      <c r="C97" s="13"/>
      <c r="D97" s="13"/>
      <c r="E97" s="15"/>
      <c r="F97" s="13"/>
    </row>
  </sheetData>
  <sheetProtection algorithmName="SHA-512" hashValue="e95osOzJqbVYOdx8S8JDnAL7qGa9l3Bh+TgAu2qYJQYIPHtyeXGXbIoGdnqiNvA58vUHcKw4VVNbSDSHmmhI/w==" saltValue="/YRCcd5ZogEs2KW2k/LiTA==" spinCount="100000" sheet="1" insertRows="0"/>
  <mergeCells count="27">
    <mergeCell ref="B75:F75"/>
    <mergeCell ref="B78:F78"/>
    <mergeCell ref="B84:F84"/>
    <mergeCell ref="B88:F88"/>
    <mergeCell ref="D89:D91"/>
    <mergeCell ref="B69:F69"/>
    <mergeCell ref="B20:F20"/>
    <mergeCell ref="D21:D26"/>
    <mergeCell ref="B28:F28"/>
    <mergeCell ref="D29:D32"/>
    <mergeCell ref="B34:C34"/>
    <mergeCell ref="B37:F37"/>
    <mergeCell ref="B49:F49"/>
    <mergeCell ref="B52:F52"/>
    <mergeCell ref="B60:F60"/>
    <mergeCell ref="D14:D19"/>
    <mergeCell ref="B1:F1"/>
    <mergeCell ref="B2:F2"/>
    <mergeCell ref="B3:F3"/>
    <mergeCell ref="C4:E4"/>
    <mergeCell ref="C5:E5"/>
    <mergeCell ref="C6:E6"/>
    <mergeCell ref="B8:F8"/>
    <mergeCell ref="C9:E9"/>
    <mergeCell ref="C10:E10"/>
    <mergeCell ref="C11:E11"/>
    <mergeCell ref="B13:F13"/>
  </mergeCells>
  <dataValidations count="2">
    <dataValidation type="custom" allowBlank="1" showInputMessage="1" showErrorMessage="1" errorTitle="Limit Exceeded" error="Contingency Rate Limit Exceeded" promptTitle="Contingency Rate Limits" prompt="Must be less than:_x000a_5% for New Construction_x000a_10% for Remodel" sqref="C24" xr:uid="{CD38A33B-560C-463F-A848-3A4673B25EE7}">
      <formula1>IF($C$19="Yes", $C$24&lt;=ContR, $C$24&lt;=ContN)</formula1>
    </dataValidation>
    <dataValidation type="date" operator="greaterThanOrEqual" allowBlank="1" showInputMessage="1" showErrorMessage="1" error="End date is before start date" sqref="F29:F31" xr:uid="{28653057-95D7-423A-8EC6-873F608E17E8}">
      <formula1>C29</formula1>
    </dataValidation>
  </dataValidations>
  <hyperlinks>
    <hyperlink ref="B23" r:id="rId1" xr:uid="{74FDA616-3974-4605-85E9-1C9DB78554E7}"/>
  </hyperlinks>
  <pageMargins left="0.25" right="0.25" top="0.75" bottom="0.75" header="0.3" footer="0.3"/>
  <pageSetup scale="94" fitToHeight="0" orientation="portrait" horizontalDpi="300" r:id="rId2"/>
  <extLst>
    <ext xmlns:x14="http://schemas.microsoft.com/office/spreadsheetml/2009/9/main" uri="{78C0D931-6437-407d-A8EE-F0AAD7539E65}">
      <x14:conditionalFormattings>
        <x14:conditionalFormatting xmlns:xm="http://schemas.microsoft.com/office/excel/2006/main">
          <x14:cfRule type="cellIs" priority="1" operator="notEqual" id="{3BF27B25-16A6-4C5B-83E3-4F148C895FB8}">
            <xm:f>'Data Tables'!$N$8</xm:f>
            <x14:dxf>
              <fill>
                <patternFill>
                  <bgColor rgb="FFFFC000"/>
                </patternFill>
              </fill>
            </x14:dxf>
          </x14:cfRule>
          <xm:sqref>C22</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49C80AC-CA47-46BE-8581-C0DCE028ED58}">
          <x14:formula1>
            <xm:f>'Data Tables'!$J$10:$J$73</xm:f>
          </x14:formula1>
          <xm:sqref>C18</xm:sqref>
        </x14:dataValidation>
        <x14:dataValidation type="list" allowBlank="1" showInputMessage="1" showErrorMessage="1" xr:uid="{1F12CF31-ADC3-4DBE-AF35-3CA7BC3AFF71}">
          <x14:formula1>
            <xm:f>'Data Tables'!$A$2:$A$3</xm:f>
          </x14:formula1>
          <xm:sqref>C19 F21:F22</xm:sqref>
        </x14:dataValidation>
        <x14:dataValidation type="list" allowBlank="1" showInputMessage="1" showErrorMessage="1" xr:uid="{01378FF0-A32A-449A-89FF-27A022715E24}">
          <x14:formula1>
            <xm:f>'Data Tables'!$A$8:$A$12</xm:f>
          </x14:formula1>
          <xm:sqref>C21</xm:sqref>
        </x14:dataValidation>
        <x14:dataValidation type="list" allowBlank="1" showInputMessage="1" showErrorMessage="1" xr:uid="{DEF65A65-EB20-47DA-AE2E-CEFE1C947BB9}">
          <x14:formula1>
            <xm:f>'Data Tables'!$B$2:$B$3</xm:f>
          </x14:formula1>
          <xm:sqref>C26</xm:sqref>
        </x14:dataValidation>
        <x14:dataValidation type="decimal" errorStyle="warning" operator="equal" allowBlank="1" showInputMessage="1" showErrorMessage="1" error="Escalation for 2023 C-100 must be 3.33%" xr:uid="{294FA3F4-F1BD-4F75-ACC5-CFF278AE4E9D}">
          <x14:formula1>
            <xm:f>'Data Tables'!N8</xm:f>
          </x14:formula1>
          <xm:sqref>C22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D50BC-BF27-4118-BC2B-D1362AF8A969}">
  <sheetPr codeName="Sheet3">
    <pageSetUpPr fitToPage="1"/>
  </sheetPr>
  <dimension ref="A1:R48"/>
  <sheetViews>
    <sheetView showGridLines="0" zoomScaleNormal="100" workbookViewId="0">
      <selection activeCell="H12" sqref="H12"/>
    </sheetView>
  </sheetViews>
  <sheetFormatPr defaultColWidth="9.109375" defaultRowHeight="14.4" x14ac:dyDescent="0.3"/>
  <cols>
    <col min="1" max="1" width="1.44140625" style="3" customWidth="1"/>
    <col min="2" max="2" width="30" style="52" customWidth="1"/>
    <col min="3" max="3" width="19.6640625" style="3" bestFit="1" customWidth="1"/>
    <col min="4" max="4" width="3.6640625" style="3" customWidth="1"/>
    <col min="5" max="5" width="15.6640625" style="3" customWidth="1"/>
    <col min="6" max="7" width="2.6640625" style="3" customWidth="1"/>
    <col min="8" max="8" width="15.6640625" style="3" customWidth="1"/>
    <col min="9" max="10" width="2.6640625" style="3" customWidth="1"/>
    <col min="11" max="11" width="15.6640625" style="3" customWidth="1"/>
    <col min="12" max="12" width="3.6640625" style="3" customWidth="1"/>
    <col min="13" max="13" width="17.109375" style="3" customWidth="1"/>
    <col min="14" max="14" width="1.44140625" style="3" customWidth="1"/>
    <col min="15" max="16" width="9.109375" style="3"/>
    <col min="17" max="17" width="7.88671875" style="3" customWidth="1"/>
    <col min="18" max="16384" width="9.109375" style="3"/>
  </cols>
  <sheetData>
    <row r="1" spans="2:18" ht="21" x14ac:dyDescent="0.3">
      <c r="B1" s="292" t="s">
        <v>108</v>
      </c>
      <c r="C1" s="292"/>
      <c r="D1" s="292"/>
      <c r="E1" s="292"/>
      <c r="F1" s="292"/>
      <c r="G1" s="292"/>
      <c r="H1" s="292"/>
      <c r="I1" s="292"/>
      <c r="J1" s="292"/>
      <c r="K1" s="292"/>
      <c r="L1" s="292"/>
      <c r="M1" s="292"/>
    </row>
    <row r="2" spans="2:18" ht="21.6" thickBot="1" x14ac:dyDescent="0.35">
      <c r="B2" s="226"/>
      <c r="C2" s="226"/>
      <c r="D2" s="226"/>
      <c r="E2" s="226"/>
      <c r="F2" s="226"/>
      <c r="G2" s="226"/>
      <c r="H2" s="226"/>
      <c r="I2" s="226"/>
      <c r="J2" s="226"/>
      <c r="K2" s="226"/>
      <c r="L2" s="226"/>
      <c r="M2" s="226"/>
    </row>
    <row r="3" spans="2:18" ht="28.8" x14ac:dyDescent="0.3">
      <c r="B3" s="226"/>
      <c r="C3" s="226"/>
      <c r="D3" s="226"/>
      <c r="E3" s="226"/>
      <c r="F3" s="226"/>
      <c r="G3" s="166"/>
      <c r="H3" s="167" t="s">
        <v>109</v>
      </c>
      <c r="I3" s="168"/>
      <c r="J3" s="226"/>
      <c r="K3" s="226"/>
      <c r="L3" s="226"/>
      <c r="M3" s="226"/>
    </row>
    <row r="4" spans="2:18" ht="28.8" x14ac:dyDescent="0.3">
      <c r="B4" s="4"/>
      <c r="C4" s="96" t="s">
        <v>110</v>
      </c>
      <c r="D4" s="4"/>
      <c r="E4" s="4" t="s">
        <v>111</v>
      </c>
      <c r="F4" s="4"/>
      <c r="G4" s="169"/>
      <c r="H4" s="211" t="s">
        <v>112</v>
      </c>
      <c r="I4" s="212"/>
      <c r="J4" s="213"/>
      <c r="K4" s="211" t="s">
        <v>113</v>
      </c>
      <c r="L4" s="4"/>
      <c r="M4" s="4" t="s">
        <v>71</v>
      </c>
    </row>
    <row r="5" spans="2:18" x14ac:dyDescent="0.3">
      <c r="B5" s="215" t="s">
        <v>72</v>
      </c>
      <c r="C5" s="216"/>
      <c r="D5" s="216"/>
      <c r="E5" s="216"/>
      <c r="F5" s="216"/>
      <c r="G5" s="170"/>
      <c r="H5" s="216"/>
      <c r="I5" s="171"/>
      <c r="J5" s="216"/>
      <c r="K5" s="216"/>
      <c r="L5" s="216"/>
      <c r="M5" s="217"/>
    </row>
    <row r="6" spans="2:18" s="41" customFormat="1" x14ac:dyDescent="0.3">
      <c r="B6" s="80" t="s">
        <v>73</v>
      </c>
      <c r="C6" s="31">
        <f>+Summary!F50</f>
        <v>0</v>
      </c>
      <c r="D6" s="172"/>
      <c r="E6" s="165"/>
      <c r="F6" s="172"/>
      <c r="G6" s="173"/>
      <c r="H6" s="165"/>
      <c r="I6" s="174"/>
      <c r="J6" s="172"/>
      <c r="K6" s="165"/>
      <c r="L6" s="82"/>
      <c r="M6" s="81">
        <f>+C6-SUM(E6:L6)</f>
        <v>0</v>
      </c>
      <c r="P6" s="3"/>
      <c r="Q6" s="3"/>
      <c r="R6" s="3"/>
    </row>
    <row r="7" spans="2:18" x14ac:dyDescent="0.3">
      <c r="B7" s="15"/>
      <c r="C7" s="13"/>
      <c r="D7" s="13"/>
      <c r="E7" s="13"/>
      <c r="F7" s="13"/>
      <c r="G7" s="175"/>
      <c r="H7" s="13"/>
      <c r="I7" s="176"/>
      <c r="J7" s="13"/>
      <c r="K7" s="13"/>
      <c r="L7" s="13"/>
      <c r="M7" s="13"/>
    </row>
    <row r="8" spans="2:18" x14ac:dyDescent="0.3">
      <c r="B8" s="215" t="s">
        <v>75</v>
      </c>
      <c r="C8" s="177"/>
      <c r="D8" s="177"/>
      <c r="E8" s="177"/>
      <c r="F8" s="177"/>
      <c r="G8" s="178"/>
      <c r="H8" s="177"/>
      <c r="I8" s="179"/>
      <c r="J8" s="177"/>
      <c r="K8" s="177"/>
      <c r="L8" s="216"/>
      <c r="M8" s="217"/>
    </row>
    <row r="9" spans="2:18" s="41" customFormat="1" x14ac:dyDescent="0.3">
      <c r="B9" s="80" t="s">
        <v>81</v>
      </c>
      <c r="C9" s="31">
        <f ca="1">+Summary!F58</f>
        <v>0</v>
      </c>
      <c r="D9" s="172"/>
      <c r="E9" s="165"/>
      <c r="F9" s="172"/>
      <c r="G9" s="173"/>
      <c r="H9" s="165"/>
      <c r="I9" s="174"/>
      <c r="J9" s="172"/>
      <c r="K9" s="165"/>
      <c r="L9" s="82"/>
      <c r="M9" s="81">
        <f ca="1">+C9-SUM(E9:L9)</f>
        <v>0</v>
      </c>
      <c r="P9" s="3"/>
      <c r="Q9" s="3"/>
      <c r="R9" s="3"/>
    </row>
    <row r="10" spans="2:18" x14ac:dyDescent="0.3">
      <c r="B10" s="15"/>
      <c r="C10" s="13"/>
      <c r="D10" s="13"/>
      <c r="E10" s="13"/>
      <c r="F10" s="13"/>
      <c r="G10" s="175"/>
      <c r="H10" s="13"/>
      <c r="I10" s="176"/>
      <c r="J10" s="13"/>
      <c r="K10" s="13"/>
      <c r="L10" s="13"/>
      <c r="M10" s="13"/>
    </row>
    <row r="11" spans="2:18" x14ac:dyDescent="0.3">
      <c r="B11" s="215" t="s">
        <v>83</v>
      </c>
      <c r="C11" s="177"/>
      <c r="D11" s="177"/>
      <c r="E11" s="177"/>
      <c r="F11" s="177"/>
      <c r="G11" s="178"/>
      <c r="H11" s="177"/>
      <c r="I11" s="179"/>
      <c r="J11" s="177"/>
      <c r="K11" s="177"/>
      <c r="L11" s="216"/>
      <c r="M11" s="217"/>
    </row>
    <row r="12" spans="2:18" s="41" customFormat="1" x14ac:dyDescent="0.3">
      <c r="B12" s="80" t="s">
        <v>90</v>
      </c>
      <c r="C12" s="31">
        <f ca="1">+Summary!F67</f>
        <v>0</v>
      </c>
      <c r="D12" s="172"/>
      <c r="E12" s="165"/>
      <c r="F12" s="172"/>
      <c r="G12" s="173"/>
      <c r="H12" s="165"/>
      <c r="I12" s="174"/>
      <c r="J12" s="172"/>
      <c r="K12" s="165"/>
      <c r="L12" s="82"/>
      <c r="M12" s="81">
        <f ca="1">+C12-SUM(E12:L12)</f>
        <v>0</v>
      </c>
      <c r="Q12" s="3"/>
      <c r="R12" s="3"/>
    </row>
    <row r="13" spans="2:18" x14ac:dyDescent="0.3">
      <c r="B13" s="15"/>
      <c r="C13" s="13"/>
      <c r="D13" s="13"/>
      <c r="E13" s="13"/>
      <c r="F13" s="13"/>
      <c r="G13" s="175"/>
      <c r="H13" s="13"/>
      <c r="I13" s="176"/>
      <c r="J13" s="13"/>
      <c r="K13" s="13"/>
      <c r="L13" s="13"/>
      <c r="M13" s="13"/>
    </row>
    <row r="14" spans="2:18" x14ac:dyDescent="0.3">
      <c r="B14" s="215" t="s">
        <v>92</v>
      </c>
      <c r="C14" s="177"/>
      <c r="D14" s="177"/>
      <c r="E14" s="177"/>
      <c r="F14" s="177"/>
      <c r="G14" s="178"/>
      <c r="H14" s="177"/>
      <c r="I14" s="179"/>
      <c r="J14" s="177"/>
      <c r="K14" s="177"/>
      <c r="L14" s="216"/>
      <c r="M14" s="217"/>
      <c r="Q14" s="41"/>
      <c r="R14" s="41"/>
    </row>
    <row r="15" spans="2:18" s="41" customFormat="1" x14ac:dyDescent="0.3">
      <c r="B15" s="80" t="s">
        <v>93</v>
      </c>
      <c r="C15" s="31">
        <f ca="1">Summary!F73</f>
        <v>0</v>
      </c>
      <c r="D15" s="172"/>
      <c r="E15" s="165"/>
      <c r="F15" s="172"/>
      <c r="G15" s="173"/>
      <c r="H15" s="165"/>
      <c r="I15" s="174"/>
      <c r="J15" s="172"/>
      <c r="K15" s="165"/>
      <c r="L15" s="82"/>
      <c r="M15" s="81">
        <f ca="1">+C15-SUM(E15:L15)</f>
        <v>0</v>
      </c>
      <c r="Q15" s="3"/>
      <c r="R15" s="3"/>
    </row>
    <row r="16" spans="2:18" x14ac:dyDescent="0.3">
      <c r="B16" s="15"/>
      <c r="C16" s="13"/>
      <c r="D16" s="13"/>
      <c r="E16" s="13"/>
      <c r="F16" s="13"/>
      <c r="G16" s="175"/>
      <c r="H16" s="13"/>
      <c r="I16" s="176"/>
      <c r="J16" s="13"/>
      <c r="K16" s="13"/>
      <c r="L16" s="13"/>
      <c r="M16" s="13"/>
    </row>
    <row r="17" spans="1:18" x14ac:dyDescent="0.3">
      <c r="B17" s="215" t="s">
        <v>95</v>
      </c>
      <c r="C17" s="177"/>
      <c r="D17" s="177"/>
      <c r="E17" s="177"/>
      <c r="F17" s="177"/>
      <c r="G17" s="178"/>
      <c r="H17" s="177"/>
      <c r="I17" s="179"/>
      <c r="J17" s="177"/>
      <c r="K17" s="177"/>
      <c r="L17" s="216"/>
      <c r="M17" s="217"/>
      <c r="Q17" s="41"/>
      <c r="R17" s="41"/>
    </row>
    <row r="18" spans="1:18" s="41" customFormat="1" x14ac:dyDescent="0.3">
      <c r="B18" s="80" t="s">
        <v>96</v>
      </c>
      <c r="C18" s="31">
        <f ca="1">+Summary!F76</f>
        <v>0</v>
      </c>
      <c r="D18" s="172"/>
      <c r="E18" s="165"/>
      <c r="F18" s="172"/>
      <c r="G18" s="173"/>
      <c r="H18" s="165"/>
      <c r="I18" s="174"/>
      <c r="J18" s="172"/>
      <c r="K18" s="165"/>
      <c r="L18" s="82"/>
      <c r="M18" s="81">
        <f ca="1">+C18-SUM(E18:L18)</f>
        <v>0</v>
      </c>
      <c r="Q18" s="3"/>
      <c r="R18" s="3"/>
    </row>
    <row r="19" spans="1:18" x14ac:dyDescent="0.3">
      <c r="B19" s="15"/>
      <c r="C19" s="13"/>
      <c r="D19" s="13"/>
      <c r="E19" s="13"/>
      <c r="F19" s="13"/>
      <c r="G19" s="175"/>
      <c r="H19" s="13"/>
      <c r="I19" s="176"/>
      <c r="J19" s="13"/>
      <c r="K19" s="13"/>
      <c r="L19" s="13"/>
      <c r="M19" s="13"/>
    </row>
    <row r="20" spans="1:18" x14ac:dyDescent="0.3">
      <c r="B20" s="215" t="s">
        <v>98</v>
      </c>
      <c r="C20" s="177"/>
      <c r="D20" s="177"/>
      <c r="E20" s="177"/>
      <c r="F20" s="177"/>
      <c r="G20" s="178"/>
      <c r="H20" s="177"/>
      <c r="I20" s="179"/>
      <c r="J20" s="177"/>
      <c r="K20" s="177"/>
      <c r="L20" s="216"/>
      <c r="M20" s="217"/>
      <c r="Q20" s="41"/>
      <c r="R20" s="41"/>
    </row>
    <row r="21" spans="1:18" s="41" customFormat="1" x14ac:dyDescent="0.3">
      <c r="B21" s="80" t="s">
        <v>102</v>
      </c>
      <c r="C21" s="31">
        <f ca="1">Summary!F82</f>
        <v>0</v>
      </c>
      <c r="D21" s="172"/>
      <c r="E21" s="165"/>
      <c r="F21" s="172"/>
      <c r="G21" s="173"/>
      <c r="H21" s="165"/>
      <c r="I21" s="174"/>
      <c r="J21" s="172"/>
      <c r="K21" s="165"/>
      <c r="L21" s="82"/>
      <c r="M21" s="81">
        <f ca="1">+C21-SUM(E21:L21)</f>
        <v>0</v>
      </c>
      <c r="Q21" s="3"/>
      <c r="R21" s="3"/>
    </row>
    <row r="22" spans="1:18" x14ac:dyDescent="0.3">
      <c r="B22" s="15"/>
      <c r="C22" s="13"/>
      <c r="D22" s="13"/>
      <c r="E22" s="13"/>
      <c r="F22" s="13"/>
      <c r="G22" s="175"/>
      <c r="H22" s="13"/>
      <c r="I22" s="176"/>
      <c r="J22" s="13"/>
      <c r="K22" s="13"/>
      <c r="L22" s="13"/>
      <c r="M22" s="13"/>
    </row>
    <row r="23" spans="1:18" x14ac:dyDescent="0.3">
      <c r="B23" s="218" t="s">
        <v>104</v>
      </c>
      <c r="C23" s="180"/>
      <c r="D23" s="180"/>
      <c r="E23" s="180"/>
      <c r="F23" s="180"/>
      <c r="G23" s="181"/>
      <c r="H23" s="180"/>
      <c r="I23" s="182"/>
      <c r="J23" s="180"/>
      <c r="K23" s="180"/>
      <c r="L23" s="219"/>
      <c r="M23" s="220"/>
      <c r="Q23" s="41"/>
      <c r="R23" s="41"/>
    </row>
    <row r="24" spans="1:18" s="41" customFormat="1" x14ac:dyDescent="0.3">
      <c r="B24" s="80" t="s">
        <v>105</v>
      </c>
      <c r="C24" s="31">
        <f ca="1">+Summary!F85</f>
        <v>0</v>
      </c>
      <c r="D24" s="172"/>
      <c r="E24" s="165"/>
      <c r="F24" s="172"/>
      <c r="G24" s="173"/>
      <c r="H24" s="165"/>
      <c r="I24" s="174"/>
      <c r="J24" s="172"/>
      <c r="K24" s="165"/>
      <c r="L24" s="82"/>
      <c r="M24" s="81">
        <f ca="1">+C24-SUM(E24:L24)</f>
        <v>0</v>
      </c>
    </row>
    <row r="25" spans="1:18" s="41" customFormat="1" x14ac:dyDescent="0.3">
      <c r="B25" s="86"/>
      <c r="C25" s="87"/>
      <c r="D25" s="87"/>
      <c r="E25" s="87"/>
      <c r="F25" s="87"/>
      <c r="G25" s="183"/>
      <c r="H25" s="87"/>
      <c r="I25" s="184"/>
      <c r="J25" s="87"/>
      <c r="K25" s="87"/>
      <c r="L25" s="87"/>
      <c r="M25" s="87"/>
      <c r="Q25" s="3"/>
      <c r="R25" s="3"/>
    </row>
    <row r="26" spans="1:18" ht="15" thickBot="1" x14ac:dyDescent="0.35">
      <c r="B26" s="15"/>
      <c r="C26" s="13"/>
      <c r="D26" s="13"/>
      <c r="E26" s="13"/>
      <c r="F26" s="13"/>
      <c r="G26" s="175"/>
      <c r="H26" s="13"/>
      <c r="I26" s="176"/>
      <c r="J26" s="13"/>
      <c r="K26" s="13"/>
      <c r="L26" s="13"/>
      <c r="M26" s="13"/>
    </row>
    <row r="27" spans="1:18" ht="22.2" thickTop="1" thickBot="1" x14ac:dyDescent="0.35">
      <c r="A27" s="77"/>
      <c r="B27" s="221" t="s">
        <v>107</v>
      </c>
      <c r="C27" s="221"/>
      <c r="D27" s="221"/>
      <c r="E27" s="221"/>
      <c r="F27" s="221"/>
      <c r="G27" s="185"/>
      <c r="H27" s="221"/>
      <c r="I27" s="186"/>
      <c r="J27" s="221"/>
      <c r="K27" s="221"/>
      <c r="L27" s="221"/>
      <c r="M27" s="221"/>
      <c r="N27" s="78"/>
    </row>
    <row r="28" spans="1:18" ht="15" thickBot="1" x14ac:dyDescent="0.35">
      <c r="A28" s="51"/>
      <c r="B28" s="52" t="s">
        <v>65</v>
      </c>
      <c r="C28" s="187">
        <f ca="1">SUBTOTAL(9,C6:C27)</f>
        <v>0</v>
      </c>
      <c r="D28" s="6"/>
      <c r="E28" s="187">
        <f>SUBTOTAL(9,E6:E27)</f>
        <v>0</v>
      </c>
      <c r="F28" s="6"/>
      <c r="G28" s="188"/>
      <c r="H28" s="187">
        <f>SUBTOTAL(9,H6:H27)</f>
        <v>0</v>
      </c>
      <c r="I28" s="189"/>
      <c r="J28" s="6"/>
      <c r="K28" s="187">
        <f>SUBTOTAL(9,K6:K27)</f>
        <v>0</v>
      </c>
      <c r="L28" s="6"/>
      <c r="M28" s="187">
        <f ca="1">SUBTOTAL(9,M6:M27)</f>
        <v>0</v>
      </c>
      <c r="N28" s="53"/>
    </row>
    <row r="29" spans="1:18" ht="15" thickBot="1" x14ac:dyDescent="0.35">
      <c r="A29" s="51"/>
      <c r="C29" s="187">
        <f ca="1">IFERROR(ROUND(C28,-3), "")</f>
        <v>0</v>
      </c>
      <c r="D29" s="6"/>
      <c r="E29" s="187">
        <f>IFERROR(ROUND(E28,-3), "")</f>
        <v>0</v>
      </c>
      <c r="F29" s="6"/>
      <c r="G29" s="188"/>
      <c r="H29" s="187">
        <f>IFERROR(ROUND(H28,-3), "")</f>
        <v>0</v>
      </c>
      <c r="I29" s="189"/>
      <c r="J29" s="6"/>
      <c r="K29" s="187">
        <f>IFERROR(ROUND(K28,-3), "")</f>
        <v>0</v>
      </c>
      <c r="L29" s="6"/>
      <c r="M29" s="187">
        <f ca="1">IFERROR(ROUND(M28,-3), "")</f>
        <v>0</v>
      </c>
      <c r="N29" s="53"/>
    </row>
    <row r="30" spans="1:18" ht="15" thickBot="1" x14ac:dyDescent="0.35">
      <c r="A30" s="51"/>
      <c r="C30" s="190"/>
      <c r="D30" s="6"/>
      <c r="E30" s="190"/>
      <c r="F30" s="6"/>
      <c r="G30" s="188"/>
      <c r="H30" s="190"/>
      <c r="I30" s="189"/>
      <c r="J30" s="6"/>
      <c r="K30" s="190"/>
      <c r="L30" s="6"/>
      <c r="M30" s="190"/>
      <c r="N30" s="53"/>
    </row>
    <row r="31" spans="1:18" ht="15" thickBot="1" x14ac:dyDescent="0.35">
      <c r="A31" s="51"/>
      <c r="C31" s="191" t="s">
        <v>114</v>
      </c>
      <c r="D31" s="6"/>
      <c r="E31" s="190"/>
      <c r="F31" s="6"/>
      <c r="G31" s="188"/>
      <c r="H31" s="192" t="str">
        <f ca="1">IFERROR(H28/C28,"NA")</f>
        <v>NA</v>
      </c>
      <c r="I31" s="189"/>
      <c r="J31" s="6"/>
      <c r="K31" s="190"/>
      <c r="L31" s="6"/>
      <c r="M31" s="190"/>
      <c r="N31" s="53"/>
    </row>
    <row r="32" spans="1:18" ht="15" thickBot="1" x14ac:dyDescent="0.35">
      <c r="A32" s="54"/>
      <c r="B32" s="55"/>
      <c r="C32" s="56"/>
      <c r="D32" s="222"/>
      <c r="E32" s="222"/>
      <c r="F32" s="222"/>
      <c r="G32" s="193"/>
      <c r="H32" s="222"/>
      <c r="I32" s="194"/>
      <c r="J32" s="222"/>
      <c r="K32" s="222"/>
      <c r="L32" s="222"/>
      <c r="M32" s="56"/>
      <c r="N32" s="57"/>
    </row>
    <row r="33" spans="2:18" ht="15.6" thickTop="1" thickBot="1" x14ac:dyDescent="0.35">
      <c r="B33" s="15"/>
      <c r="C33" s="13"/>
      <c r="D33" s="13"/>
      <c r="E33" s="13"/>
      <c r="F33" s="13"/>
      <c r="G33" s="195"/>
      <c r="H33" s="196"/>
      <c r="I33" s="197"/>
      <c r="J33" s="13"/>
      <c r="K33" s="13"/>
      <c r="L33" s="13"/>
      <c r="M33" s="13"/>
    </row>
    <row r="34" spans="2:18" x14ac:dyDescent="0.3">
      <c r="B34" s="15"/>
      <c r="C34" s="13"/>
      <c r="D34" s="13"/>
      <c r="E34" s="13"/>
      <c r="F34" s="13"/>
      <c r="G34" s="13"/>
      <c r="H34" s="13"/>
      <c r="I34" s="13"/>
      <c r="J34" s="13"/>
      <c r="K34" s="13"/>
      <c r="L34" s="13"/>
      <c r="M34" s="13"/>
      <c r="Q34" s="13"/>
      <c r="R34" s="13"/>
    </row>
    <row r="35" spans="2:18" ht="15.6" x14ac:dyDescent="0.3">
      <c r="B35" s="234" t="s">
        <v>115</v>
      </c>
      <c r="C35" s="235"/>
      <c r="D35" s="235"/>
      <c r="E35" s="235"/>
      <c r="F35" s="235"/>
      <c r="G35" s="235"/>
      <c r="H35" s="235"/>
      <c r="I35" s="235"/>
      <c r="J35" s="235"/>
      <c r="K35" s="235"/>
      <c r="L35" s="235"/>
      <c r="M35" s="236"/>
      <c r="N35" s="13"/>
      <c r="O35" s="13"/>
      <c r="P35" s="13"/>
      <c r="Q35" s="13"/>
      <c r="R35" s="13"/>
    </row>
    <row r="36" spans="2:18" x14ac:dyDescent="0.3">
      <c r="B36" s="283"/>
      <c r="C36" s="284"/>
      <c r="D36" s="284"/>
      <c r="E36" s="284"/>
      <c r="F36" s="284"/>
      <c r="G36" s="284"/>
      <c r="H36" s="284"/>
      <c r="I36" s="284"/>
      <c r="J36" s="284"/>
      <c r="K36" s="284"/>
      <c r="L36" s="284"/>
      <c r="M36" s="285"/>
      <c r="N36" s="13"/>
      <c r="O36" s="13"/>
      <c r="P36" s="13"/>
      <c r="Q36" s="13"/>
      <c r="R36" s="13"/>
    </row>
    <row r="37" spans="2:18" x14ac:dyDescent="0.3">
      <c r="B37" s="286"/>
      <c r="C37" s="287"/>
      <c r="D37" s="287"/>
      <c r="E37" s="287"/>
      <c r="F37" s="287"/>
      <c r="G37" s="287"/>
      <c r="H37" s="287"/>
      <c r="I37" s="287"/>
      <c r="J37" s="287"/>
      <c r="K37" s="287"/>
      <c r="L37" s="287"/>
      <c r="M37" s="288"/>
      <c r="N37" s="13"/>
      <c r="O37" s="13"/>
      <c r="P37" s="13"/>
      <c r="Q37" s="13"/>
      <c r="R37" s="13"/>
    </row>
    <row r="38" spans="2:18" x14ac:dyDescent="0.3">
      <c r="B38" s="289" t="s">
        <v>116</v>
      </c>
      <c r="C38" s="290"/>
      <c r="D38" s="290"/>
      <c r="E38" s="290"/>
      <c r="F38" s="290"/>
      <c r="G38" s="290"/>
      <c r="H38" s="290"/>
      <c r="I38" s="290"/>
      <c r="J38" s="290"/>
      <c r="K38" s="290"/>
      <c r="L38" s="290"/>
      <c r="M38" s="291"/>
      <c r="N38" s="13"/>
      <c r="O38" s="13"/>
      <c r="P38" s="13"/>
    </row>
    <row r="40" spans="2:18" ht="15.6" x14ac:dyDescent="0.3">
      <c r="B40" s="234" t="s">
        <v>117</v>
      </c>
      <c r="C40" s="235"/>
      <c r="D40" s="235"/>
      <c r="E40" s="235"/>
      <c r="F40" s="235"/>
      <c r="G40" s="235"/>
      <c r="H40" s="235"/>
      <c r="I40" s="235"/>
      <c r="J40" s="235"/>
      <c r="K40" s="235"/>
      <c r="L40" s="235"/>
      <c r="M40" s="236"/>
    </row>
    <row r="41" spans="2:18" x14ac:dyDescent="0.3">
      <c r="B41" s="283"/>
      <c r="C41" s="284"/>
      <c r="D41" s="284"/>
      <c r="E41" s="284"/>
      <c r="F41" s="284"/>
      <c r="G41" s="284"/>
      <c r="H41" s="284"/>
      <c r="I41" s="284"/>
      <c r="J41" s="284"/>
      <c r="K41" s="284"/>
      <c r="L41" s="284"/>
      <c r="M41" s="285"/>
    </row>
    <row r="42" spans="2:18" x14ac:dyDescent="0.3">
      <c r="B42" s="286"/>
      <c r="C42" s="287"/>
      <c r="D42" s="287"/>
      <c r="E42" s="287"/>
      <c r="F42" s="287"/>
      <c r="G42" s="287"/>
      <c r="H42" s="287"/>
      <c r="I42" s="287"/>
      <c r="J42" s="287"/>
      <c r="K42" s="287"/>
      <c r="L42" s="287"/>
      <c r="M42" s="288"/>
    </row>
    <row r="43" spans="2:18" x14ac:dyDescent="0.3">
      <c r="B43" s="289" t="s">
        <v>116</v>
      </c>
      <c r="C43" s="290"/>
      <c r="D43" s="290"/>
      <c r="E43" s="290"/>
      <c r="F43" s="290"/>
      <c r="G43" s="290"/>
      <c r="H43" s="290"/>
      <c r="I43" s="290"/>
      <c r="J43" s="290"/>
      <c r="K43" s="290"/>
      <c r="L43" s="290"/>
      <c r="M43" s="291"/>
    </row>
    <row r="45" spans="2:18" ht="15.6" x14ac:dyDescent="0.3">
      <c r="B45" s="234" t="s">
        <v>118</v>
      </c>
      <c r="C45" s="235"/>
      <c r="D45" s="235"/>
      <c r="E45" s="235"/>
      <c r="F45" s="235"/>
      <c r="G45" s="235"/>
      <c r="H45" s="235"/>
      <c r="I45" s="235"/>
      <c r="J45" s="235"/>
      <c r="K45" s="235"/>
      <c r="L45" s="235"/>
      <c r="M45" s="236"/>
    </row>
    <row r="46" spans="2:18" x14ac:dyDescent="0.3">
      <c r="B46" s="283"/>
      <c r="C46" s="284"/>
      <c r="D46" s="284"/>
      <c r="E46" s="284"/>
      <c r="F46" s="284"/>
      <c r="G46" s="284"/>
      <c r="H46" s="284"/>
      <c r="I46" s="284"/>
      <c r="J46" s="284"/>
      <c r="K46" s="284"/>
      <c r="L46" s="284"/>
      <c r="M46" s="285"/>
    </row>
    <row r="47" spans="2:18" x14ac:dyDescent="0.3">
      <c r="B47" s="286"/>
      <c r="C47" s="287"/>
      <c r="D47" s="287"/>
      <c r="E47" s="287"/>
      <c r="F47" s="287"/>
      <c r="G47" s="287"/>
      <c r="H47" s="287"/>
      <c r="I47" s="287"/>
      <c r="J47" s="287"/>
      <c r="K47" s="287"/>
      <c r="L47" s="287"/>
      <c r="M47" s="288"/>
    </row>
    <row r="48" spans="2:18" x14ac:dyDescent="0.3">
      <c r="B48" s="289" t="s">
        <v>116</v>
      </c>
      <c r="C48" s="290"/>
      <c r="D48" s="290"/>
      <c r="E48" s="290"/>
      <c r="F48" s="290"/>
      <c r="G48" s="290"/>
      <c r="H48" s="290"/>
      <c r="I48" s="290"/>
      <c r="J48" s="290"/>
      <c r="K48" s="290"/>
      <c r="L48" s="290"/>
      <c r="M48" s="291"/>
    </row>
  </sheetData>
  <sheetProtection algorithmName="SHA-512" hashValue="/Xib/8Qzoc2YA+bEemtfFqOSfNm4PLTaMiLnSrvWrY45HXbIUp8zc0eG5ETyDi88TfFzAW5DFIlmRFjAsEqZYQ==" saltValue="0OB8BWP8qEDxqOUesFl8mg==" spinCount="100000" sheet="1" insertRows="0"/>
  <mergeCells count="13">
    <mergeCell ref="B46:M46"/>
    <mergeCell ref="B47:M47"/>
    <mergeCell ref="B48:M48"/>
    <mergeCell ref="B40:M40"/>
    <mergeCell ref="B41:M41"/>
    <mergeCell ref="B42:M42"/>
    <mergeCell ref="B43:M43"/>
    <mergeCell ref="B45:M45"/>
    <mergeCell ref="B35:M35"/>
    <mergeCell ref="B36:M36"/>
    <mergeCell ref="B37:M37"/>
    <mergeCell ref="B38:M38"/>
    <mergeCell ref="B1:M1"/>
  </mergeCells>
  <conditionalFormatting sqref="S5:X9">
    <cfRule type="expression" dxfId="9" priority="1">
      <formula>$R$5=TRUE</formula>
    </cfRule>
  </conditionalFormatting>
  <pageMargins left="0.25" right="0.25" top="0.75" bottom="0.75" header="0.3" footer="0.3"/>
  <pageSetup scale="75" fitToHeight="0"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D85DA-0E11-467A-8D44-29C794CF1C06}">
  <sheetPr codeName="Sheet4"/>
  <dimension ref="A1:D61"/>
  <sheetViews>
    <sheetView showGridLines="0" topLeftCell="A7" workbookViewId="0">
      <selection activeCell="C15" sqref="C15"/>
    </sheetView>
  </sheetViews>
  <sheetFormatPr defaultColWidth="9.109375" defaultRowHeight="14.4" x14ac:dyDescent="0.3"/>
  <cols>
    <col min="1" max="1" width="1.44140625" style="3" customWidth="1"/>
    <col min="2" max="2" width="10.6640625" style="52" customWidth="1"/>
    <col min="3" max="3" width="90.6640625" style="3" customWidth="1"/>
    <col min="4" max="4" width="1.44140625" style="3" customWidth="1"/>
    <col min="5" max="16384" width="9.109375" style="3"/>
  </cols>
  <sheetData>
    <row r="1" spans="1:4" s="41" customFormat="1" ht="21.6" thickTop="1" x14ac:dyDescent="0.3">
      <c r="A1" s="39"/>
      <c r="B1" s="230" t="s">
        <v>119</v>
      </c>
      <c r="C1" s="231"/>
      <c r="D1" s="40"/>
    </row>
    <row r="2" spans="1:4" s="44" customFormat="1" ht="21.6" thickBot="1" x14ac:dyDescent="0.35">
      <c r="A2" s="103"/>
      <c r="B2" s="233" t="s">
        <v>120</v>
      </c>
      <c r="C2" s="233"/>
      <c r="D2" s="104"/>
    </row>
    <row r="3" spans="1:4" ht="15" thickTop="1" x14ac:dyDescent="0.3"/>
    <row r="4" spans="1:4" ht="15.6" x14ac:dyDescent="0.3">
      <c r="A4" s="105"/>
      <c r="B4" s="234" t="s">
        <v>121</v>
      </c>
      <c r="C4" s="236"/>
    </row>
    <row r="5" spans="1:4" ht="15" customHeight="1" x14ac:dyDescent="0.3">
      <c r="B5" s="293" t="s">
        <v>122</v>
      </c>
      <c r="C5" s="294"/>
    </row>
    <row r="6" spans="1:4" ht="15" customHeight="1" x14ac:dyDescent="0.3">
      <c r="B6" s="150"/>
      <c r="C6" s="223"/>
    </row>
    <row r="7" spans="1:4" ht="15" customHeight="1" x14ac:dyDescent="0.3">
      <c r="B7" s="151"/>
      <c r="C7" s="223"/>
    </row>
    <row r="8" spans="1:4" ht="15" customHeight="1" x14ac:dyDescent="0.3">
      <c r="B8" s="151"/>
      <c r="C8" s="223"/>
    </row>
    <row r="9" spans="1:4" x14ac:dyDescent="0.3">
      <c r="B9" s="150"/>
      <c r="C9" s="224"/>
    </row>
    <row r="10" spans="1:4" ht="15" customHeight="1" x14ac:dyDescent="0.3">
      <c r="B10" s="152" t="s">
        <v>116</v>
      </c>
      <c r="C10" s="225"/>
    </row>
    <row r="12" spans="1:4" ht="15.6" x14ac:dyDescent="0.3">
      <c r="A12" s="105"/>
      <c r="B12" s="234" t="s">
        <v>123</v>
      </c>
      <c r="C12" s="236"/>
    </row>
    <row r="13" spans="1:4" ht="15" customHeight="1" x14ac:dyDescent="0.3">
      <c r="B13" s="293" t="s">
        <v>124</v>
      </c>
      <c r="C13" s="294"/>
    </row>
    <row r="14" spans="1:4" x14ac:dyDescent="0.3">
      <c r="B14" s="150"/>
      <c r="C14" s="224"/>
    </row>
    <row r="15" spans="1:4" x14ac:dyDescent="0.3">
      <c r="B15" s="153"/>
      <c r="C15" s="149"/>
    </row>
    <row r="16" spans="1:4" x14ac:dyDescent="0.3">
      <c r="B16" s="153"/>
      <c r="C16" s="149"/>
    </row>
    <row r="17" spans="1:3" x14ac:dyDescent="0.3">
      <c r="B17" s="153"/>
      <c r="C17" s="149"/>
    </row>
    <row r="18" spans="1:3" ht="15" customHeight="1" x14ac:dyDescent="0.3">
      <c r="B18" s="152" t="s">
        <v>116</v>
      </c>
      <c r="C18" s="225"/>
    </row>
    <row r="20" spans="1:3" ht="15.6" x14ac:dyDescent="0.3">
      <c r="A20" s="105"/>
      <c r="B20" s="234" t="s">
        <v>125</v>
      </c>
      <c r="C20" s="236"/>
    </row>
    <row r="21" spans="1:3" ht="15" customHeight="1" x14ac:dyDescent="0.3">
      <c r="B21" s="293" t="s">
        <v>126</v>
      </c>
      <c r="C21" s="294"/>
    </row>
    <row r="22" spans="1:3" x14ac:dyDescent="0.3">
      <c r="B22" s="150"/>
      <c r="C22" s="224"/>
    </row>
    <row r="23" spans="1:3" x14ac:dyDescent="0.3">
      <c r="B23" s="153"/>
      <c r="C23" s="149"/>
    </row>
    <row r="24" spans="1:3" x14ac:dyDescent="0.3">
      <c r="B24" s="153"/>
      <c r="C24" s="149"/>
    </row>
    <row r="25" spans="1:3" x14ac:dyDescent="0.3">
      <c r="B25" s="153"/>
      <c r="C25" s="149"/>
    </row>
    <row r="26" spans="1:3" ht="15" customHeight="1" x14ac:dyDescent="0.3">
      <c r="B26" s="152" t="s">
        <v>116</v>
      </c>
      <c r="C26" s="225"/>
    </row>
    <row r="27" spans="1:3" ht="15" customHeight="1" x14ac:dyDescent="0.3"/>
    <row r="28" spans="1:3" ht="15.6" x14ac:dyDescent="0.3">
      <c r="A28" s="105"/>
      <c r="B28" s="234" t="s">
        <v>127</v>
      </c>
      <c r="C28" s="236"/>
    </row>
    <row r="29" spans="1:3" ht="15" customHeight="1" x14ac:dyDescent="0.3">
      <c r="B29" s="293" t="s">
        <v>128</v>
      </c>
      <c r="C29" s="294"/>
    </row>
    <row r="30" spans="1:3" ht="15" customHeight="1" x14ac:dyDescent="0.3">
      <c r="B30" s="150"/>
      <c r="C30" s="224"/>
    </row>
    <row r="31" spans="1:3" ht="15" customHeight="1" x14ac:dyDescent="0.3">
      <c r="B31" s="153"/>
      <c r="C31" s="149"/>
    </row>
    <row r="32" spans="1:3" ht="15" customHeight="1" x14ac:dyDescent="0.3">
      <c r="B32" s="153"/>
      <c r="C32" s="149"/>
    </row>
    <row r="33" spans="1:3" ht="15" customHeight="1" x14ac:dyDescent="0.3">
      <c r="B33" s="153"/>
      <c r="C33" s="149"/>
    </row>
    <row r="34" spans="1:3" ht="15" customHeight="1" x14ac:dyDescent="0.3">
      <c r="B34" s="152" t="s">
        <v>116</v>
      </c>
      <c r="C34" s="225"/>
    </row>
    <row r="35" spans="1:3" ht="15" customHeight="1" x14ac:dyDescent="0.3"/>
    <row r="36" spans="1:3" ht="15.6" x14ac:dyDescent="0.3">
      <c r="A36" s="105"/>
      <c r="B36" s="234" t="s">
        <v>129</v>
      </c>
      <c r="C36" s="236"/>
    </row>
    <row r="37" spans="1:3" ht="15" customHeight="1" x14ac:dyDescent="0.3">
      <c r="B37" s="150">
        <v>1</v>
      </c>
      <c r="C37" s="223"/>
    </row>
    <row r="38" spans="1:3" ht="15" customHeight="1" x14ac:dyDescent="0.3">
      <c r="B38" s="151">
        <v>2</v>
      </c>
      <c r="C38" s="223"/>
    </row>
    <row r="39" spans="1:3" ht="15" customHeight="1" x14ac:dyDescent="0.3">
      <c r="B39" s="151">
        <v>3</v>
      </c>
      <c r="C39" s="223"/>
    </row>
    <row r="40" spans="1:3" ht="15" customHeight="1" x14ac:dyDescent="0.3">
      <c r="B40" s="151">
        <v>4</v>
      </c>
      <c r="C40" s="223"/>
    </row>
    <row r="41" spans="1:3" ht="15" customHeight="1" x14ac:dyDescent="0.3">
      <c r="B41" s="151">
        <v>5</v>
      </c>
      <c r="C41" s="223"/>
    </row>
    <row r="42" spans="1:3" ht="15" customHeight="1" x14ac:dyDescent="0.3">
      <c r="B42" s="151">
        <v>6</v>
      </c>
      <c r="C42" s="223"/>
    </row>
    <row r="43" spans="1:3" ht="15" customHeight="1" x14ac:dyDescent="0.3">
      <c r="B43" s="151">
        <v>7</v>
      </c>
      <c r="C43" s="223"/>
    </row>
    <row r="44" spans="1:3" x14ac:dyDescent="0.3">
      <c r="B44" s="150">
        <v>8</v>
      </c>
      <c r="C44" s="224"/>
    </row>
    <row r="45" spans="1:3" x14ac:dyDescent="0.3">
      <c r="B45" s="153">
        <v>9</v>
      </c>
      <c r="C45" s="149"/>
    </row>
    <row r="46" spans="1:3" x14ac:dyDescent="0.3">
      <c r="B46" s="153">
        <v>10</v>
      </c>
      <c r="C46" s="149"/>
    </row>
    <row r="47" spans="1:3" ht="15" customHeight="1" x14ac:dyDescent="0.3">
      <c r="B47" s="152" t="s">
        <v>116</v>
      </c>
      <c r="C47" s="225"/>
    </row>
    <row r="49" spans="1:3" ht="15.6" x14ac:dyDescent="0.3">
      <c r="A49" s="105"/>
      <c r="B49" s="234" t="s">
        <v>130</v>
      </c>
      <c r="C49" s="236"/>
    </row>
    <row r="50" spans="1:3" ht="15" customHeight="1" x14ac:dyDescent="0.3">
      <c r="B50" s="150"/>
      <c r="C50" s="223"/>
    </row>
    <row r="51" spans="1:3" ht="15" customHeight="1" x14ac:dyDescent="0.3">
      <c r="B51" s="151"/>
      <c r="C51" s="223"/>
    </row>
    <row r="52" spans="1:3" ht="15" customHeight="1" x14ac:dyDescent="0.3">
      <c r="B52" s="151"/>
      <c r="C52" s="223"/>
    </row>
    <row r="53" spans="1:3" ht="15" customHeight="1" x14ac:dyDescent="0.3">
      <c r="B53" s="150"/>
      <c r="C53" s="224"/>
    </row>
    <row r="54" spans="1:3" ht="15" customHeight="1" x14ac:dyDescent="0.3">
      <c r="B54" s="152" t="s">
        <v>116</v>
      </c>
      <c r="C54" s="225"/>
    </row>
    <row r="55" spans="1:3" ht="15" customHeight="1" x14ac:dyDescent="0.3"/>
    <row r="56" spans="1:3" ht="15.6" x14ac:dyDescent="0.3">
      <c r="A56" s="105"/>
      <c r="B56" s="234" t="s">
        <v>131</v>
      </c>
      <c r="C56" s="236"/>
    </row>
    <row r="57" spans="1:3" x14ac:dyDescent="0.3">
      <c r="B57" s="150"/>
      <c r="C57" s="223"/>
    </row>
    <row r="58" spans="1:3" x14ac:dyDescent="0.3">
      <c r="B58" s="151"/>
      <c r="C58" s="223"/>
    </row>
    <row r="59" spans="1:3" x14ac:dyDescent="0.3">
      <c r="B59" s="151"/>
      <c r="C59" s="223"/>
    </row>
    <row r="60" spans="1:3" x14ac:dyDescent="0.3">
      <c r="B60" s="150"/>
      <c r="C60" s="224"/>
    </row>
    <row r="61" spans="1:3" ht="15" customHeight="1" x14ac:dyDescent="0.3">
      <c r="B61" s="152" t="s">
        <v>116</v>
      </c>
      <c r="C61" s="225"/>
    </row>
  </sheetData>
  <mergeCells count="13">
    <mergeCell ref="B56:C56"/>
    <mergeCell ref="B36:C36"/>
    <mergeCell ref="B49:C49"/>
    <mergeCell ref="B28:C28"/>
    <mergeCell ref="B29:C29"/>
    <mergeCell ref="B12:C12"/>
    <mergeCell ref="B13:C13"/>
    <mergeCell ref="B20:C20"/>
    <mergeCell ref="B21:C21"/>
    <mergeCell ref="B1:C1"/>
    <mergeCell ref="B2:C2"/>
    <mergeCell ref="B4:C4"/>
    <mergeCell ref="B5:C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01A9B-263F-44D5-808A-78DF6D1B5A37}">
  <sheetPr codeName="Sheet6">
    <pageSetUpPr fitToPage="1"/>
  </sheetPr>
  <dimension ref="A1:H14"/>
  <sheetViews>
    <sheetView showGridLines="0" workbookViewId="0">
      <selection activeCell="C5" sqref="C5"/>
    </sheetView>
  </sheetViews>
  <sheetFormatPr defaultColWidth="9.109375" defaultRowHeight="14.4" x14ac:dyDescent="0.3"/>
  <cols>
    <col min="1" max="1" width="1.44140625" customWidth="1"/>
    <col min="2" max="2" width="31.44140625" customWidth="1"/>
    <col min="3" max="3" width="17.109375" customWidth="1"/>
    <col min="4" max="4" width="2.88671875" customWidth="1"/>
    <col min="5" max="5" width="11.44140625" style="98" customWidth="1"/>
    <col min="6" max="6" width="17.109375" customWidth="1"/>
    <col min="7" max="7" width="24.33203125" style="38" customWidth="1"/>
    <col min="8" max="8" width="1.44140625" customWidth="1"/>
  </cols>
  <sheetData>
    <row r="1" spans="1:8" s="3" customFormat="1" ht="22.2" thickTop="1" thickBot="1" x14ac:dyDescent="0.35">
      <c r="A1" s="1"/>
      <c r="B1" s="295" t="s">
        <v>132</v>
      </c>
      <c r="C1" s="295"/>
      <c r="D1" s="295"/>
      <c r="E1" s="295"/>
      <c r="F1" s="295"/>
      <c r="G1" s="295"/>
      <c r="H1" s="2"/>
    </row>
    <row r="2" spans="1:8" s="3" customFormat="1" ht="15.6" thickTop="1" thickBot="1" x14ac:dyDescent="0.35">
      <c r="B2" s="4"/>
      <c r="C2" s="4"/>
      <c r="D2" s="4"/>
      <c r="E2" s="4"/>
      <c r="F2" s="4"/>
      <c r="G2" s="4"/>
    </row>
    <row r="3" spans="1:8" s="3" customFormat="1" x14ac:dyDescent="0.3">
      <c r="B3" s="296" t="s">
        <v>133</v>
      </c>
      <c r="C3" s="297"/>
      <c r="D3" s="297"/>
      <c r="E3" s="297"/>
      <c r="F3" s="297"/>
      <c r="G3" s="298"/>
    </row>
    <row r="4" spans="1:8" s="6" customFormat="1" ht="28.8" x14ac:dyDescent="0.3">
      <c r="B4" s="7" t="s">
        <v>134</v>
      </c>
      <c r="C4" s="8" t="s">
        <v>135</v>
      </c>
      <c r="D4" s="8"/>
      <c r="E4" s="88" t="s">
        <v>136</v>
      </c>
      <c r="F4" s="8" t="s">
        <v>137</v>
      </c>
      <c r="G4" s="10" t="s">
        <v>138</v>
      </c>
    </row>
    <row r="5" spans="1:8" s="3" customFormat="1" x14ac:dyDescent="0.3">
      <c r="B5" s="11" t="s">
        <v>139</v>
      </c>
      <c r="C5" s="89"/>
      <c r="D5" s="13"/>
      <c r="E5" s="90"/>
      <c r="F5" s="91"/>
      <c r="G5" s="16"/>
    </row>
    <row r="6" spans="1:8" s="3" customFormat="1" x14ac:dyDescent="0.3">
      <c r="B6" s="11" t="s">
        <v>140</v>
      </c>
      <c r="C6" s="12"/>
      <c r="D6" s="13"/>
      <c r="E6" s="90"/>
      <c r="F6" s="15"/>
      <c r="G6" s="16"/>
    </row>
    <row r="7" spans="1:8" s="3" customFormat="1" x14ac:dyDescent="0.3">
      <c r="B7" s="11" t="s">
        <v>141</v>
      </c>
      <c r="C7" s="12"/>
      <c r="D7" s="13"/>
      <c r="E7" s="90"/>
      <c r="F7" s="15"/>
      <c r="G7" s="16"/>
    </row>
    <row r="8" spans="1:8" s="3" customFormat="1" x14ac:dyDescent="0.3">
      <c r="B8" s="11" t="s">
        <v>142</v>
      </c>
      <c r="C8" s="12"/>
      <c r="D8" s="13"/>
      <c r="E8" s="90"/>
      <c r="F8" s="15"/>
      <c r="G8" s="16"/>
    </row>
    <row r="9" spans="1:8" s="3" customFormat="1" x14ac:dyDescent="0.3">
      <c r="B9" s="11" t="s">
        <v>143</v>
      </c>
      <c r="C9" s="12"/>
      <c r="D9" s="13"/>
      <c r="E9" s="90"/>
      <c r="F9" s="15"/>
      <c r="G9" s="16"/>
    </row>
    <row r="10" spans="1:8" s="3" customFormat="1" x14ac:dyDescent="0.3">
      <c r="B10" s="17" t="s">
        <v>144</v>
      </c>
      <c r="C10" s="12"/>
      <c r="D10" s="13"/>
      <c r="E10" s="90"/>
      <c r="F10" s="15"/>
      <c r="G10" s="18"/>
    </row>
    <row r="11" spans="1:8" s="3" customFormat="1" ht="15" thickBot="1" x14ac:dyDescent="0.35">
      <c r="B11" s="17" t="s">
        <v>116</v>
      </c>
      <c r="C11" s="92"/>
      <c r="D11" s="13"/>
      <c r="E11" s="90"/>
      <c r="F11" s="20"/>
      <c r="G11" s="18"/>
    </row>
    <row r="12" spans="1:8" s="41" customFormat="1" ht="15" thickBot="1" x14ac:dyDescent="0.35">
      <c r="B12" s="33" t="s">
        <v>145</v>
      </c>
      <c r="C12" s="22">
        <f>+SUBTOTAL(9,C5:INDEX(C5:C12,ROWS(C5:C12)-1))</f>
        <v>0</v>
      </c>
      <c r="D12" s="93"/>
      <c r="E12" s="94" t="s">
        <v>146</v>
      </c>
      <c r="F12" s="25">
        <f>C12</f>
        <v>0</v>
      </c>
      <c r="G12" s="95"/>
    </row>
    <row r="13" spans="1:8" s="41" customFormat="1" x14ac:dyDescent="0.3">
      <c r="B13" s="96"/>
      <c r="C13" s="87"/>
      <c r="D13" s="87"/>
      <c r="E13" s="97"/>
      <c r="F13" s="96"/>
      <c r="G13" s="86"/>
    </row>
    <row r="14" spans="1:8" ht="15" customHeight="1" x14ac:dyDescent="0.3">
      <c r="B14" s="275" t="s">
        <v>63</v>
      </c>
      <c r="C14" s="276"/>
    </row>
  </sheetData>
  <sheetProtection algorithmName="SHA-512" hashValue="n6TaMIJ44ky7/UHa8uRQdIh7SOzwT2K/N0JYbBQv8kQWqZVYjSvAXssGmiA3Cgn0ft1puFZ9GYoiKTZcclG4Cg==" saltValue="/rFmkVbhBgiVKjD/WeTkfg==" spinCount="100000" sheet="1" insertRows="0"/>
  <mergeCells count="3">
    <mergeCell ref="B1:G1"/>
    <mergeCell ref="B3:G3"/>
    <mergeCell ref="B14:C14"/>
  </mergeCells>
  <pageMargins left="0.25" right="0.25" top="0.75" bottom="0.75" header="0.3" footer="0.3"/>
  <pageSetup scale="9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11F60-61BA-4B73-96C6-EF32C1B25EFA}">
  <sheetPr codeName="Sheet7">
    <pageSetUpPr fitToPage="1"/>
  </sheetPr>
  <dimension ref="A1:H51"/>
  <sheetViews>
    <sheetView showGridLines="0" zoomScaleNormal="100" workbookViewId="0">
      <selection activeCell="D52" sqref="D52"/>
    </sheetView>
  </sheetViews>
  <sheetFormatPr defaultColWidth="9.109375" defaultRowHeight="14.4" x14ac:dyDescent="0.3"/>
  <cols>
    <col min="1" max="1" width="1.44140625" customWidth="1"/>
    <col min="2" max="2" width="32.44140625" customWidth="1"/>
    <col min="3" max="3" width="17.109375" customWidth="1"/>
    <col min="4" max="4" width="2.88671875" customWidth="1"/>
    <col min="5" max="5" width="11.44140625" style="37" customWidth="1"/>
    <col min="6" max="6" width="17.109375" customWidth="1"/>
    <col min="7" max="7" width="24.33203125" style="38" customWidth="1"/>
    <col min="8" max="8" width="1.44140625" customWidth="1"/>
  </cols>
  <sheetData>
    <row r="1" spans="1:8" s="3" customFormat="1" ht="22.2" thickTop="1" thickBot="1" x14ac:dyDescent="0.35">
      <c r="A1" s="1"/>
      <c r="B1" s="295" t="s">
        <v>132</v>
      </c>
      <c r="C1" s="295"/>
      <c r="D1" s="295"/>
      <c r="E1" s="295"/>
      <c r="F1" s="295"/>
      <c r="G1" s="295"/>
      <c r="H1" s="2"/>
    </row>
    <row r="2" spans="1:8" s="3" customFormat="1" ht="15.6" thickTop="1" thickBot="1" x14ac:dyDescent="0.35">
      <c r="B2" s="4"/>
      <c r="C2" s="4"/>
      <c r="D2" s="4"/>
      <c r="E2" s="5"/>
      <c r="F2" s="4"/>
      <c r="G2" s="4"/>
    </row>
    <row r="3" spans="1:8" s="3" customFormat="1" x14ac:dyDescent="0.3">
      <c r="B3" s="296" t="s">
        <v>75</v>
      </c>
      <c r="C3" s="297"/>
      <c r="D3" s="297"/>
      <c r="E3" s="297"/>
      <c r="F3" s="297"/>
      <c r="G3" s="298"/>
    </row>
    <row r="4" spans="1:8" s="6" customFormat="1" ht="28.8" x14ac:dyDescent="0.3">
      <c r="B4" s="7" t="s">
        <v>134</v>
      </c>
      <c r="C4" s="8" t="s">
        <v>135</v>
      </c>
      <c r="D4" s="8"/>
      <c r="E4" s="9" t="s">
        <v>136</v>
      </c>
      <c r="F4" s="8" t="s">
        <v>137</v>
      </c>
      <c r="G4" s="10" t="s">
        <v>138</v>
      </c>
    </row>
    <row r="5" spans="1:8" s="3" customFormat="1" x14ac:dyDescent="0.3">
      <c r="B5" s="299" t="s">
        <v>147</v>
      </c>
      <c r="C5" s="300"/>
      <c r="D5" s="300"/>
      <c r="E5" s="300"/>
      <c r="F5" s="300"/>
      <c r="G5" s="301"/>
    </row>
    <row r="6" spans="1:8" s="3" customFormat="1" x14ac:dyDescent="0.3">
      <c r="B6" s="11" t="s">
        <v>148</v>
      </c>
      <c r="C6" s="12"/>
      <c r="D6" s="13"/>
      <c r="E6" s="14"/>
      <c r="F6" s="15"/>
      <c r="G6" s="16"/>
    </row>
    <row r="7" spans="1:8" s="3" customFormat="1" x14ac:dyDescent="0.3">
      <c r="B7" s="11" t="s">
        <v>149</v>
      </c>
      <c r="C7" s="12"/>
      <c r="D7" s="13"/>
      <c r="E7" s="14"/>
      <c r="F7" s="15"/>
      <c r="G7" s="16"/>
    </row>
    <row r="8" spans="1:8" s="3" customFormat="1" x14ac:dyDescent="0.3">
      <c r="B8" s="11" t="s">
        <v>150</v>
      </c>
      <c r="C8" s="12"/>
      <c r="D8" s="13"/>
      <c r="E8" s="14"/>
      <c r="F8" s="15"/>
      <c r="G8" s="16"/>
    </row>
    <row r="9" spans="1:8" s="3" customFormat="1" x14ac:dyDescent="0.3">
      <c r="B9" s="17" t="s">
        <v>151</v>
      </c>
      <c r="C9" s="12"/>
      <c r="D9" s="13"/>
      <c r="E9" s="14"/>
      <c r="F9" s="15"/>
      <c r="G9" s="18"/>
    </row>
    <row r="10" spans="1:8" s="3" customFormat="1" ht="15" thickBot="1" x14ac:dyDescent="0.35">
      <c r="B10" s="17" t="s">
        <v>116</v>
      </c>
      <c r="C10" s="19"/>
      <c r="D10" s="13"/>
      <c r="E10" s="14"/>
      <c r="F10" s="20"/>
      <c r="G10" s="18"/>
    </row>
    <row r="11" spans="1:8" s="3" customFormat="1" ht="15" thickBot="1" x14ac:dyDescent="0.35">
      <c r="B11" s="21" t="s">
        <v>152</v>
      </c>
      <c r="C11" s="22">
        <f>+SUBTOTAL(9,C5:INDEX(C5:C11,ROWS(C5:C11)-1))</f>
        <v>0</v>
      </c>
      <c r="D11" s="23"/>
      <c r="E11" s="24">
        <f ca="1">IF(ESC_StartD&lt;1, 1, ESC_StartD)</f>
        <v>1</v>
      </c>
      <c r="F11" s="25">
        <f ca="1">ROUNDUP(C11*E11, 0)</f>
        <v>0</v>
      </c>
      <c r="G11" s="16" t="s">
        <v>153</v>
      </c>
    </row>
    <row r="12" spans="1:8" s="3" customFormat="1" x14ac:dyDescent="0.3">
      <c r="B12" s="26"/>
      <c r="C12" s="27"/>
      <c r="D12" s="27"/>
      <c r="E12" s="28"/>
      <c r="F12" s="29"/>
      <c r="G12" s="30"/>
    </row>
    <row r="13" spans="1:8" s="3" customFormat="1" x14ac:dyDescent="0.3">
      <c r="B13" s="299" t="s">
        <v>154</v>
      </c>
      <c r="C13" s="300"/>
      <c r="D13" s="300"/>
      <c r="E13" s="300"/>
      <c r="F13" s="300"/>
      <c r="G13" s="301"/>
    </row>
    <row r="14" spans="1:8" s="3" customFormat="1" x14ac:dyDescent="0.3">
      <c r="B14" s="133" t="s">
        <v>155</v>
      </c>
      <c r="C14" s="31">
        <f>IFERROR(AEFP*(TCC+CONT)*0.69, 0)</f>
        <v>0</v>
      </c>
      <c r="D14" s="13"/>
      <c r="E14" s="14"/>
      <c r="F14" s="15"/>
      <c r="G14" s="16" t="s">
        <v>156</v>
      </c>
    </row>
    <row r="15" spans="1:8" s="3" customFormat="1" x14ac:dyDescent="0.3">
      <c r="B15" s="17" t="s">
        <v>151</v>
      </c>
      <c r="C15" s="92"/>
      <c r="D15" s="13"/>
      <c r="E15" s="14"/>
      <c r="F15" s="15"/>
      <c r="G15" s="18"/>
    </row>
    <row r="16" spans="1:8" s="3" customFormat="1" ht="15" thickBot="1" x14ac:dyDescent="0.35">
      <c r="B16" s="17" t="s">
        <v>116</v>
      </c>
      <c r="C16" s="19"/>
      <c r="D16" s="13"/>
      <c r="E16" s="14"/>
      <c r="F16" s="20"/>
      <c r="G16" s="18"/>
    </row>
    <row r="17" spans="2:7" s="3" customFormat="1" ht="15" thickBot="1" x14ac:dyDescent="0.35">
      <c r="B17" s="21" t="s">
        <v>152</v>
      </c>
      <c r="C17" s="22">
        <f>+SUBTOTAL(9,C14:INDEX(C14:C17,ROWS(C14:C17)-1))</f>
        <v>0</v>
      </c>
      <c r="D17" s="23"/>
      <c r="E17" s="24">
        <f ca="1">IF(ESC_MidD&lt;1, 1, ESC_MidD)</f>
        <v>1</v>
      </c>
      <c r="F17" s="25">
        <f ca="1">ROUNDUP(C17*E17, 0)</f>
        <v>0</v>
      </c>
      <c r="G17" s="16" t="s">
        <v>157</v>
      </c>
    </row>
    <row r="18" spans="2:7" s="3" customFormat="1" x14ac:dyDescent="0.3">
      <c r="B18" s="26"/>
      <c r="C18" s="27"/>
      <c r="D18" s="27"/>
      <c r="E18" s="28"/>
      <c r="F18" s="29"/>
      <c r="G18" s="30"/>
    </row>
    <row r="19" spans="2:7" s="3" customFormat="1" x14ac:dyDescent="0.3">
      <c r="B19" s="299" t="s">
        <v>158</v>
      </c>
      <c r="C19" s="300"/>
      <c r="D19" s="300"/>
      <c r="E19" s="300"/>
      <c r="F19" s="300"/>
      <c r="G19" s="301"/>
    </row>
    <row r="20" spans="2:7" s="3" customFormat="1" x14ac:dyDescent="0.3">
      <c r="B20" s="11" t="s">
        <v>159</v>
      </c>
      <c r="C20" s="12"/>
      <c r="D20" s="13"/>
      <c r="E20" s="14"/>
      <c r="F20" s="15"/>
      <c r="G20" s="18"/>
    </row>
    <row r="21" spans="2:7" s="3" customFormat="1" x14ac:dyDescent="0.3">
      <c r="B21" s="11" t="s">
        <v>160</v>
      </c>
      <c r="C21" s="12"/>
      <c r="D21" s="13"/>
      <c r="E21" s="14"/>
      <c r="F21" s="15"/>
      <c r="G21" s="18"/>
    </row>
    <row r="22" spans="2:7" s="3" customFormat="1" x14ac:dyDescent="0.3">
      <c r="B22" s="11" t="s">
        <v>161</v>
      </c>
      <c r="C22" s="12"/>
      <c r="D22" s="13"/>
      <c r="E22" s="14"/>
      <c r="F22" s="15"/>
      <c r="G22" s="18"/>
    </row>
    <row r="23" spans="2:7" s="3" customFormat="1" x14ac:dyDescent="0.3">
      <c r="B23" s="11" t="s">
        <v>162</v>
      </c>
      <c r="C23" s="12"/>
      <c r="D23" s="13"/>
      <c r="E23" s="14"/>
      <c r="F23" s="15"/>
      <c r="G23" s="18"/>
    </row>
    <row r="24" spans="2:7" s="3" customFormat="1" x14ac:dyDescent="0.3">
      <c r="B24" s="11" t="s">
        <v>163</v>
      </c>
      <c r="C24" s="12"/>
      <c r="D24" s="13"/>
      <c r="E24" s="14"/>
      <c r="F24" s="15"/>
      <c r="G24" s="18"/>
    </row>
    <row r="25" spans="2:7" s="3" customFormat="1" x14ac:dyDescent="0.3">
      <c r="B25" s="11" t="s">
        <v>164</v>
      </c>
      <c r="C25" s="12"/>
      <c r="D25" s="13"/>
      <c r="E25" s="14"/>
      <c r="F25" s="15"/>
      <c r="G25" s="18"/>
    </row>
    <row r="26" spans="2:7" s="3" customFormat="1" x14ac:dyDescent="0.3">
      <c r="B26" s="11" t="s">
        <v>165</v>
      </c>
      <c r="C26" s="12"/>
      <c r="D26" s="13"/>
      <c r="E26" s="14"/>
      <c r="F26" s="15"/>
      <c r="G26" s="18"/>
    </row>
    <row r="27" spans="2:7" s="3" customFormat="1" x14ac:dyDescent="0.3">
      <c r="B27" s="11" t="s">
        <v>166</v>
      </c>
      <c r="C27" s="12"/>
      <c r="D27" s="13"/>
      <c r="E27" s="14"/>
      <c r="F27" s="15"/>
      <c r="G27" s="18"/>
    </row>
    <row r="28" spans="2:7" s="3" customFormat="1" x14ac:dyDescent="0.3">
      <c r="B28" s="11" t="s">
        <v>167</v>
      </c>
      <c r="C28" s="12"/>
      <c r="D28" s="13"/>
      <c r="E28" s="14"/>
      <c r="F28" s="15"/>
      <c r="G28" s="18"/>
    </row>
    <row r="29" spans="2:7" s="3" customFormat="1" x14ac:dyDescent="0.3">
      <c r="B29" s="11" t="s">
        <v>168</v>
      </c>
      <c r="C29" s="12"/>
      <c r="D29" s="13"/>
      <c r="E29" s="14"/>
      <c r="F29" s="15"/>
      <c r="G29" s="18"/>
    </row>
    <row r="30" spans="2:7" s="3" customFormat="1" x14ac:dyDescent="0.3">
      <c r="B30" s="11" t="s">
        <v>169</v>
      </c>
      <c r="C30" s="12"/>
      <c r="D30" s="13"/>
      <c r="E30" s="14"/>
      <c r="F30" s="15"/>
      <c r="G30" s="18"/>
    </row>
    <row r="31" spans="2:7" s="3" customFormat="1" x14ac:dyDescent="0.3">
      <c r="B31" s="17" t="s">
        <v>151</v>
      </c>
      <c r="C31" s="12"/>
      <c r="D31" s="13"/>
      <c r="E31" s="14"/>
      <c r="F31" s="15"/>
      <c r="G31" s="18"/>
    </row>
    <row r="32" spans="2:7" s="3" customFormat="1" ht="15" thickBot="1" x14ac:dyDescent="0.35">
      <c r="B32" s="17" t="s">
        <v>116</v>
      </c>
      <c r="C32" s="19"/>
      <c r="D32" s="13"/>
      <c r="E32" s="14"/>
      <c r="F32" s="20"/>
      <c r="G32" s="18"/>
    </row>
    <row r="33" spans="2:7" s="3" customFormat="1" ht="15" thickBot="1" x14ac:dyDescent="0.35">
      <c r="B33" s="21" t="s">
        <v>152</v>
      </c>
      <c r="C33" s="22">
        <f>+SUBTOTAL(9,C20:INDEX(C20:C33,ROWS(C20:C33)-1))</f>
        <v>0</v>
      </c>
      <c r="D33" s="23"/>
      <c r="E33" s="24">
        <f ca="1">IF(ESC_MidD&lt;1, 1, ESC_MidD)</f>
        <v>1</v>
      </c>
      <c r="F33" s="25">
        <f ca="1">ROUNDUP(C33*E33, 0)</f>
        <v>0</v>
      </c>
      <c r="G33" s="16" t="s">
        <v>157</v>
      </c>
    </row>
    <row r="34" spans="2:7" s="3" customFormat="1" x14ac:dyDescent="0.3">
      <c r="B34" s="26"/>
      <c r="C34" s="27"/>
      <c r="D34" s="27"/>
      <c r="E34" s="28"/>
      <c r="F34" s="29"/>
      <c r="G34" s="30"/>
    </row>
    <row r="35" spans="2:7" s="3" customFormat="1" ht="15" customHeight="1" x14ac:dyDescent="0.3">
      <c r="B35" s="299" t="s">
        <v>170</v>
      </c>
      <c r="C35" s="300"/>
      <c r="D35" s="300"/>
      <c r="E35" s="300"/>
      <c r="F35" s="300"/>
      <c r="G35" s="301"/>
    </row>
    <row r="36" spans="2:7" s="3" customFormat="1" x14ac:dyDescent="0.3">
      <c r="B36" s="134" t="s">
        <v>171</v>
      </c>
      <c r="C36" s="31">
        <f>IFERROR(AEFP*(TCC+CONT)*0.31, 0)</f>
        <v>0</v>
      </c>
      <c r="D36" s="13"/>
      <c r="E36" s="14"/>
      <c r="F36" s="15"/>
      <c r="G36" s="16" t="s">
        <v>172</v>
      </c>
    </row>
    <row r="37" spans="2:7" s="3" customFormat="1" x14ac:dyDescent="0.3">
      <c r="B37" s="11" t="s">
        <v>173</v>
      </c>
      <c r="C37" s="12"/>
      <c r="D37" s="13"/>
      <c r="E37" s="14"/>
      <c r="F37" s="15"/>
      <c r="G37" s="18"/>
    </row>
    <row r="38" spans="2:7" s="3" customFormat="1" x14ac:dyDescent="0.3">
      <c r="B38" s="11" t="s">
        <v>174</v>
      </c>
      <c r="C38" s="12"/>
      <c r="D38" s="13"/>
      <c r="E38" s="14"/>
      <c r="F38" s="15"/>
      <c r="G38" s="18"/>
    </row>
    <row r="39" spans="2:7" s="3" customFormat="1" x14ac:dyDescent="0.3">
      <c r="B39" s="17" t="s">
        <v>151</v>
      </c>
      <c r="C39" s="12"/>
      <c r="D39" s="13"/>
      <c r="E39" s="14"/>
      <c r="F39" s="15"/>
      <c r="G39" s="18"/>
    </row>
    <row r="40" spans="2:7" s="3" customFormat="1" ht="15" thickBot="1" x14ac:dyDescent="0.35">
      <c r="B40" s="17" t="s">
        <v>116</v>
      </c>
      <c r="C40" s="19"/>
      <c r="D40" s="13"/>
      <c r="E40" s="14"/>
      <c r="F40" s="20"/>
      <c r="G40" s="18"/>
    </row>
    <row r="41" spans="2:7" s="3" customFormat="1" ht="15" thickBot="1" x14ac:dyDescent="0.35">
      <c r="B41" s="21" t="s">
        <v>152</v>
      </c>
      <c r="C41" s="22">
        <f>+SUBTOTAL(9,C36:INDEX(C36:C41,ROWS(C36:C41)-1))</f>
        <v>0</v>
      </c>
      <c r="D41" s="23"/>
      <c r="E41" s="24">
        <f ca="1">IF(ESC_MidC&lt;1, 1, ESC_MidC)</f>
        <v>1</v>
      </c>
      <c r="F41" s="25">
        <f ca="1">ROUNDUP(C41*E41, 0)</f>
        <v>0</v>
      </c>
      <c r="G41" s="16" t="s">
        <v>175</v>
      </c>
    </row>
    <row r="42" spans="2:7" s="3" customFormat="1" x14ac:dyDescent="0.3">
      <c r="B42" s="26"/>
      <c r="C42" s="27"/>
      <c r="D42" s="27"/>
      <c r="E42" s="28"/>
      <c r="F42" s="29"/>
      <c r="G42" s="30"/>
    </row>
    <row r="43" spans="2:7" s="3" customFormat="1" x14ac:dyDescent="0.3">
      <c r="B43" s="299" t="s">
        <v>176</v>
      </c>
      <c r="C43" s="300"/>
      <c r="D43" s="300"/>
      <c r="E43" s="300"/>
      <c r="F43" s="300"/>
      <c r="G43" s="301"/>
    </row>
    <row r="44" spans="2:7" s="3" customFormat="1" x14ac:dyDescent="0.3">
      <c r="B44" s="11" t="s">
        <v>80</v>
      </c>
      <c r="C44" s="32">
        <f>IFERROR((C11+C17+C33+C41)*CONT_RATE, "")</f>
        <v>0</v>
      </c>
      <c r="D44" s="13"/>
      <c r="E44" s="14"/>
      <c r="F44" s="15"/>
      <c r="G44" s="16"/>
    </row>
    <row r="45" spans="2:7" s="3" customFormat="1" x14ac:dyDescent="0.3">
      <c r="B45" s="17" t="s">
        <v>144</v>
      </c>
      <c r="C45" s="12"/>
      <c r="D45" s="13"/>
      <c r="E45" s="14"/>
      <c r="F45" s="15"/>
      <c r="G45" s="18"/>
    </row>
    <row r="46" spans="2:7" s="3" customFormat="1" ht="15" thickBot="1" x14ac:dyDescent="0.35">
      <c r="B46" s="17" t="s">
        <v>116</v>
      </c>
      <c r="C46" s="19"/>
      <c r="D46" s="13"/>
      <c r="E46" s="14"/>
      <c r="F46" s="20"/>
      <c r="G46" s="18"/>
    </row>
    <row r="47" spans="2:7" s="3" customFormat="1" ht="15" thickBot="1" x14ac:dyDescent="0.35">
      <c r="B47" s="21" t="s">
        <v>152</v>
      </c>
      <c r="C47" s="22">
        <f>+SUBTOTAL(9,C43:INDEX(C43:C47,ROWS(C43:C47)-1))</f>
        <v>0</v>
      </c>
      <c r="D47" s="23"/>
      <c r="E47" s="24">
        <f ca="1">IF(ESC_MidC&lt;1, 1, ESC_MidC)</f>
        <v>1</v>
      </c>
      <c r="F47" s="25">
        <f ca="1">ROUNDUP(C47*E47, 0)</f>
        <v>0</v>
      </c>
      <c r="G47" s="16" t="s">
        <v>175</v>
      </c>
    </row>
    <row r="48" spans="2:7" s="3" customFormat="1" ht="15" thickBot="1" x14ac:dyDescent="0.35">
      <c r="B48" s="26"/>
      <c r="C48" s="27"/>
      <c r="D48" s="27"/>
      <c r="E48" s="28"/>
      <c r="F48" s="29"/>
      <c r="G48" s="30"/>
    </row>
    <row r="49" spans="2:7" s="3" customFormat="1" ht="15" thickBot="1" x14ac:dyDescent="0.35">
      <c r="B49" s="33" t="s">
        <v>177</v>
      </c>
      <c r="C49" s="22">
        <f>SUBTOTAL(9,C5:C48)</f>
        <v>0</v>
      </c>
      <c r="D49" s="34"/>
      <c r="E49" s="35"/>
      <c r="F49" s="22">
        <f ca="1">SUBTOTAL(9,F5:F48)</f>
        <v>0</v>
      </c>
      <c r="G49" s="36"/>
    </row>
    <row r="50" spans="2:7" s="3" customFormat="1" x14ac:dyDescent="0.3">
      <c r="B50" s="15"/>
      <c r="C50" s="13"/>
      <c r="D50" s="13"/>
      <c r="E50" s="14"/>
      <c r="F50" s="15"/>
      <c r="G50" s="15"/>
    </row>
    <row r="51" spans="2:7" s="3" customFormat="1" ht="15" customHeight="1" x14ac:dyDescent="0.3">
      <c r="B51" s="275" t="s">
        <v>63</v>
      </c>
      <c r="C51" s="276"/>
      <c r="D51" s="13"/>
      <c r="E51" s="14"/>
      <c r="F51" s="15"/>
      <c r="G51" s="15"/>
    </row>
  </sheetData>
  <sheetProtection algorithmName="SHA-512" hashValue="AhKb0Cr1RLwE7cz1mcfdnub6k5ZKFi+/tu2qpNmdXjQsGyOM5Da7cSXje+USZhhq3NxARpcn6n8wY4XPA5toQg==" saltValue="MLtYUF0S8i0RHjAGnsvMiQ==" spinCount="100000" sheet="1" insertRows="0"/>
  <mergeCells count="8">
    <mergeCell ref="B43:G43"/>
    <mergeCell ref="B51:C51"/>
    <mergeCell ref="B1:G1"/>
    <mergeCell ref="B3:G3"/>
    <mergeCell ref="B5:G5"/>
    <mergeCell ref="B13:G13"/>
    <mergeCell ref="B19:G19"/>
    <mergeCell ref="B35:G35"/>
  </mergeCells>
  <pageMargins left="0.25" right="0.25" top="0.75" bottom="0.75" header="0.3" footer="0.3"/>
  <pageSetup scale="94" fitToHeight="0" orientation="portrait" horizont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FCC5C-825E-4AB8-A7C9-76D9A025D39C}">
  <sheetPr codeName="Sheet8">
    <pageSetUpPr fitToPage="1"/>
  </sheetPr>
  <dimension ref="A1:H84"/>
  <sheetViews>
    <sheetView showGridLines="0" topLeftCell="A64" workbookViewId="0">
      <selection activeCell="I79" sqref="I79"/>
    </sheetView>
  </sheetViews>
  <sheetFormatPr defaultColWidth="9.109375" defaultRowHeight="14.4" x14ac:dyDescent="0.3"/>
  <cols>
    <col min="1" max="1" width="1.44140625" customWidth="1"/>
    <col min="2" max="2" width="31.44140625" customWidth="1"/>
    <col min="3" max="3" width="17.109375" customWidth="1"/>
    <col min="4" max="4" width="2.88671875" customWidth="1"/>
    <col min="5" max="5" width="11.44140625" style="37" customWidth="1"/>
    <col min="6" max="6" width="17.109375" customWidth="1"/>
    <col min="7" max="7" width="24.33203125" style="38" customWidth="1"/>
    <col min="8" max="8" width="1.44140625" customWidth="1"/>
  </cols>
  <sheetData>
    <row r="1" spans="1:8" s="3" customFormat="1" ht="22.2" thickTop="1" thickBot="1" x14ac:dyDescent="0.35">
      <c r="A1" s="1"/>
      <c r="B1" s="295" t="s">
        <v>132</v>
      </c>
      <c r="C1" s="295"/>
      <c r="D1" s="295"/>
      <c r="E1" s="295"/>
      <c r="F1" s="295"/>
      <c r="G1" s="295"/>
      <c r="H1" s="2"/>
    </row>
    <row r="2" spans="1:8" s="3" customFormat="1" ht="15.6" thickTop="1" thickBot="1" x14ac:dyDescent="0.35">
      <c r="B2" s="4"/>
      <c r="C2" s="4"/>
      <c r="D2" s="4"/>
      <c r="E2" s="5"/>
      <c r="F2" s="4"/>
      <c r="G2" s="4"/>
    </row>
    <row r="3" spans="1:8" s="3" customFormat="1" x14ac:dyDescent="0.3">
      <c r="B3" s="296" t="s">
        <v>178</v>
      </c>
      <c r="C3" s="297"/>
      <c r="D3" s="297"/>
      <c r="E3" s="297"/>
      <c r="F3" s="297"/>
      <c r="G3" s="298"/>
    </row>
    <row r="4" spans="1:8" s="6" customFormat="1" ht="28.8" x14ac:dyDescent="0.3">
      <c r="B4" s="7" t="s">
        <v>134</v>
      </c>
      <c r="C4" s="8" t="s">
        <v>135</v>
      </c>
      <c r="D4" s="8"/>
      <c r="E4" s="9" t="s">
        <v>136</v>
      </c>
      <c r="F4" s="8" t="s">
        <v>137</v>
      </c>
      <c r="G4" s="10" t="s">
        <v>138</v>
      </c>
    </row>
    <row r="5" spans="1:8" s="3" customFormat="1" x14ac:dyDescent="0.3">
      <c r="B5" s="299" t="s">
        <v>179</v>
      </c>
      <c r="C5" s="300"/>
      <c r="D5" s="300"/>
      <c r="E5" s="300"/>
      <c r="F5" s="300"/>
      <c r="G5" s="301"/>
    </row>
    <row r="6" spans="1:8" s="3" customFormat="1" x14ac:dyDescent="0.3">
      <c r="B6" s="11" t="s">
        <v>180</v>
      </c>
      <c r="C6" s="12"/>
      <c r="D6" s="13"/>
      <c r="E6" s="14"/>
      <c r="F6" s="15"/>
      <c r="G6" s="16"/>
    </row>
    <row r="7" spans="1:8" s="3" customFormat="1" x14ac:dyDescent="0.3">
      <c r="B7" s="11" t="s">
        <v>181</v>
      </c>
      <c r="C7" s="12"/>
      <c r="D7" s="13"/>
      <c r="E7" s="14"/>
      <c r="F7" s="15"/>
      <c r="G7" s="16"/>
    </row>
    <row r="8" spans="1:8" s="3" customFormat="1" x14ac:dyDescent="0.3">
      <c r="B8" s="11" t="s">
        <v>182</v>
      </c>
      <c r="C8" s="12"/>
      <c r="D8" s="13"/>
      <c r="E8" s="14"/>
      <c r="F8" s="15"/>
      <c r="G8" s="16"/>
    </row>
    <row r="9" spans="1:8" s="3" customFormat="1" x14ac:dyDescent="0.3">
      <c r="B9" s="11" t="s">
        <v>183</v>
      </c>
      <c r="C9" s="12"/>
      <c r="D9" s="13"/>
      <c r="E9" s="14"/>
      <c r="F9" s="15"/>
      <c r="G9" s="16"/>
    </row>
    <row r="10" spans="1:8" s="3" customFormat="1" x14ac:dyDescent="0.3">
      <c r="B10" s="11" t="s">
        <v>184</v>
      </c>
      <c r="C10" s="92"/>
      <c r="D10" s="13"/>
      <c r="E10" s="14"/>
      <c r="F10" s="15"/>
      <c r="G10" s="16"/>
    </row>
    <row r="11" spans="1:8" s="3" customFormat="1" x14ac:dyDescent="0.3">
      <c r="B11" s="17" t="s">
        <v>144</v>
      </c>
      <c r="C11" s="92"/>
      <c r="D11" s="13"/>
      <c r="E11" s="14"/>
      <c r="F11" s="15"/>
      <c r="G11" s="18"/>
    </row>
    <row r="12" spans="1:8" s="3" customFormat="1" ht="15" thickBot="1" x14ac:dyDescent="0.35">
      <c r="B12" s="17" t="s">
        <v>116</v>
      </c>
      <c r="C12" s="19"/>
      <c r="D12" s="13"/>
      <c r="E12" s="14"/>
      <c r="F12" s="20"/>
      <c r="G12" s="18"/>
    </row>
    <row r="13" spans="1:8" s="3" customFormat="1" ht="15" thickBot="1" x14ac:dyDescent="0.35">
      <c r="B13" s="21" t="s">
        <v>152</v>
      </c>
      <c r="C13" s="22">
        <f>+SUBTOTAL(9,C5:INDEX(C5:C13,ROWS(C5:C13)-1))</f>
        <v>0</v>
      </c>
      <c r="D13" s="23"/>
      <c r="E13" s="24">
        <f ca="1">IF(ESC_StartC&lt;1, 1, ESC_StartC)</f>
        <v>1</v>
      </c>
      <c r="F13" s="25">
        <f ca="1">ROUNDUP(C13*E13, 0)</f>
        <v>0</v>
      </c>
      <c r="G13" s="16"/>
    </row>
    <row r="14" spans="1:8" s="3" customFormat="1" x14ac:dyDescent="0.3">
      <c r="B14" s="26"/>
      <c r="C14" s="27"/>
      <c r="D14" s="27"/>
      <c r="E14" s="28"/>
      <c r="F14" s="29"/>
      <c r="G14" s="30"/>
    </row>
    <row r="15" spans="1:8" s="3" customFormat="1" x14ac:dyDescent="0.3">
      <c r="B15" s="299" t="s">
        <v>185</v>
      </c>
      <c r="C15" s="300"/>
      <c r="D15" s="300"/>
      <c r="E15" s="300"/>
      <c r="F15" s="300"/>
      <c r="G15" s="301"/>
    </row>
    <row r="16" spans="1:8" s="3" customFormat="1" x14ac:dyDescent="0.3">
      <c r="B16" s="11" t="s">
        <v>186</v>
      </c>
      <c r="C16" s="12"/>
      <c r="D16" s="13"/>
      <c r="E16" s="14"/>
      <c r="F16" s="15"/>
      <c r="G16" s="16"/>
    </row>
    <row r="17" spans="2:7" s="3" customFormat="1" x14ac:dyDescent="0.3">
      <c r="B17" s="11" t="s">
        <v>187</v>
      </c>
      <c r="C17" s="12"/>
      <c r="D17" s="13"/>
      <c r="E17" s="14"/>
      <c r="F17" s="15"/>
      <c r="G17" s="16"/>
    </row>
    <row r="18" spans="2:7" s="3" customFormat="1" x14ac:dyDescent="0.3">
      <c r="B18" s="11" t="s">
        <v>188</v>
      </c>
      <c r="C18" s="92"/>
      <c r="D18" s="13"/>
      <c r="E18" s="14"/>
      <c r="F18" s="15"/>
      <c r="G18" s="16"/>
    </row>
    <row r="19" spans="2:7" s="3" customFormat="1" x14ac:dyDescent="0.3">
      <c r="B19" s="11" t="s">
        <v>189</v>
      </c>
      <c r="C19" s="92"/>
      <c r="D19" s="13"/>
      <c r="E19" s="14"/>
      <c r="F19" s="15"/>
      <c r="G19" s="16"/>
    </row>
    <row r="20" spans="2:7" s="3" customFormat="1" x14ac:dyDescent="0.3">
      <c r="B20" s="17" t="s">
        <v>144</v>
      </c>
      <c r="C20" s="92"/>
      <c r="D20" s="13"/>
      <c r="E20" s="14"/>
      <c r="F20" s="15"/>
      <c r="G20" s="18"/>
    </row>
    <row r="21" spans="2:7" s="3" customFormat="1" ht="15" thickBot="1" x14ac:dyDescent="0.35">
      <c r="B21" s="17" t="s">
        <v>116</v>
      </c>
      <c r="C21" s="19"/>
      <c r="D21" s="13"/>
      <c r="E21" s="14"/>
      <c r="F21" s="20"/>
      <c r="G21" s="18"/>
    </row>
    <row r="22" spans="2:7" s="3" customFormat="1" ht="15" thickBot="1" x14ac:dyDescent="0.35">
      <c r="B22" s="21" t="s">
        <v>152</v>
      </c>
      <c r="C22" s="22">
        <f>+SUBTOTAL(9,C15:INDEX(C15:C22,ROWS(C15:C22)-1))</f>
        <v>0</v>
      </c>
      <c r="D22" s="23"/>
      <c r="E22" s="24">
        <f ca="1">IF(ESC_StartC&lt;1, 1, ESC_StartC)</f>
        <v>1</v>
      </c>
      <c r="F22" s="25">
        <f ca="1">ROUNDUP(C22*E22, 0)</f>
        <v>0</v>
      </c>
      <c r="G22" s="16"/>
    </row>
    <row r="23" spans="2:7" s="3" customFormat="1" x14ac:dyDescent="0.3">
      <c r="B23" s="26"/>
      <c r="C23" s="27"/>
      <c r="D23" s="27"/>
      <c r="E23" s="28"/>
      <c r="F23" s="29"/>
      <c r="G23" s="30"/>
    </row>
    <row r="24" spans="2:7" s="3" customFormat="1" x14ac:dyDescent="0.3">
      <c r="B24" s="299" t="s">
        <v>190</v>
      </c>
      <c r="C24" s="300"/>
      <c r="D24" s="300"/>
      <c r="E24" s="300"/>
      <c r="F24" s="300"/>
      <c r="G24" s="301"/>
    </row>
    <row r="25" spans="2:7" s="3" customFormat="1" x14ac:dyDescent="0.3">
      <c r="B25" s="11" t="s">
        <v>191</v>
      </c>
      <c r="C25" s="12"/>
      <c r="D25" s="13"/>
      <c r="E25" s="14"/>
      <c r="F25" s="15"/>
      <c r="G25" s="16"/>
    </row>
    <row r="26" spans="2:7" s="3" customFormat="1" x14ac:dyDescent="0.3">
      <c r="B26" s="11" t="s">
        <v>192</v>
      </c>
      <c r="C26" s="12"/>
      <c r="D26" s="13"/>
      <c r="E26" s="14"/>
      <c r="F26" s="15"/>
      <c r="G26" s="16"/>
    </row>
    <row r="27" spans="2:7" s="3" customFormat="1" x14ac:dyDescent="0.3">
      <c r="B27" s="11" t="s">
        <v>193</v>
      </c>
      <c r="C27" s="12"/>
      <c r="D27" s="13"/>
      <c r="E27" s="14"/>
      <c r="F27" s="15"/>
      <c r="G27" s="16"/>
    </row>
    <row r="28" spans="2:7" s="3" customFormat="1" x14ac:dyDescent="0.3">
      <c r="B28" s="11" t="s">
        <v>194</v>
      </c>
      <c r="C28" s="12"/>
      <c r="D28" s="13"/>
      <c r="E28" s="14"/>
      <c r="F28" s="15"/>
      <c r="G28" s="16"/>
    </row>
    <row r="29" spans="2:7" s="3" customFormat="1" x14ac:dyDescent="0.3">
      <c r="B29" s="11" t="s">
        <v>195</v>
      </c>
      <c r="C29" s="12"/>
      <c r="D29" s="13"/>
      <c r="E29" s="14"/>
      <c r="F29" s="15"/>
      <c r="G29" s="16"/>
    </row>
    <row r="30" spans="2:7" s="3" customFormat="1" x14ac:dyDescent="0.3">
      <c r="B30" s="11" t="s">
        <v>196</v>
      </c>
      <c r="C30" s="12"/>
      <c r="D30" s="13"/>
      <c r="E30" s="14"/>
      <c r="F30" s="15"/>
      <c r="G30" s="16"/>
    </row>
    <row r="31" spans="2:7" s="3" customFormat="1" x14ac:dyDescent="0.3">
      <c r="B31" s="11" t="s">
        <v>197</v>
      </c>
      <c r="C31" s="12"/>
      <c r="D31" s="13"/>
      <c r="E31" s="14"/>
      <c r="F31" s="15"/>
      <c r="G31" s="16"/>
    </row>
    <row r="32" spans="2:7" s="3" customFormat="1" x14ac:dyDescent="0.3">
      <c r="B32" s="11" t="s">
        <v>198</v>
      </c>
      <c r="C32" s="12"/>
      <c r="D32" s="13"/>
      <c r="E32" s="14"/>
      <c r="F32" s="15"/>
      <c r="G32" s="16"/>
    </row>
    <row r="33" spans="2:7" s="3" customFormat="1" x14ac:dyDescent="0.3">
      <c r="B33" s="11" t="s">
        <v>199</v>
      </c>
      <c r="C33" s="12"/>
      <c r="D33" s="13"/>
      <c r="E33" s="14"/>
      <c r="F33" s="15"/>
      <c r="G33" s="16"/>
    </row>
    <row r="34" spans="2:7" s="3" customFormat="1" x14ac:dyDescent="0.3">
      <c r="B34" s="11" t="s">
        <v>200</v>
      </c>
      <c r="C34" s="12"/>
      <c r="D34" s="13"/>
      <c r="E34" s="14"/>
      <c r="F34" s="15"/>
      <c r="G34" s="16"/>
    </row>
    <row r="35" spans="2:7" s="3" customFormat="1" x14ac:dyDescent="0.3">
      <c r="B35" s="11" t="s">
        <v>201</v>
      </c>
      <c r="C35" s="12"/>
      <c r="D35" s="13"/>
      <c r="E35" s="14"/>
      <c r="F35" s="15"/>
      <c r="G35" s="16"/>
    </row>
    <row r="36" spans="2:7" s="3" customFormat="1" x14ac:dyDescent="0.3">
      <c r="B36" s="11" t="s">
        <v>202</v>
      </c>
      <c r="C36" s="12"/>
      <c r="D36" s="13"/>
      <c r="E36" s="14"/>
      <c r="F36" s="15"/>
      <c r="G36" s="16"/>
    </row>
    <row r="37" spans="2:7" s="3" customFormat="1" x14ac:dyDescent="0.3">
      <c r="B37" s="11" t="s">
        <v>203</v>
      </c>
      <c r="C37" s="12"/>
      <c r="D37" s="13"/>
      <c r="E37" s="14"/>
      <c r="F37" s="15"/>
      <c r="G37" s="16"/>
    </row>
    <row r="38" spans="2:7" s="3" customFormat="1" x14ac:dyDescent="0.3">
      <c r="B38" s="11" t="s">
        <v>204</v>
      </c>
      <c r="C38" s="12"/>
      <c r="D38" s="13"/>
      <c r="E38" s="14"/>
      <c r="F38" s="15"/>
      <c r="G38" s="16"/>
    </row>
    <row r="39" spans="2:7" s="3" customFormat="1" x14ac:dyDescent="0.3">
      <c r="B39" s="11" t="s">
        <v>205</v>
      </c>
      <c r="C39" s="12"/>
      <c r="D39" s="13"/>
      <c r="E39" s="14"/>
      <c r="F39" s="15"/>
      <c r="G39" s="16"/>
    </row>
    <row r="40" spans="2:7" s="3" customFormat="1" x14ac:dyDescent="0.3">
      <c r="B40" s="11" t="s">
        <v>206</v>
      </c>
      <c r="C40" s="12"/>
      <c r="D40" s="13"/>
      <c r="E40" s="14"/>
      <c r="F40" s="15"/>
      <c r="G40" s="16"/>
    </row>
    <row r="41" spans="2:7" s="3" customFormat="1" x14ac:dyDescent="0.3">
      <c r="B41" s="17" t="s">
        <v>207</v>
      </c>
      <c r="C41" s="12"/>
      <c r="D41" s="13"/>
      <c r="E41" s="14"/>
      <c r="F41" s="15"/>
      <c r="G41" s="18"/>
    </row>
    <row r="42" spans="2:7" s="3" customFormat="1" ht="15" thickBot="1" x14ac:dyDescent="0.35">
      <c r="B42" s="17" t="s">
        <v>116</v>
      </c>
      <c r="C42" s="19"/>
      <c r="D42" s="13"/>
      <c r="E42" s="14"/>
      <c r="F42" s="20"/>
      <c r="G42" s="18"/>
    </row>
    <row r="43" spans="2:7" s="3" customFormat="1" ht="15" thickBot="1" x14ac:dyDescent="0.35">
      <c r="B43" s="21" t="s">
        <v>152</v>
      </c>
      <c r="C43" s="22">
        <f>+SUBTOTAL(9,C24:INDEX(C24:C43,ROWS(C24:C43)-1))</f>
        <v>0</v>
      </c>
      <c r="D43" s="23"/>
      <c r="E43" s="24">
        <f ca="1">IF(ESC_MidC&lt;1, 1, ESC_MidC)</f>
        <v>1</v>
      </c>
      <c r="F43" s="25">
        <f ca="1">ROUNDUP(C43*E43, 0)</f>
        <v>0</v>
      </c>
      <c r="G43" s="16"/>
    </row>
    <row r="44" spans="2:7" s="3" customFormat="1" ht="15" thickBot="1" x14ac:dyDescent="0.35">
      <c r="B44" s="26"/>
      <c r="C44" s="27"/>
      <c r="D44" s="27"/>
      <c r="E44" s="28"/>
      <c r="F44" s="29"/>
      <c r="G44" s="30"/>
    </row>
    <row r="45" spans="2:7" s="3" customFormat="1" ht="15" thickBot="1" x14ac:dyDescent="0.35">
      <c r="B45" s="302" t="s">
        <v>208</v>
      </c>
      <c r="C45" s="303"/>
      <c r="D45" s="303"/>
      <c r="E45" s="303"/>
      <c r="F45" s="303"/>
      <c r="G45" s="304"/>
    </row>
    <row r="46" spans="2:7" s="3" customFormat="1" ht="15" thickBot="1" x14ac:dyDescent="0.35">
      <c r="B46" s="137" t="s">
        <v>209</v>
      </c>
      <c r="C46" s="135">
        <f>SUBTOTAL(9,C5:C45)</f>
        <v>0</v>
      </c>
      <c r="D46" s="138"/>
      <c r="E46" s="139"/>
      <c r="F46" s="136">
        <f ca="1">SUBTOTAL(9,F5:F45)</f>
        <v>0</v>
      </c>
      <c r="G46" s="140"/>
    </row>
    <row r="47" spans="2:7" s="3" customFormat="1" x14ac:dyDescent="0.3">
      <c r="B47" s="137"/>
      <c r="C47" s="141" t="str">
        <f>IFERROR(MACC/Transition!D14,"NA")</f>
        <v>NA</v>
      </c>
      <c r="D47" s="141"/>
      <c r="E47" s="142"/>
      <c r="F47" s="143" t="str">
        <f ca="1">IFERROR(MACC_ESC/Transition!D14,"NA")</f>
        <v>NA</v>
      </c>
      <c r="G47" s="144" t="str">
        <f>"per "&amp;Transition!F14</f>
        <v>per 0</v>
      </c>
    </row>
    <row r="48" spans="2:7" s="3" customFormat="1" ht="15" thickBot="1" x14ac:dyDescent="0.35">
      <c r="B48" s="126"/>
      <c r="C48" s="127"/>
      <c r="D48" s="127"/>
      <c r="E48" s="128"/>
      <c r="F48" s="129"/>
      <c r="G48" s="130"/>
    </row>
    <row r="49" spans="2:7" s="3" customFormat="1" ht="15" customHeight="1" x14ac:dyDescent="0.3">
      <c r="B49" s="299" t="str">
        <f>IF(APW="Yes", "5a) GCCM Risk Contingency", "")</f>
        <v>5a) GCCM Risk Contingency</v>
      </c>
      <c r="C49" s="300"/>
      <c r="D49" s="300"/>
      <c r="E49" s="300"/>
      <c r="F49" s="300"/>
      <c r="G49" s="301"/>
    </row>
    <row r="50" spans="2:7" s="3" customFormat="1" x14ac:dyDescent="0.3">
      <c r="B50" s="11" t="str">
        <f>IF(APW="Yes", "GCCM Risk Contingency", "")</f>
        <v>GCCM Risk Contingency</v>
      </c>
      <c r="C50" s="162"/>
      <c r="D50" s="13"/>
      <c r="E50" s="14"/>
      <c r="F50" s="15"/>
      <c r="G50" s="16"/>
    </row>
    <row r="51" spans="2:7" s="3" customFormat="1" x14ac:dyDescent="0.3">
      <c r="B51" s="161" t="str">
        <f>IF(APW="Yes", "Other", "")</f>
        <v>Other</v>
      </c>
      <c r="C51" s="162"/>
      <c r="D51" s="13"/>
      <c r="E51" s="14"/>
      <c r="F51" s="15"/>
      <c r="G51" s="163"/>
    </row>
    <row r="52" spans="2:7" s="3" customFormat="1" x14ac:dyDescent="0.3">
      <c r="B52" s="161" t="str">
        <f>IF(APW="Yes", "Insert Row Here", "")</f>
        <v>Insert Row Here</v>
      </c>
      <c r="C52" s="162"/>
      <c r="D52" s="13"/>
      <c r="E52" s="14"/>
      <c r="F52" s="15"/>
      <c r="G52" s="163"/>
    </row>
    <row r="53" spans="2:7" s="3" customFormat="1" x14ac:dyDescent="0.3">
      <c r="B53" s="21" t="str">
        <f>IF(APW="Yes", "Sub TOTAL", "")</f>
        <v>Sub TOTAL</v>
      </c>
      <c r="C53" s="87">
        <f>IF(APW="Yes",SUBTOTAL(9,C50:C52),0)</f>
        <v>0</v>
      </c>
      <c r="D53" s="87"/>
      <c r="E53" s="99">
        <f ca="1">IF(APW="Yes", IF(ESC_MidC&lt;1, 1, ESC_MidC), "")</f>
        <v>1</v>
      </c>
      <c r="F53" s="96">
        <f ca="1">IF(APW="Yes", ROUNDUP(C53*E53, 0), "")</f>
        <v>0</v>
      </c>
      <c r="G53" s="16"/>
    </row>
    <row r="54" spans="2:7" s="3" customFormat="1" ht="15" customHeight="1" x14ac:dyDescent="0.3">
      <c r="B54" s="305" t="str">
        <f>IF(APW="Yes", "", "This Section is Intentionally Left Blank")</f>
        <v/>
      </c>
      <c r="C54" s="306"/>
      <c r="D54" s="306"/>
      <c r="E54" s="306"/>
      <c r="F54" s="306"/>
      <c r="G54" s="307"/>
    </row>
    <row r="55" spans="2:7" s="3" customFormat="1" ht="15" customHeight="1" x14ac:dyDescent="0.3">
      <c r="B55" s="299" t="str">
        <f>IF(APW="Yes", "5b) GCCM Costs", "")</f>
        <v>5b) GCCM Costs</v>
      </c>
      <c r="C55" s="300"/>
      <c r="D55" s="300"/>
      <c r="E55" s="300"/>
      <c r="F55" s="300"/>
      <c r="G55" s="301"/>
    </row>
    <row r="56" spans="2:7" s="3" customFormat="1" x14ac:dyDescent="0.3">
      <c r="B56" s="11" t="str">
        <f>IF(APW="Yes", "GCCM Fee", "")</f>
        <v>GCCM Fee</v>
      </c>
      <c r="C56" s="162"/>
      <c r="D56" s="13"/>
      <c r="E56" s="14"/>
      <c r="F56" s="15"/>
      <c r="G56" s="16"/>
    </row>
    <row r="57" spans="2:7" s="3" customFormat="1" ht="15" customHeight="1" x14ac:dyDescent="0.3">
      <c r="B57" s="11" t="str">
        <f>IF(APW="Yes", "Bid General Conditions", "")</f>
        <v>Bid General Conditions</v>
      </c>
      <c r="C57" s="162"/>
      <c r="D57" s="13"/>
      <c r="E57" s="14"/>
      <c r="F57" s="15"/>
      <c r="G57" s="16"/>
    </row>
    <row r="58" spans="2:7" s="3" customFormat="1" x14ac:dyDescent="0.3">
      <c r="B58" s="11" t="str">
        <f>IF(APW="Yes", "GCCM Preconstruction Services", "")</f>
        <v>GCCM Preconstruction Services</v>
      </c>
      <c r="C58" s="162"/>
      <c r="D58" s="13"/>
      <c r="E58" s="14"/>
      <c r="F58" s="15"/>
      <c r="G58" s="16"/>
    </row>
    <row r="59" spans="2:7" s="3" customFormat="1" x14ac:dyDescent="0.3">
      <c r="B59" s="161" t="str">
        <f>IF(APW="Yes", "Other", "")</f>
        <v>Other</v>
      </c>
      <c r="C59" s="162"/>
      <c r="D59" s="13"/>
      <c r="E59" s="14"/>
      <c r="F59" s="15"/>
      <c r="G59" s="163"/>
    </row>
    <row r="60" spans="2:7" s="3" customFormat="1" x14ac:dyDescent="0.3">
      <c r="B60" s="161" t="str">
        <f>IF(APW="Yes", "Insert Row Here", "")</f>
        <v>Insert Row Here</v>
      </c>
      <c r="C60" s="162"/>
      <c r="D60" s="13"/>
      <c r="E60" s="14"/>
      <c r="F60" s="15"/>
      <c r="G60" s="163"/>
    </row>
    <row r="61" spans="2:7" s="3" customFormat="1" x14ac:dyDescent="0.3">
      <c r="B61" s="21" t="str">
        <f>IF(APW="Yes", "Sub TOTAL", "")</f>
        <v>Sub TOTAL</v>
      </c>
      <c r="C61" s="87">
        <f>IF(APW="Yes", SUBTOTAL(9,C56:C60), 0)</f>
        <v>0</v>
      </c>
      <c r="D61" s="87"/>
      <c r="E61" s="99">
        <f ca="1">IF(APW="Yes", IF(ESC_MidC&lt;1, 1, ESC_MidC), "")</f>
        <v>1</v>
      </c>
      <c r="F61" s="96">
        <f ca="1">IF(APW="Yes", ROUNDUP(C61*E61, 0), "")</f>
        <v>0</v>
      </c>
      <c r="G61" s="16"/>
    </row>
    <row r="62" spans="2:7" s="3" customFormat="1" ht="15" thickBot="1" x14ac:dyDescent="0.35">
      <c r="B62" s="26"/>
      <c r="C62" s="27"/>
      <c r="D62" s="27"/>
      <c r="E62" s="28"/>
      <c r="F62" s="29"/>
      <c r="G62" s="30"/>
    </row>
    <row r="63" spans="2:7" s="3" customFormat="1" ht="15" thickBot="1" x14ac:dyDescent="0.35">
      <c r="B63" s="302" t="s">
        <v>210</v>
      </c>
      <c r="C63" s="303"/>
      <c r="D63" s="303"/>
      <c r="E63" s="303"/>
      <c r="F63" s="303"/>
      <c r="G63" s="304"/>
    </row>
    <row r="64" spans="2:7" s="3" customFormat="1" ht="15" thickBot="1" x14ac:dyDescent="0.35">
      <c r="B64" s="137" t="s">
        <v>211</v>
      </c>
      <c r="C64" s="135">
        <f>IF(APW="yes",SUBTOTAL(9,C48:C63)+SUBTOTAL(9,C5:C46),SUBTOTAL(9,C5:C46))</f>
        <v>0</v>
      </c>
      <c r="D64" s="138"/>
      <c r="E64" s="139"/>
      <c r="F64" s="135">
        <f ca="1">IF(APW="yes",SUBTOTAL(9,F48:F63)+SUBTOTAL(9,F5:F46),SUBTOTAL(9,F5:F46))</f>
        <v>0</v>
      </c>
      <c r="G64" s="140"/>
    </row>
    <row r="65" spans="2:7" s="3" customFormat="1" x14ac:dyDescent="0.3">
      <c r="B65" s="137"/>
      <c r="C65" s="141" t="str">
        <f>IFERROR(TCC/Transition!D14,"NA")</f>
        <v>NA</v>
      </c>
      <c r="D65" s="141"/>
      <c r="E65" s="142"/>
      <c r="F65" s="143" t="str">
        <f ca="1">IFERROR(TCC_ESC/Transition!D14,"NA")</f>
        <v>NA</v>
      </c>
      <c r="G65" s="144" t="str">
        <f>"per "&amp;Transition!F32</f>
        <v>per 1</v>
      </c>
    </row>
    <row r="66" spans="2:7" s="3" customFormat="1" ht="15" thickBot="1" x14ac:dyDescent="0.35">
      <c r="B66" s="126"/>
      <c r="C66" s="127"/>
      <c r="D66" s="127"/>
      <c r="E66" s="128"/>
      <c r="F66" s="129"/>
      <c r="G66" s="130"/>
    </row>
    <row r="67" spans="2:7" s="3" customFormat="1" x14ac:dyDescent="0.3">
      <c r="B67" s="299" t="s">
        <v>212</v>
      </c>
      <c r="C67" s="300"/>
      <c r="D67" s="300"/>
      <c r="E67" s="300"/>
      <c r="F67" s="300"/>
      <c r="G67" s="301"/>
    </row>
    <row r="68" spans="2:7" s="3" customFormat="1" x14ac:dyDescent="0.3">
      <c r="B68" s="11" t="s">
        <v>213</v>
      </c>
      <c r="C68" s="31">
        <f>IFERROR(TCC*CONT_RATE,"NA")</f>
        <v>0</v>
      </c>
      <c r="D68" s="13"/>
      <c r="E68" s="14"/>
      <c r="F68" s="15"/>
      <c r="G68" s="16"/>
    </row>
    <row r="69" spans="2:7" s="3" customFormat="1" x14ac:dyDescent="0.3">
      <c r="B69" s="17" t="s">
        <v>151</v>
      </c>
      <c r="C69" s="12"/>
      <c r="D69" s="13"/>
      <c r="E69" s="14"/>
      <c r="F69" s="15"/>
      <c r="G69" s="18"/>
    </row>
    <row r="70" spans="2:7" s="3" customFormat="1" ht="15" thickBot="1" x14ac:dyDescent="0.35">
      <c r="B70" s="17" t="s">
        <v>116</v>
      </c>
      <c r="C70" s="19"/>
      <c r="D70" s="13"/>
      <c r="E70" s="14"/>
      <c r="F70" s="20"/>
      <c r="G70" s="18"/>
    </row>
    <row r="71" spans="2:7" s="3" customFormat="1" ht="15" thickBot="1" x14ac:dyDescent="0.35">
      <c r="B71" s="21" t="s">
        <v>152</v>
      </c>
      <c r="C71" s="22">
        <f>+SUBTOTAL(9,C67:INDEX(C67:C71,ROWS(C67:C71)-1))</f>
        <v>0</v>
      </c>
      <c r="D71" s="23"/>
      <c r="E71" s="24">
        <f ca="1">IF(ESC_MidC&lt;1, 1, ESC_MidC)</f>
        <v>1</v>
      </c>
      <c r="F71" s="25">
        <f ca="1">ROUNDUP(C71*E71, 0)</f>
        <v>0</v>
      </c>
      <c r="G71" s="16"/>
    </row>
    <row r="72" spans="2:7" s="3" customFormat="1" x14ac:dyDescent="0.3">
      <c r="B72" s="26"/>
      <c r="C72" s="27"/>
      <c r="D72" s="27"/>
      <c r="E72" s="28"/>
      <c r="F72" s="29"/>
      <c r="G72" s="30"/>
    </row>
    <row r="73" spans="2:7" s="3" customFormat="1" x14ac:dyDescent="0.3">
      <c r="B73" s="299" t="s">
        <v>214</v>
      </c>
      <c r="C73" s="300"/>
      <c r="D73" s="300"/>
      <c r="E73" s="300"/>
      <c r="F73" s="300"/>
      <c r="G73" s="301"/>
    </row>
    <row r="74" spans="2:7" s="3" customFormat="1" x14ac:dyDescent="0.3">
      <c r="B74" s="17" t="s">
        <v>144</v>
      </c>
      <c r="C74" s="12"/>
      <c r="D74" s="13"/>
      <c r="E74" s="14"/>
      <c r="F74" s="15"/>
      <c r="G74" s="18"/>
    </row>
    <row r="75" spans="2:7" s="3" customFormat="1" ht="15" thickBot="1" x14ac:dyDescent="0.35">
      <c r="B75" s="17" t="s">
        <v>116</v>
      </c>
      <c r="C75" s="19"/>
      <c r="D75" s="13"/>
      <c r="E75" s="14"/>
      <c r="F75" s="20"/>
      <c r="G75" s="18"/>
    </row>
    <row r="76" spans="2:7" s="3" customFormat="1" ht="15" thickBot="1" x14ac:dyDescent="0.35">
      <c r="B76" s="21" t="s">
        <v>152</v>
      </c>
      <c r="C76" s="22">
        <f>+SUBTOTAL(9,C73:INDEX(C73:C76,ROWS(C73:C76)-1))</f>
        <v>0</v>
      </c>
      <c r="D76" s="23"/>
      <c r="E76" s="24">
        <f ca="1">IF(ESC_MidC&lt;1, 1, ESC_MidC)</f>
        <v>1</v>
      </c>
      <c r="F76" s="25">
        <f ca="1">ROUNDUP(C76*E76, 0)</f>
        <v>0</v>
      </c>
      <c r="G76" s="16"/>
    </row>
    <row r="77" spans="2:7" s="3" customFormat="1" x14ac:dyDescent="0.3">
      <c r="B77" s="26"/>
      <c r="C77" s="27"/>
      <c r="D77" s="27"/>
      <c r="E77" s="28"/>
      <c r="F77" s="29"/>
      <c r="G77" s="30"/>
    </row>
    <row r="78" spans="2:7" s="3" customFormat="1" ht="15" thickBot="1" x14ac:dyDescent="0.35">
      <c r="B78" s="299" t="s">
        <v>215</v>
      </c>
      <c r="C78" s="300"/>
      <c r="D78" s="300"/>
      <c r="E78" s="300"/>
      <c r="F78" s="300"/>
      <c r="G78" s="301"/>
    </row>
    <row r="79" spans="2:7" s="3" customFormat="1" ht="15" thickBot="1" x14ac:dyDescent="0.35">
      <c r="B79" s="33" t="s">
        <v>152</v>
      </c>
      <c r="C79" s="22">
        <f>(TCC+CONT)*STR</f>
        <v>0</v>
      </c>
      <c r="D79" s="34"/>
      <c r="E79" s="35"/>
      <c r="F79" s="22">
        <f ca="1">(SUBTOTAL(9,F4:F46)+SUBTOTAL(9,F49:F76))*STR</f>
        <v>0</v>
      </c>
      <c r="G79" s="36"/>
    </row>
    <row r="80" spans="2:7" s="3" customFormat="1" ht="15" thickBot="1" x14ac:dyDescent="0.35">
      <c r="B80" s="26"/>
      <c r="C80" s="27"/>
      <c r="D80" s="27"/>
      <c r="E80" s="28"/>
      <c r="F80" s="29"/>
      <c r="G80" s="30"/>
    </row>
    <row r="81" spans="2:7" s="3" customFormat="1" ht="29.4" thickBot="1" x14ac:dyDescent="0.35">
      <c r="B81" s="33" t="s">
        <v>216</v>
      </c>
      <c r="C81" s="22">
        <f>(TCC+SUBTOTAL(9,C66:C76)+SALES_TAX)</f>
        <v>0</v>
      </c>
      <c r="D81" s="34"/>
      <c r="E81" s="35"/>
      <c r="F81" s="22">
        <f ca="1">(SUBTOTAL(9,F4:F46)+SUBTOTAL(9,F48:F64)+SUBTOTAL(9,F66:F79)+SALES_TAX_ESC)</f>
        <v>0</v>
      </c>
      <c r="G81" s="36"/>
    </row>
    <row r="82" spans="2:7" s="3" customFormat="1" x14ac:dyDescent="0.3">
      <c r="B82" s="15"/>
      <c r="C82" s="13"/>
      <c r="D82" s="13"/>
      <c r="E82" s="14"/>
      <c r="F82" s="15"/>
      <c r="G82" s="15"/>
    </row>
    <row r="83" spans="2:7" s="3" customFormat="1" ht="15" customHeight="1" x14ac:dyDescent="0.3">
      <c r="B83" s="275" t="s">
        <v>63</v>
      </c>
      <c r="C83" s="276"/>
      <c r="D83" s="13"/>
      <c r="E83" s="14"/>
      <c r="F83" s="15"/>
      <c r="G83" s="15"/>
    </row>
    <row r="84" spans="2:7" s="41" customFormat="1" x14ac:dyDescent="0.3">
      <c r="B84" s="96"/>
      <c r="C84" s="87"/>
      <c r="D84" s="87"/>
      <c r="E84" s="99"/>
      <c r="F84" s="96"/>
      <c r="G84" s="86"/>
    </row>
  </sheetData>
  <sheetProtection algorithmName="SHA-512" hashValue="wt4MKba5sa3OIp1Esy5WIBOyNt9NqV5FAV8T4qiTvZJ8QLlXS0FzJpyNlYr+AtxYvFHliVPWhFV82NtPNJ7hvQ==" saltValue="qYvtDzOT6fLLizo8VDr6vg==" spinCount="100000" sheet="1" insertRows="0"/>
  <mergeCells count="14">
    <mergeCell ref="B1:G1"/>
    <mergeCell ref="B3:G3"/>
    <mergeCell ref="B5:G5"/>
    <mergeCell ref="B83:C83"/>
    <mergeCell ref="B15:G15"/>
    <mergeCell ref="B24:G24"/>
    <mergeCell ref="B45:G45"/>
    <mergeCell ref="B49:G49"/>
    <mergeCell ref="B54:G54"/>
    <mergeCell ref="B55:G55"/>
    <mergeCell ref="B67:G67"/>
    <mergeCell ref="B73:G73"/>
    <mergeCell ref="B78:G78"/>
    <mergeCell ref="B63:G63"/>
  </mergeCells>
  <conditionalFormatting sqref="B51:C52 B59:C60">
    <cfRule type="expression" dxfId="8" priority="7">
      <formula>APW="Yes"</formula>
    </cfRule>
  </conditionalFormatting>
  <conditionalFormatting sqref="B49:G53 B55:G66">
    <cfRule type="expression" dxfId="7" priority="8">
      <formula>OR(APW="No", APW="")</formula>
    </cfRule>
  </conditionalFormatting>
  <conditionalFormatting sqref="B63:G63">
    <cfRule type="expression" dxfId="6" priority="1">
      <formula>APW="no"</formula>
    </cfRule>
  </conditionalFormatting>
  <conditionalFormatting sqref="C50 C56:C58">
    <cfRule type="expression" dxfId="5" priority="6">
      <formula>APW="Yes"</formula>
    </cfRule>
  </conditionalFormatting>
  <conditionalFormatting sqref="C53 E53:F53 C61 E61:F61">
    <cfRule type="expression" dxfId="4" priority="3">
      <formula>APW="Yes"</formula>
    </cfRule>
  </conditionalFormatting>
  <conditionalFormatting sqref="C64 F64">
    <cfRule type="expression" dxfId="3" priority="2">
      <formula>APW="no"</formula>
    </cfRule>
  </conditionalFormatting>
  <conditionalFormatting sqref="G51:G52 G59:G60">
    <cfRule type="expression" dxfId="2" priority="5">
      <formula>APW="Yes"</formula>
    </cfRule>
  </conditionalFormatting>
  <pageMargins left="0.25" right="0.25" top="0.75" bottom="0.75" header="0.3" footer="0.3"/>
  <pageSetup scale="95" fitToHeight="0" orientation="portrait" horizont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96A73-E981-4B7C-A3DA-66D34C3C2995}">
  <sheetPr codeName="Sheet9">
    <pageSetUpPr fitToPage="1"/>
  </sheetPr>
  <dimension ref="A1:H23"/>
  <sheetViews>
    <sheetView showGridLines="0" workbookViewId="0">
      <selection activeCell="F35" sqref="F35"/>
    </sheetView>
  </sheetViews>
  <sheetFormatPr defaultColWidth="9.109375" defaultRowHeight="14.4" x14ac:dyDescent="0.3"/>
  <cols>
    <col min="1" max="1" width="1.44140625" customWidth="1"/>
    <col min="2" max="2" width="31.44140625" customWidth="1"/>
    <col min="3" max="3" width="17.109375" customWidth="1"/>
    <col min="4" max="4" width="2.88671875" customWidth="1"/>
    <col min="5" max="5" width="11.44140625" style="37" customWidth="1"/>
    <col min="6" max="6" width="17.109375" customWidth="1"/>
    <col min="7" max="7" width="24.33203125" style="38" customWidth="1"/>
    <col min="8" max="8" width="1.44140625" customWidth="1"/>
  </cols>
  <sheetData>
    <row r="1" spans="1:8" s="3" customFormat="1" ht="22.2" thickTop="1" thickBot="1" x14ac:dyDescent="0.35">
      <c r="A1" s="1"/>
      <c r="B1" s="295" t="s">
        <v>132</v>
      </c>
      <c r="C1" s="295"/>
      <c r="D1" s="295"/>
      <c r="E1" s="295"/>
      <c r="F1" s="295"/>
      <c r="G1" s="295"/>
      <c r="H1" s="2"/>
    </row>
    <row r="2" spans="1:8" s="3" customFormat="1" ht="15.6" thickTop="1" thickBot="1" x14ac:dyDescent="0.35">
      <c r="B2" s="4"/>
      <c r="C2" s="4"/>
      <c r="D2" s="4"/>
      <c r="E2" s="5"/>
      <c r="F2" s="4"/>
      <c r="G2" s="4"/>
    </row>
    <row r="3" spans="1:8" s="3" customFormat="1" x14ac:dyDescent="0.3">
      <c r="B3" s="296" t="s">
        <v>92</v>
      </c>
      <c r="C3" s="297"/>
      <c r="D3" s="297"/>
      <c r="E3" s="297"/>
      <c r="F3" s="297"/>
      <c r="G3" s="298"/>
    </row>
    <row r="4" spans="1:8" s="6" customFormat="1" ht="28.8" x14ac:dyDescent="0.3">
      <c r="B4" s="7" t="s">
        <v>134</v>
      </c>
      <c r="C4" s="8" t="s">
        <v>135</v>
      </c>
      <c r="D4" s="8"/>
      <c r="E4" s="9" t="s">
        <v>136</v>
      </c>
      <c r="F4" s="8" t="s">
        <v>137</v>
      </c>
      <c r="G4" s="10" t="s">
        <v>138</v>
      </c>
    </row>
    <row r="5" spans="1:8" s="6" customFormat="1" x14ac:dyDescent="0.3">
      <c r="B5" s="299" t="s">
        <v>217</v>
      </c>
      <c r="C5" s="300"/>
      <c r="D5" s="300"/>
      <c r="E5" s="300"/>
      <c r="F5" s="300"/>
      <c r="G5" s="301"/>
      <c r="H5" s="3"/>
    </row>
    <row r="6" spans="1:8" s="3" customFormat="1" x14ac:dyDescent="0.3">
      <c r="B6" s="11" t="s">
        <v>218</v>
      </c>
      <c r="C6" s="162"/>
      <c r="D6" s="13"/>
      <c r="E6" s="14"/>
      <c r="F6" s="15"/>
      <c r="G6" s="16"/>
    </row>
    <row r="7" spans="1:8" s="3" customFormat="1" x14ac:dyDescent="0.3">
      <c r="B7" s="11" t="s">
        <v>219</v>
      </c>
      <c r="C7" s="12"/>
      <c r="D7" s="13"/>
      <c r="E7" s="14"/>
      <c r="F7" s="15"/>
      <c r="G7" s="16"/>
    </row>
    <row r="8" spans="1:8" s="3" customFormat="1" x14ac:dyDescent="0.3">
      <c r="B8" s="11" t="s">
        <v>204</v>
      </c>
      <c r="C8" s="12"/>
      <c r="D8" s="13"/>
      <c r="E8" s="14"/>
      <c r="F8" s="15"/>
      <c r="G8" s="16"/>
    </row>
    <row r="9" spans="1:8" s="3" customFormat="1" x14ac:dyDescent="0.3">
      <c r="B9" s="17" t="s">
        <v>151</v>
      </c>
      <c r="C9" s="12"/>
      <c r="D9" s="13"/>
      <c r="E9" s="14"/>
      <c r="F9" s="15"/>
      <c r="G9" s="18"/>
    </row>
    <row r="10" spans="1:8" s="3" customFormat="1" ht="15" thickBot="1" x14ac:dyDescent="0.35">
      <c r="B10" s="17" t="s">
        <v>116</v>
      </c>
      <c r="C10" s="19"/>
      <c r="D10" s="13"/>
      <c r="E10" s="14"/>
      <c r="F10" s="20"/>
      <c r="G10" s="18"/>
    </row>
    <row r="11" spans="1:8" s="3" customFormat="1" ht="15" thickBot="1" x14ac:dyDescent="0.35">
      <c r="B11" s="21" t="s">
        <v>152</v>
      </c>
      <c r="C11" s="22">
        <f>+SUBTOTAL(9,C4:INDEX(C4:C11,ROWS(C4:C11)-1))</f>
        <v>0</v>
      </c>
      <c r="D11" s="23"/>
      <c r="E11" s="24">
        <f ca="1">IF(ESC_MidC&lt;1, 1, ESC_MidC)</f>
        <v>1</v>
      </c>
      <c r="F11" s="25">
        <f ca="1">ROUNDUP(C11*E11, 0)</f>
        <v>0</v>
      </c>
      <c r="G11" s="16"/>
    </row>
    <row r="12" spans="1:8" s="3" customFormat="1" x14ac:dyDescent="0.3">
      <c r="B12" s="26"/>
      <c r="C12" s="27"/>
      <c r="D12" s="27"/>
      <c r="E12" s="28"/>
      <c r="F12" s="29"/>
      <c r="G12" s="30"/>
    </row>
    <row r="13" spans="1:8" s="3" customFormat="1" x14ac:dyDescent="0.3">
      <c r="B13" s="299" t="s">
        <v>220</v>
      </c>
      <c r="C13" s="300"/>
      <c r="D13" s="300"/>
      <c r="E13" s="300"/>
      <c r="F13" s="300"/>
      <c r="G13" s="301"/>
    </row>
    <row r="14" spans="1:8" s="3" customFormat="1" x14ac:dyDescent="0.3">
      <c r="B14" s="17" t="s">
        <v>151</v>
      </c>
      <c r="C14" s="12"/>
      <c r="D14" s="13"/>
      <c r="E14" s="14"/>
      <c r="F14" s="15"/>
      <c r="G14" s="18"/>
    </row>
    <row r="15" spans="1:8" s="3" customFormat="1" ht="15" thickBot="1" x14ac:dyDescent="0.35">
      <c r="B15" s="17" t="s">
        <v>116</v>
      </c>
      <c r="C15" s="19"/>
      <c r="D15" s="13"/>
      <c r="E15" s="14"/>
      <c r="F15" s="20"/>
      <c r="G15" s="18"/>
    </row>
    <row r="16" spans="1:8" s="3" customFormat="1" ht="15" thickBot="1" x14ac:dyDescent="0.35">
      <c r="B16" s="21" t="s">
        <v>152</v>
      </c>
      <c r="C16" s="22">
        <f>+SUBTOTAL(9,C13:INDEX(C13:C16,ROWS(C13:C16)-1))</f>
        <v>0</v>
      </c>
      <c r="D16" s="23"/>
      <c r="E16" s="24">
        <f ca="1">IF(ESC_MidC&lt;1, 1, ESC_MidC)</f>
        <v>1</v>
      </c>
      <c r="F16" s="25">
        <f ca="1">ROUNDUP(C16*E16, 0)</f>
        <v>0</v>
      </c>
      <c r="G16" s="16"/>
    </row>
    <row r="17" spans="2:7" s="3" customFormat="1" x14ac:dyDescent="0.3">
      <c r="B17" s="26"/>
      <c r="C17" s="27"/>
      <c r="D17" s="27"/>
      <c r="E17" s="28"/>
      <c r="F17" s="29"/>
      <c r="G17" s="30"/>
    </row>
    <row r="18" spans="2:7" s="3" customFormat="1" ht="15" thickBot="1" x14ac:dyDescent="0.35">
      <c r="B18" s="299" t="s">
        <v>221</v>
      </c>
      <c r="C18" s="300"/>
      <c r="D18" s="300"/>
      <c r="E18" s="300"/>
      <c r="F18" s="300"/>
      <c r="G18" s="301"/>
    </row>
    <row r="19" spans="2:7" s="3" customFormat="1" ht="15" thickBot="1" x14ac:dyDescent="0.35">
      <c r="B19" s="33" t="s">
        <v>152</v>
      </c>
      <c r="C19" s="22">
        <f>(C11)*STR</f>
        <v>0</v>
      </c>
      <c r="D19" s="34"/>
      <c r="E19" s="35"/>
      <c r="F19" s="22">
        <f ca="1">ROUNDUP((F11)*STR, 0)</f>
        <v>0</v>
      </c>
      <c r="G19" s="36"/>
    </row>
    <row r="20" spans="2:7" s="3" customFormat="1" ht="15" thickBot="1" x14ac:dyDescent="0.35">
      <c r="B20" s="26"/>
      <c r="C20" s="27"/>
      <c r="D20" s="27"/>
      <c r="E20" s="28"/>
      <c r="F20" s="29"/>
      <c r="G20" s="30"/>
    </row>
    <row r="21" spans="2:7" s="3" customFormat="1" ht="15" thickBot="1" x14ac:dyDescent="0.35">
      <c r="B21" s="33" t="s">
        <v>222</v>
      </c>
      <c r="C21" s="22">
        <f>SUBTOTAL(9,C4:C20)</f>
        <v>0</v>
      </c>
      <c r="D21" s="34"/>
      <c r="E21" s="35"/>
      <c r="F21" s="22">
        <f ca="1">SUBTOTAL(9,F4:F20)</f>
        <v>0</v>
      </c>
      <c r="G21" s="36"/>
    </row>
    <row r="22" spans="2:7" s="3" customFormat="1" x14ac:dyDescent="0.3">
      <c r="B22" s="15"/>
      <c r="C22" s="13"/>
      <c r="D22" s="13"/>
      <c r="E22" s="14"/>
      <c r="F22" s="15"/>
      <c r="G22" s="15"/>
    </row>
    <row r="23" spans="2:7" s="41" customFormat="1" ht="15" customHeight="1" x14ac:dyDescent="0.3">
      <c r="B23" s="275" t="s">
        <v>63</v>
      </c>
      <c r="C23" s="276"/>
      <c r="D23" s="87"/>
      <c r="E23" s="99"/>
      <c r="F23" s="96"/>
      <c r="G23" s="86"/>
    </row>
  </sheetData>
  <sheetProtection algorithmName="SHA-512" hashValue="6vV9DSCBhBZrrNvNleA8jyCxYAZ17BCpYcbnw8p9qPhQi+FQKYX5kZUO+8aIb1sbp/HDoGHRiTstG4/n3wqSBw==" saltValue="4rfmGEv3WRncsa4/5yee2w==" spinCount="100000" sheet="1" insertRows="0"/>
  <mergeCells count="6">
    <mergeCell ref="B1:G1"/>
    <mergeCell ref="B3:G3"/>
    <mergeCell ref="B13:G13"/>
    <mergeCell ref="B18:G18"/>
    <mergeCell ref="B23:C23"/>
    <mergeCell ref="B5:G5"/>
  </mergeCells>
  <conditionalFormatting sqref="C6">
    <cfRule type="expression" dxfId="1" priority="1">
      <formula>APW="Yes"</formula>
    </cfRule>
    <cfRule type="expression" dxfId="0" priority="2">
      <formula>OR(APW="No", APW="")</formula>
    </cfRule>
  </conditionalFormatting>
  <pageMargins left="0.25" right="0.25" top="0.75" bottom="0.75" header="0.3" footer="0.3"/>
  <pageSetup scale="95"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C940D-FFC6-4A21-96DA-71A77B254C24}">
  <sheetPr codeName="Sheet10">
    <pageSetUpPr fitToPage="1"/>
  </sheetPr>
  <dimension ref="A1:H12"/>
  <sheetViews>
    <sheetView showGridLines="0" workbookViewId="0">
      <selection activeCell="C7" sqref="C7"/>
    </sheetView>
  </sheetViews>
  <sheetFormatPr defaultColWidth="9.109375" defaultRowHeight="14.4" x14ac:dyDescent="0.3"/>
  <cols>
    <col min="1" max="1" width="1.44140625" customWidth="1"/>
    <col min="2" max="2" width="31.44140625" customWidth="1"/>
    <col min="3" max="3" width="17.109375" customWidth="1"/>
    <col min="4" max="4" width="2.88671875" customWidth="1"/>
    <col min="5" max="5" width="11.44140625" style="37" customWidth="1"/>
    <col min="6" max="6" width="17.109375" customWidth="1"/>
    <col min="7" max="7" width="24.33203125" style="38" customWidth="1"/>
    <col min="8" max="8" width="1.44140625" customWidth="1"/>
  </cols>
  <sheetData>
    <row r="1" spans="1:8" s="3" customFormat="1" ht="22.2" thickTop="1" thickBot="1" x14ac:dyDescent="0.35">
      <c r="A1" s="1"/>
      <c r="B1" s="295" t="s">
        <v>132</v>
      </c>
      <c r="C1" s="295"/>
      <c r="D1" s="295"/>
      <c r="E1" s="295"/>
      <c r="F1" s="295"/>
      <c r="G1" s="295"/>
      <c r="H1" s="2"/>
    </row>
    <row r="2" spans="1:8" s="3" customFormat="1" ht="15.6" thickTop="1" thickBot="1" x14ac:dyDescent="0.35">
      <c r="B2" s="4"/>
      <c r="C2" s="4"/>
      <c r="D2" s="4"/>
      <c r="E2" s="5"/>
      <c r="F2" s="4"/>
      <c r="G2" s="4"/>
    </row>
    <row r="3" spans="1:8" s="3" customFormat="1" x14ac:dyDescent="0.3">
      <c r="B3" s="296" t="s">
        <v>95</v>
      </c>
      <c r="C3" s="297"/>
      <c r="D3" s="297"/>
      <c r="E3" s="297"/>
      <c r="F3" s="297"/>
      <c r="G3" s="298"/>
    </row>
    <row r="4" spans="1:8" s="6" customFormat="1" ht="28.8" x14ac:dyDescent="0.3">
      <c r="B4" s="7" t="s">
        <v>134</v>
      </c>
      <c r="C4" s="8" t="s">
        <v>135</v>
      </c>
      <c r="D4" s="8"/>
      <c r="E4" s="9" t="s">
        <v>136</v>
      </c>
      <c r="F4" s="8" t="s">
        <v>137</v>
      </c>
      <c r="G4" s="10" t="s">
        <v>138</v>
      </c>
    </row>
    <row r="5" spans="1:8" s="6" customFormat="1" x14ac:dyDescent="0.3">
      <c r="B5" s="299" t="s">
        <v>223</v>
      </c>
      <c r="C5" s="300"/>
      <c r="D5" s="300"/>
      <c r="E5" s="300"/>
      <c r="F5" s="300"/>
      <c r="G5" s="301"/>
    </row>
    <row r="6" spans="1:8" s="3" customFormat="1" ht="28.8" x14ac:dyDescent="0.3">
      <c r="B6" s="11" t="s">
        <v>224</v>
      </c>
      <c r="C6" s="31">
        <f ca="1">IFERROR(IF(HEI="Yes",0,IF(Art_Req="No",0,ART*(SUM(ACQ_TOTAL_ESC,CONSUL_TOTAL_ESC,CONST_TOTAL_ESC,EQUIP_TOTAL_ESC,OTHER_TOTAL_ESC,PM_TOTAL_ESC)))),"NA")</f>
        <v>0</v>
      </c>
      <c r="D6" s="13"/>
      <c r="E6" s="14"/>
      <c r="F6" s="15"/>
      <c r="G6" s="100" t="s">
        <v>225</v>
      </c>
    </row>
    <row r="7" spans="1:8" s="3" customFormat="1" ht="43.2" x14ac:dyDescent="0.3">
      <c r="B7" s="11" t="s">
        <v>226</v>
      </c>
      <c r="C7" s="101">
        <f>IFERROR(IF(HEI="Yes",ART*(SUM(ACQ_TOTAL_ESC,CONSUL_TOTAL_ESC,CONST_TOTAL_ESC,EQUIP_TOTAL_ESC,OTHER_TOTAL_ESC,PM_TOTAL_ESC)),0),"NA")</f>
        <v>0</v>
      </c>
      <c r="D7" s="13"/>
      <c r="E7" s="14"/>
      <c r="F7" s="15"/>
      <c r="G7" s="100" t="s">
        <v>227</v>
      </c>
    </row>
    <row r="8" spans="1:8" s="3" customFormat="1" x14ac:dyDescent="0.3">
      <c r="B8" s="17" t="s">
        <v>144</v>
      </c>
      <c r="C8" s="12"/>
      <c r="D8" s="13"/>
      <c r="E8" s="14"/>
      <c r="F8" s="15"/>
      <c r="G8" s="18"/>
    </row>
    <row r="9" spans="1:8" s="3" customFormat="1" ht="15" thickBot="1" x14ac:dyDescent="0.35">
      <c r="B9" s="17" t="s">
        <v>116</v>
      </c>
      <c r="C9" s="92"/>
      <c r="D9" s="13"/>
      <c r="E9" s="14"/>
      <c r="F9" s="20"/>
      <c r="G9" s="18"/>
    </row>
    <row r="10" spans="1:8" s="41" customFormat="1" ht="15" thickBot="1" x14ac:dyDescent="0.35">
      <c r="B10" s="33" t="s">
        <v>228</v>
      </c>
      <c r="C10" s="22">
        <f ca="1">SUM(C6:C9)</f>
        <v>0</v>
      </c>
      <c r="D10" s="93"/>
      <c r="E10" s="102" t="s">
        <v>146</v>
      </c>
      <c r="F10" s="25">
        <f ca="1">C10</f>
        <v>0</v>
      </c>
      <c r="G10" s="95"/>
    </row>
    <row r="11" spans="1:8" s="41" customFormat="1" x14ac:dyDescent="0.3">
      <c r="B11" s="96"/>
      <c r="C11" s="87"/>
      <c r="D11" s="87"/>
      <c r="E11" s="99"/>
      <c r="F11" s="96"/>
      <c r="G11" s="86"/>
    </row>
    <row r="12" spans="1:8" s="41" customFormat="1" ht="15" customHeight="1" x14ac:dyDescent="0.3">
      <c r="B12" s="275" t="s">
        <v>63</v>
      </c>
      <c r="C12" s="276"/>
      <c r="D12" s="87"/>
      <c r="E12" s="99"/>
      <c r="F12" s="96"/>
      <c r="G12" s="86"/>
    </row>
  </sheetData>
  <sheetProtection algorithmName="SHA-512" hashValue="oX7yTbo6CSXoRC0c6TfzPYiSPc3EPGLYegI4vg3OGPr6Rcm2duIU6lnHQso3Kvgo3ZFnXxzUw0gE0KmcP9jmhQ==" saltValue="wb84/fd6ekFmMQ9NHwlLeA==" spinCount="100000" sheet="1" insertRows="0"/>
  <mergeCells count="4">
    <mergeCell ref="B1:G1"/>
    <mergeCell ref="B3:G3"/>
    <mergeCell ref="B12:C12"/>
    <mergeCell ref="B5:G5"/>
  </mergeCells>
  <pageMargins left="0.25" right="0.25" top="0.75" bottom="0.75" header="0.3" footer="0.3"/>
  <pageSetup scale="9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4F4A3487AA5214AAE8FC8F87566F81B" ma:contentTypeVersion="10" ma:contentTypeDescription="Create a new document." ma:contentTypeScope="" ma:versionID="6bbe85ae4d3384986297cb86db83f2e8">
  <xsd:schema xmlns:xsd="http://www.w3.org/2001/XMLSchema" xmlns:xs="http://www.w3.org/2001/XMLSchema" xmlns:p="http://schemas.microsoft.com/office/2006/metadata/properties" xmlns:ns1="http://schemas.microsoft.com/sharepoint/v3" xmlns:ns2="cb88edeb-b876-4a3f-8737-db769b584f1c" xmlns:ns3="72a9e130-890d-40a9-98b5-ae9e63c3b339" targetNamespace="http://schemas.microsoft.com/office/2006/metadata/properties" ma:root="true" ma:fieldsID="eb5959d115b95639078172dcafa86634" ns1:_="" ns2:_="" ns3:_="">
    <xsd:import namespace="http://schemas.microsoft.com/sharepoint/v3"/>
    <xsd:import namespace="cb88edeb-b876-4a3f-8737-db769b584f1c"/>
    <xsd:import namespace="72a9e130-890d-40a9-98b5-ae9e63c3b33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88edeb-b876-4a3f-8737-db769b584f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a9e130-890d-40a9-98b5-ae9e63c3b33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901127-BF62-4CE1-B717-49F58B6FAD9F}">
  <ds:schemaRefs>
    <ds:schemaRef ds:uri="http://schemas.microsoft.com/office/2006/metadata/properties"/>
    <ds:schemaRef ds:uri="http://www.w3.org/XML/1998/namespace"/>
    <ds:schemaRef ds:uri="http://schemas.microsoft.com/sharepoint/v3"/>
    <ds:schemaRef ds:uri="http://purl.org/dc/terms/"/>
    <ds:schemaRef ds:uri="72a9e130-890d-40a9-98b5-ae9e63c3b339"/>
    <ds:schemaRef ds:uri="cb88edeb-b876-4a3f-8737-db769b584f1c"/>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61D81BB8-B330-485D-A0EB-23B05D33EC5F}">
  <ds:schemaRefs>
    <ds:schemaRef ds:uri="http://schemas.microsoft.com/sharepoint/v3/contenttype/forms"/>
  </ds:schemaRefs>
</ds:datastoreItem>
</file>

<file path=customXml/itemProps3.xml><?xml version="1.0" encoding="utf-8"?>
<ds:datastoreItem xmlns:ds="http://schemas.openxmlformats.org/officeDocument/2006/customXml" ds:itemID="{3E410454-E80C-49DA-ABA8-3AA994C932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b88edeb-b876-4a3f-8737-db769b584f1c"/>
    <ds:schemaRef ds:uri="72a9e130-890d-40a9-98b5-ae9e63c3b3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80</vt:i4>
      </vt:variant>
    </vt:vector>
  </HeadingPairs>
  <TitlesOfParts>
    <vt:vector size="91" baseType="lpstr">
      <vt:lpstr>QuickStartGuide</vt:lpstr>
      <vt:lpstr>Summary</vt:lpstr>
      <vt:lpstr>Biennium Summary</vt:lpstr>
      <vt:lpstr>A. Acquisition</vt:lpstr>
      <vt:lpstr>B. Consultant Services</vt:lpstr>
      <vt:lpstr>C. Construction Contracts</vt:lpstr>
      <vt:lpstr>D. Equipment</vt:lpstr>
      <vt:lpstr>E. Artwork</vt:lpstr>
      <vt:lpstr>F. Project Management</vt:lpstr>
      <vt:lpstr>G. Other Costs</vt:lpstr>
      <vt:lpstr>H. Additional Notes</vt:lpstr>
      <vt:lpstr>ACQ_TOTAL</vt:lpstr>
      <vt:lpstr>ACQ_TOTAL_ESC</vt:lpstr>
      <vt:lpstr>AEFP</vt:lpstr>
      <vt:lpstr>Agency</vt:lpstr>
      <vt:lpstr>AGENCY_PM</vt:lpstr>
      <vt:lpstr>APW</vt:lpstr>
      <vt:lpstr>ART</vt:lpstr>
      <vt:lpstr>Art_Req</vt:lpstr>
      <vt:lpstr>ART_TOTAL</vt:lpstr>
      <vt:lpstr>ART_TOTAL_ESC</vt:lpstr>
      <vt:lpstr>b_infl</vt:lpstr>
      <vt:lpstr>Base_Month</vt:lpstr>
      <vt:lpstr>CONST_DOCS</vt:lpstr>
      <vt:lpstr>CONST_DOCS_ESC</vt:lpstr>
      <vt:lpstr>CONST_TOTAL</vt:lpstr>
      <vt:lpstr>CONST_TOTAL_ESC</vt:lpstr>
      <vt:lpstr>CONSUL_TOTAL</vt:lpstr>
      <vt:lpstr>CONSUL_TOTAL_ESC</vt:lpstr>
      <vt:lpstr>CONT</vt:lpstr>
      <vt:lpstr>CONT_ESC</vt:lpstr>
      <vt:lpstr>CONT_RATE</vt:lpstr>
      <vt:lpstr>ContN</vt:lpstr>
      <vt:lpstr>ContR</vt:lpstr>
      <vt:lpstr>data_extract_val</vt:lpstr>
      <vt:lpstr>DES_ADD_SVCS</vt:lpstr>
      <vt:lpstr>DES_CONT_TOTAL</vt:lpstr>
      <vt:lpstr>DES_CONT_TOTAL_ESC</vt:lpstr>
      <vt:lpstr>EndC</vt:lpstr>
      <vt:lpstr>EndD</vt:lpstr>
      <vt:lpstr>ENDPD</vt:lpstr>
      <vt:lpstr>EQUIP_NON_TAX</vt:lpstr>
      <vt:lpstr>EQUIP_NON_TAX_ESC</vt:lpstr>
      <vt:lpstr>EQUIP_SALES_TAX</vt:lpstr>
      <vt:lpstr>EQUIP_SALES_TAX_ESC</vt:lpstr>
      <vt:lpstr>EQUIP_SUBTOTAL</vt:lpstr>
      <vt:lpstr>EQUIP_SUBTOTAL_ESC</vt:lpstr>
      <vt:lpstr>EQUIP_TOTAL</vt:lpstr>
      <vt:lpstr>EQUIP_TOTAL_ESC</vt:lpstr>
      <vt:lpstr>EX_SVCS_TOTAL</vt:lpstr>
      <vt:lpstr>EX_SVCS_TOTAL_ESC</vt:lpstr>
      <vt:lpstr>FACILITY_TOTAL</vt:lpstr>
      <vt:lpstr>FACILITY_TOTAL_ESC</vt:lpstr>
      <vt:lpstr>GCCM_DB_TOTAL</vt:lpstr>
      <vt:lpstr>GCCM_DB_TOTAL_ESC</vt:lpstr>
      <vt:lpstr>GCCM_RISK</vt:lpstr>
      <vt:lpstr>GCCM_RISK_ESC</vt:lpstr>
      <vt:lpstr>GSF</vt:lpstr>
      <vt:lpstr>HEI</vt:lpstr>
      <vt:lpstr>Infl</vt:lpstr>
      <vt:lpstr>MACC</vt:lpstr>
      <vt:lpstr>MACC_ESC</vt:lpstr>
      <vt:lpstr>MPC</vt:lpstr>
      <vt:lpstr>MPD</vt:lpstr>
      <vt:lpstr>OTHER_SVCS_TOTAL</vt:lpstr>
      <vt:lpstr>OTHER_SVCS_TOTAL_ESC</vt:lpstr>
      <vt:lpstr>OTHER_TOTAL</vt:lpstr>
      <vt:lpstr>OTHER_TOTAL_ESC</vt:lpstr>
      <vt:lpstr>PM_OTHER</vt:lpstr>
      <vt:lpstr>PM_TOTAL</vt:lpstr>
      <vt:lpstr>PM_TOTAL_ESC</vt:lpstr>
      <vt:lpstr>PMD</vt:lpstr>
      <vt:lpstr>PMMinor</vt:lpstr>
      <vt:lpstr>PREDESIGN_TOTAL</vt:lpstr>
      <vt:lpstr>PREDESIGN_TOTAL_ESC</vt:lpstr>
      <vt:lpstr>Summary!Print_Area</vt:lpstr>
      <vt:lpstr>Project_Name</vt:lpstr>
      <vt:lpstr>RELATED_COSTS_TOTAL</vt:lpstr>
      <vt:lpstr>RELATED_COSTS_TOTAL_ESC</vt:lpstr>
      <vt:lpstr>Rem_Ad</vt:lpstr>
      <vt:lpstr>SALES_TAX</vt:lpstr>
      <vt:lpstr>SALES_TAX_ESC</vt:lpstr>
      <vt:lpstr>SITE_TOTAL</vt:lpstr>
      <vt:lpstr>SITE_TOTAL_ESC</vt:lpstr>
      <vt:lpstr>StartC</vt:lpstr>
      <vt:lpstr>StartD</vt:lpstr>
      <vt:lpstr>StartPD</vt:lpstr>
      <vt:lpstr>STR</vt:lpstr>
      <vt:lpstr>TCC</vt:lpstr>
      <vt:lpstr>TCC_ESC</vt:lpstr>
      <vt:lpstr>USF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Morris, peter (Sacramento)</dc:creator>
  <cp:keywords/>
  <dc:description/>
  <cp:lastModifiedBy>Morris, Peter (Sacramento)</cp:lastModifiedBy>
  <cp:revision/>
  <dcterms:created xsi:type="dcterms:W3CDTF">2022-05-31T20:27:16Z</dcterms:created>
  <dcterms:modified xsi:type="dcterms:W3CDTF">2024-07-30T15:57:01Z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0x010100B4F4A3487AA5214AAE8FC8F87566F81B</vt:lpwstr>
  </property>
</Properties>
</file>